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ables/table7.xml" ContentType="application/vnd.openxmlformats-officedocument.spreadsheetml.tab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8.xml" ContentType="application/vnd.openxmlformats-officedocument.spreadsheetml.tab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9.xml" ContentType="application/vnd.openxmlformats-officedocument.spreadsheetml.tab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tables/table10.xml" ContentType="application/vnd.openxmlformats-officedocument.spreadsheetml.tab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tables/table11.xml" ContentType="application/vnd.openxmlformats-officedocument.spreadsheetml.table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tables/table12.xml" ContentType="application/vnd.openxmlformats-officedocument.spreadsheetml.table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80" windowHeight="12150" tabRatio="881"/>
  </bookViews>
  <sheets>
    <sheet name="Release Summary" sheetId="29" r:id="rId1"/>
    <sheet name="Jul16 Statewide" sheetId="5" r:id="rId2"/>
    <sheet name="Jul16" sheetId="6" r:id="rId3"/>
    <sheet name="Aug16 Statewide" sheetId="7" r:id="rId4"/>
    <sheet name="Aug16" sheetId="8" r:id="rId5"/>
    <sheet name="Sep16 Statewide" sheetId="9" r:id="rId6"/>
    <sheet name="Sep16" sheetId="10" r:id="rId7"/>
    <sheet name="Oct16 Statewide" sheetId="11" r:id="rId8"/>
    <sheet name="Oct16" sheetId="12" r:id="rId9"/>
    <sheet name="Nov16 Statewide" sheetId="13" r:id="rId10"/>
    <sheet name="Nov16" sheetId="14" r:id="rId11"/>
    <sheet name="Dec16 Statewide" sheetId="15" r:id="rId12"/>
    <sheet name="Dec16" sheetId="16" r:id="rId13"/>
    <sheet name="Jan17 Statewide" sheetId="17" r:id="rId14"/>
    <sheet name="Jan17" sheetId="18" r:id="rId15"/>
    <sheet name="Feb17 Statewide" sheetId="19" r:id="rId16"/>
    <sheet name="Feb17" sheetId="20" r:id="rId17"/>
    <sheet name="Mar17 Statewide" sheetId="21" r:id="rId18"/>
    <sheet name="Mar17" sheetId="22" r:id="rId19"/>
    <sheet name="Apr17 Statewide" sheetId="23" r:id="rId20"/>
    <sheet name="Apr17" sheetId="24" r:id="rId21"/>
    <sheet name="May17 Statewide" sheetId="25" r:id="rId22"/>
    <sheet name="May17" sheetId="26" r:id="rId23"/>
    <sheet name="Jun17 Statewide" sheetId="27" r:id="rId24"/>
    <sheet name="Jun17" sheetId="28" r:id="rId25"/>
  </sheets>
  <externalReferences>
    <externalReference r:id="rId26"/>
    <externalReference r:id="rId27"/>
  </externalReferences>
  <definedNames>
    <definedName name="DataDictionary2" hidden="1">'[2]ACL VALIDATIONS 07-15'!#REF!</definedName>
    <definedName name="_xlnm.Print_Area" localSheetId="0">'Release Summary'!$A$1:$C$16</definedName>
    <definedName name="TitleRegion1.a4.c16.1">ReleaseSummary[[#Headers],[REPORT MONTH]]</definedName>
    <definedName name="TitleRegion1.a5.dt64.10">Oct16Data[[#Headers],[County]]</definedName>
    <definedName name="TitleRegion1.a5.dt64.12">Nov16Data[[#Headers],[County]]</definedName>
    <definedName name="TitleRegion1.a5.dt64.14">Dec16Data[[#Headers],[County]]</definedName>
    <definedName name="TitleRegion1.a5.dt64.16">Jan17Data[[#Headers],[County]]</definedName>
    <definedName name="TitleRegion1.a5.dt64.18">Feb17Data[[#Headers],[County]]</definedName>
    <definedName name="TitleRegion1.a5.dt64.20">Mar17Data[[#Headers],[County]]</definedName>
    <definedName name="TitleRegion1.a5.dt64.22">Apr17Data[[#Headers],[County]]</definedName>
    <definedName name="TitleRegion1.a5.dt64.24">May17Data[[#Headers],[County]]</definedName>
    <definedName name="TitleRegion1.a5.dt64.26">Jun17Data[[#Headers],[County]]</definedName>
    <definedName name="TitleRegion1.a5.dt64.4">Jul16Data[[#Headers],[County]]</definedName>
    <definedName name="TitleRegion1.a5.dt64.6">Aug16Data[[#Headers],[County]]</definedName>
    <definedName name="TitleRegion1.a5.dt64.8">Sep16Data[[#Headers],[County]]</definedName>
    <definedName name="Z_53B10681_B06D_11D2_92B8_00104BCA8B71_.wvu.Cols" hidden="1">'[2]ACL VALIDATIONS 07-15'!#REF!</definedName>
    <definedName name="Z_B3F13501_AFB0_11D2_9943_00104BC68B7D_.wvu.Cols" hidden="1">'[2]ACL VALIDATIONS 07-15'!#REF!</definedName>
    <definedName name="Z_D411FE81_CCBD_11D2_9105_00104B9EF16E_.wvu.Cols" hidden="1">'[2]ACL VALIDATIONS 07-15'!#REF!</definedName>
    <definedName name="Z_D98C08E0_1D87_11D3_99EE_00104BC68B70_.wvu.PrintArea" localSheetId="20" hidden="1">'Apr17'!$A$1:$CF$63</definedName>
    <definedName name="Z_D98C08E0_1D87_11D3_99EE_00104BC68B70_.wvu.PrintArea" localSheetId="4" hidden="1">'Aug16'!$A$1:$CF$63</definedName>
    <definedName name="Z_D98C08E0_1D87_11D3_99EE_00104BC68B70_.wvu.PrintArea" localSheetId="12" hidden="1">'Dec16'!$A$1:$CF$63</definedName>
    <definedName name="Z_D98C08E0_1D87_11D3_99EE_00104BC68B70_.wvu.PrintArea" localSheetId="16" hidden="1">'Feb17'!$A$1:$CF$63</definedName>
    <definedName name="Z_D98C08E0_1D87_11D3_99EE_00104BC68B70_.wvu.PrintArea" localSheetId="14" hidden="1">'Jan17'!$A$1:$CF$63</definedName>
    <definedName name="Z_D98C08E0_1D87_11D3_99EE_00104BC68B70_.wvu.PrintArea" localSheetId="2" hidden="1">'Jul16'!$A$1:$CF$63</definedName>
    <definedName name="Z_D98C08E0_1D87_11D3_99EE_00104BC68B70_.wvu.PrintArea" localSheetId="24" hidden="1">'Jun17'!$A$1:$CF$63</definedName>
    <definedName name="Z_D98C08E0_1D87_11D3_99EE_00104BC68B70_.wvu.PrintArea" localSheetId="18" hidden="1">'Mar17'!$A$1:$CF$63</definedName>
    <definedName name="Z_D98C08E0_1D87_11D3_99EE_00104BC68B70_.wvu.PrintArea" localSheetId="22" hidden="1">'May17'!$A$1:$CF$63</definedName>
    <definedName name="Z_D98C08E0_1D87_11D3_99EE_00104BC68B70_.wvu.PrintArea" localSheetId="10" hidden="1">'Nov16'!$A$1:$CF$63</definedName>
    <definedName name="Z_D98C08E0_1D87_11D3_99EE_00104BC68B70_.wvu.PrintArea" localSheetId="8" hidden="1">'Oct16'!$A$1:$CF$63</definedName>
    <definedName name="Z_D98C08E0_1D87_11D3_99EE_00104BC68B70_.wvu.PrintArea" localSheetId="6" hidden="1">'Sep16'!$A$1:$CF$63</definedName>
    <definedName name="Z_F94D19A1_B6D3_11D2_9134_00104BD18A22_.wvu.Cols" hidden="1">'[2]ACL VALIDATIONS 07-15'!#REF!</definedName>
  </definedNames>
  <calcPr calcId="145621"/>
</workbook>
</file>

<file path=xl/calcChain.xml><?xml version="1.0" encoding="utf-8"?>
<calcChain xmlns="http://schemas.openxmlformats.org/spreadsheetml/2006/main">
  <c r="B64" i="28" l="1"/>
  <c r="C64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AP64" i="28"/>
  <c r="AQ64" i="28"/>
  <c r="AR64" i="28"/>
  <c r="AS64" i="28"/>
  <c r="AT64" i="28"/>
  <c r="AU64" i="28"/>
  <c r="AV64" i="28"/>
  <c r="AW64" i="28"/>
  <c r="AX64" i="28"/>
  <c r="AY64" i="28"/>
  <c r="AZ64" i="28"/>
  <c r="BA64" i="28"/>
  <c r="BB64" i="28"/>
  <c r="BC64" i="28"/>
  <c r="BD64" i="28"/>
  <c r="BE64" i="28"/>
  <c r="BF64" i="28"/>
  <c r="BG64" i="28"/>
  <c r="BH64" i="28"/>
  <c r="BI64" i="28"/>
  <c r="BJ64" i="28"/>
  <c r="BK64" i="28"/>
  <c r="BL64" i="28"/>
  <c r="BM64" i="28"/>
  <c r="BN64" i="28"/>
  <c r="BO64" i="28"/>
  <c r="BP64" i="28"/>
  <c r="BQ64" i="28"/>
  <c r="BR64" i="28"/>
  <c r="BS64" i="28"/>
  <c r="BT64" i="28"/>
  <c r="BU64" i="28"/>
  <c r="BV64" i="28"/>
  <c r="BW64" i="28"/>
  <c r="BX64" i="28"/>
  <c r="BY64" i="28"/>
  <c r="BZ64" i="28"/>
  <c r="CA64" i="28"/>
  <c r="CB64" i="28"/>
  <c r="CC64" i="28"/>
  <c r="CD64" i="28"/>
  <c r="CE64" i="28"/>
  <c r="CF64" i="28"/>
  <c r="CG64" i="28"/>
  <c r="CH64" i="28"/>
  <c r="CI64" i="28"/>
  <c r="CJ64" i="28"/>
  <c r="CK64" i="28"/>
  <c r="CL64" i="28"/>
  <c r="CM64" i="28"/>
  <c r="CN64" i="28"/>
  <c r="CO64" i="28"/>
  <c r="CP64" i="28"/>
  <c r="CQ64" i="28"/>
  <c r="CR64" i="28"/>
  <c r="CS64" i="28"/>
  <c r="CT64" i="28"/>
  <c r="CU64" i="28"/>
  <c r="CV64" i="28"/>
  <c r="CW64" i="28"/>
  <c r="CX64" i="28"/>
  <c r="CY64" i="28"/>
  <c r="CZ64" i="28"/>
  <c r="DA64" i="28"/>
  <c r="DB64" i="28"/>
  <c r="DC64" i="28"/>
  <c r="DD64" i="28"/>
  <c r="DE64" i="28"/>
  <c r="DF64" i="28"/>
  <c r="DG64" i="28"/>
  <c r="DH64" i="28"/>
  <c r="DI64" i="28"/>
  <c r="DJ64" i="28"/>
  <c r="DK64" i="28"/>
  <c r="DL64" i="28"/>
  <c r="DM64" i="28"/>
  <c r="DN64" i="28"/>
  <c r="DO64" i="28"/>
  <c r="DP64" i="28"/>
  <c r="DQ64" i="28"/>
  <c r="DR64" i="28"/>
  <c r="DS64" i="28"/>
  <c r="DT64" i="28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AP64" i="26"/>
  <c r="AQ64" i="26"/>
  <c r="AR64" i="26"/>
  <c r="AS64" i="26"/>
  <c r="AT64" i="26"/>
  <c r="AU64" i="26"/>
  <c r="AV64" i="26"/>
  <c r="AW64" i="26"/>
  <c r="AX64" i="26"/>
  <c r="AY64" i="26"/>
  <c r="AZ64" i="26"/>
  <c r="BA64" i="26"/>
  <c r="BB64" i="26"/>
  <c r="BC64" i="26"/>
  <c r="BD64" i="26"/>
  <c r="BE64" i="26"/>
  <c r="BF64" i="26"/>
  <c r="BG64" i="26"/>
  <c r="BH64" i="26"/>
  <c r="BI64" i="26"/>
  <c r="BJ64" i="26"/>
  <c r="BK64" i="26"/>
  <c r="BL64" i="26"/>
  <c r="BM64" i="26"/>
  <c r="BN64" i="26"/>
  <c r="BO64" i="26"/>
  <c r="BP64" i="26"/>
  <c r="BQ64" i="26"/>
  <c r="BR64" i="26"/>
  <c r="BS64" i="26"/>
  <c r="BT64" i="26"/>
  <c r="BU64" i="26"/>
  <c r="BV64" i="26"/>
  <c r="BW64" i="26"/>
  <c r="BX64" i="26"/>
  <c r="BY64" i="26"/>
  <c r="BZ64" i="26"/>
  <c r="CA64" i="26"/>
  <c r="CB64" i="26"/>
  <c r="CC64" i="26"/>
  <c r="CD64" i="26"/>
  <c r="CE64" i="26"/>
  <c r="CF64" i="26"/>
  <c r="CG64" i="26"/>
  <c r="CH64" i="26"/>
  <c r="CI64" i="26"/>
  <c r="CJ64" i="26"/>
  <c r="CK64" i="26"/>
  <c r="CL64" i="26"/>
  <c r="CM64" i="26"/>
  <c r="CN64" i="26"/>
  <c r="CO64" i="26"/>
  <c r="CP64" i="26"/>
  <c r="CQ64" i="26"/>
  <c r="CR64" i="26"/>
  <c r="CS64" i="26"/>
  <c r="CT64" i="26"/>
  <c r="CU64" i="26"/>
  <c r="CV64" i="26"/>
  <c r="CW64" i="26"/>
  <c r="CX64" i="26"/>
  <c r="CY64" i="26"/>
  <c r="CZ64" i="26"/>
  <c r="DA64" i="26"/>
  <c r="DB64" i="26"/>
  <c r="DC64" i="26"/>
  <c r="DD64" i="26"/>
  <c r="DE64" i="26"/>
  <c r="DF64" i="26"/>
  <c r="DG64" i="26"/>
  <c r="DH64" i="26"/>
  <c r="DI64" i="26"/>
  <c r="DJ64" i="26"/>
  <c r="DK64" i="26"/>
  <c r="DL64" i="26"/>
  <c r="DM64" i="26"/>
  <c r="DN64" i="26"/>
  <c r="DO64" i="26"/>
  <c r="DP64" i="26"/>
  <c r="DQ64" i="26"/>
  <c r="DR64" i="26"/>
  <c r="DS64" i="26"/>
  <c r="DT64" i="26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AP64" i="24"/>
  <c r="AQ64" i="24"/>
  <c r="AR64" i="24"/>
  <c r="AS64" i="24"/>
  <c r="AT64" i="24"/>
  <c r="AU64" i="24"/>
  <c r="AV64" i="24"/>
  <c r="AW64" i="24"/>
  <c r="AX64" i="24"/>
  <c r="AY64" i="24"/>
  <c r="AZ64" i="24"/>
  <c r="BA64" i="24"/>
  <c r="BB64" i="24"/>
  <c r="BC64" i="24"/>
  <c r="BD64" i="24"/>
  <c r="BE64" i="24"/>
  <c r="BF64" i="24"/>
  <c r="BG64" i="24"/>
  <c r="BH64" i="24"/>
  <c r="BI64" i="24"/>
  <c r="BJ64" i="24"/>
  <c r="BK64" i="24"/>
  <c r="BL64" i="24"/>
  <c r="BM64" i="24"/>
  <c r="BN64" i="24"/>
  <c r="BO64" i="24"/>
  <c r="BP64" i="24"/>
  <c r="BQ64" i="24"/>
  <c r="BR64" i="24"/>
  <c r="BS64" i="24"/>
  <c r="BT64" i="24"/>
  <c r="BU64" i="24"/>
  <c r="BV64" i="24"/>
  <c r="BW64" i="24"/>
  <c r="BX64" i="24"/>
  <c r="BY64" i="24"/>
  <c r="BZ64" i="24"/>
  <c r="CA64" i="24"/>
  <c r="CB64" i="24"/>
  <c r="CC64" i="24"/>
  <c r="CD64" i="24"/>
  <c r="CE64" i="24"/>
  <c r="CF64" i="24"/>
  <c r="CG64" i="24"/>
  <c r="CH64" i="24"/>
  <c r="CI64" i="24"/>
  <c r="CJ64" i="24"/>
  <c r="CK64" i="24"/>
  <c r="CL64" i="24"/>
  <c r="CM64" i="24"/>
  <c r="CN64" i="24"/>
  <c r="CO64" i="24"/>
  <c r="CP64" i="24"/>
  <c r="CQ64" i="24"/>
  <c r="CR64" i="24"/>
  <c r="CS64" i="24"/>
  <c r="CT64" i="24"/>
  <c r="CU64" i="24"/>
  <c r="CV64" i="24"/>
  <c r="CW64" i="24"/>
  <c r="CX64" i="24"/>
  <c r="CY64" i="24"/>
  <c r="CZ64" i="24"/>
  <c r="DA64" i="24"/>
  <c r="DB64" i="24"/>
  <c r="DC64" i="24"/>
  <c r="DD64" i="24"/>
  <c r="DE64" i="24"/>
  <c r="DF64" i="24"/>
  <c r="DG64" i="24"/>
  <c r="DH64" i="24"/>
  <c r="DI64" i="24"/>
  <c r="DJ64" i="24"/>
  <c r="DK64" i="24"/>
  <c r="DL64" i="24"/>
  <c r="DM64" i="24"/>
  <c r="DN64" i="24"/>
  <c r="DO64" i="24"/>
  <c r="DP64" i="24"/>
  <c r="DQ64" i="24"/>
  <c r="DR64" i="24"/>
  <c r="DS64" i="24"/>
  <c r="DT64" i="24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AP64" i="22"/>
  <c r="AQ64" i="22"/>
  <c r="AR64" i="22"/>
  <c r="AS64" i="22"/>
  <c r="AT64" i="22"/>
  <c r="AU64" i="22"/>
  <c r="AV64" i="22"/>
  <c r="AW64" i="22"/>
  <c r="AX64" i="22"/>
  <c r="AY64" i="22"/>
  <c r="AZ64" i="22"/>
  <c r="BA64" i="22"/>
  <c r="BB64" i="22"/>
  <c r="BC64" i="22"/>
  <c r="BD64" i="22"/>
  <c r="BE64" i="22"/>
  <c r="BF64" i="22"/>
  <c r="BG64" i="22"/>
  <c r="BH64" i="22"/>
  <c r="BI64" i="22"/>
  <c r="BJ64" i="22"/>
  <c r="BK64" i="22"/>
  <c r="BL64" i="22"/>
  <c r="BM64" i="22"/>
  <c r="BN64" i="22"/>
  <c r="BO64" i="22"/>
  <c r="BP64" i="22"/>
  <c r="BQ64" i="22"/>
  <c r="BR64" i="22"/>
  <c r="BS64" i="22"/>
  <c r="BT64" i="22"/>
  <c r="BU64" i="22"/>
  <c r="BV64" i="22"/>
  <c r="BW64" i="22"/>
  <c r="BX64" i="22"/>
  <c r="BY64" i="22"/>
  <c r="BZ64" i="22"/>
  <c r="CA64" i="22"/>
  <c r="CB64" i="22"/>
  <c r="CC64" i="22"/>
  <c r="CD64" i="22"/>
  <c r="CE64" i="22"/>
  <c r="CF64" i="22"/>
  <c r="CG64" i="22"/>
  <c r="CH64" i="22"/>
  <c r="CI64" i="22"/>
  <c r="CJ64" i="22"/>
  <c r="CK64" i="22"/>
  <c r="CL64" i="22"/>
  <c r="CM64" i="22"/>
  <c r="CN64" i="22"/>
  <c r="CO64" i="22"/>
  <c r="CP64" i="22"/>
  <c r="CQ64" i="22"/>
  <c r="CR64" i="22"/>
  <c r="CS64" i="22"/>
  <c r="CT64" i="22"/>
  <c r="CU64" i="22"/>
  <c r="CV64" i="22"/>
  <c r="CW64" i="22"/>
  <c r="CX64" i="22"/>
  <c r="CY64" i="22"/>
  <c r="CZ64" i="22"/>
  <c r="DA64" i="22"/>
  <c r="DB64" i="22"/>
  <c r="DC64" i="22"/>
  <c r="DD64" i="22"/>
  <c r="DE64" i="22"/>
  <c r="DF64" i="22"/>
  <c r="DG64" i="22"/>
  <c r="DH64" i="22"/>
  <c r="DI64" i="22"/>
  <c r="DJ64" i="22"/>
  <c r="DK64" i="22"/>
  <c r="DL64" i="22"/>
  <c r="DM64" i="22"/>
  <c r="DN64" i="22"/>
  <c r="DO64" i="22"/>
  <c r="DP64" i="22"/>
  <c r="DQ64" i="22"/>
  <c r="DR64" i="22"/>
  <c r="DS64" i="22"/>
  <c r="DT64" i="22"/>
  <c r="B64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O64" i="18"/>
  <c r="AP64" i="18"/>
  <c r="AQ64" i="18"/>
  <c r="AR64" i="18"/>
  <c r="AS64" i="18"/>
  <c r="AT64" i="18"/>
  <c r="AU64" i="18"/>
  <c r="AV64" i="18"/>
  <c r="AW64" i="18"/>
  <c r="AX64" i="18"/>
  <c r="AY64" i="18"/>
  <c r="AZ64" i="18"/>
  <c r="BA64" i="18"/>
  <c r="BB64" i="18"/>
  <c r="BC64" i="18"/>
  <c r="BD64" i="18"/>
  <c r="BE64" i="18"/>
  <c r="BF64" i="18"/>
  <c r="BG64" i="18"/>
  <c r="BH64" i="18"/>
  <c r="BI64" i="18"/>
  <c r="BJ64" i="18"/>
  <c r="BK64" i="18"/>
  <c r="BL64" i="18"/>
  <c r="BM64" i="18"/>
  <c r="BN64" i="18"/>
  <c r="BO64" i="18"/>
  <c r="BP64" i="18"/>
  <c r="BQ64" i="18"/>
  <c r="BR64" i="18"/>
  <c r="BS64" i="18"/>
  <c r="BT64" i="18"/>
  <c r="BU64" i="18"/>
  <c r="BV64" i="18"/>
  <c r="BW64" i="18"/>
  <c r="BX64" i="18"/>
  <c r="BY64" i="18"/>
  <c r="BZ64" i="18"/>
  <c r="CA64" i="18"/>
  <c r="CB64" i="18"/>
  <c r="CC64" i="18"/>
  <c r="CD64" i="18"/>
  <c r="CE64" i="18"/>
  <c r="CF64" i="18"/>
  <c r="CG64" i="18"/>
  <c r="CH64" i="18"/>
  <c r="CI64" i="18"/>
  <c r="CJ64" i="18"/>
  <c r="CK64" i="18"/>
  <c r="CL64" i="18"/>
  <c r="CM64" i="18"/>
  <c r="CN64" i="18"/>
  <c r="CO64" i="18"/>
  <c r="CP64" i="18"/>
  <c r="CQ64" i="18"/>
  <c r="CR64" i="18"/>
  <c r="CS64" i="18"/>
  <c r="CT64" i="18"/>
  <c r="CU64" i="18"/>
  <c r="CV64" i="18"/>
  <c r="CW64" i="18"/>
  <c r="CX64" i="18"/>
  <c r="CY64" i="18"/>
  <c r="CZ64" i="18"/>
  <c r="DA64" i="18"/>
  <c r="DB64" i="18"/>
  <c r="DC64" i="18"/>
  <c r="DD64" i="18"/>
  <c r="DE64" i="18"/>
  <c r="DF64" i="18"/>
  <c r="DG64" i="18"/>
  <c r="DH64" i="18"/>
  <c r="DI64" i="18"/>
  <c r="DJ64" i="18"/>
  <c r="DK64" i="18"/>
  <c r="DL64" i="18"/>
  <c r="DM64" i="18"/>
  <c r="DN64" i="18"/>
  <c r="DO64" i="18"/>
  <c r="DP64" i="18"/>
  <c r="DQ64" i="18"/>
  <c r="DR64" i="18"/>
  <c r="DS64" i="18"/>
  <c r="DT64" i="18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BE64" i="16"/>
  <c r="BF64" i="16"/>
  <c r="BG64" i="16"/>
  <c r="BH64" i="16"/>
  <c r="BI64" i="16"/>
  <c r="BJ64" i="16"/>
  <c r="BK64" i="16"/>
  <c r="BL64" i="16"/>
  <c r="BM64" i="16"/>
  <c r="BN64" i="16"/>
  <c r="BO64" i="16"/>
  <c r="BP64" i="16"/>
  <c r="BQ64" i="16"/>
  <c r="BR64" i="16"/>
  <c r="BS64" i="16"/>
  <c r="BT64" i="16"/>
  <c r="BU64" i="16"/>
  <c r="BV64" i="16"/>
  <c r="BW64" i="16"/>
  <c r="BX64" i="16"/>
  <c r="BY64" i="16"/>
  <c r="BZ64" i="16"/>
  <c r="CA64" i="16"/>
  <c r="CB64" i="16"/>
  <c r="CC64" i="16"/>
  <c r="CD64" i="16"/>
  <c r="CE64" i="16"/>
  <c r="CF64" i="16"/>
  <c r="CG64" i="16"/>
  <c r="CH64" i="16"/>
  <c r="CI64" i="16"/>
  <c r="CJ64" i="16"/>
  <c r="CK64" i="16"/>
  <c r="CL64" i="16"/>
  <c r="CM64" i="16"/>
  <c r="CN64" i="16"/>
  <c r="CO64" i="16"/>
  <c r="CP64" i="16"/>
  <c r="CQ64" i="16"/>
  <c r="CR64" i="16"/>
  <c r="CS64" i="16"/>
  <c r="CT64" i="16"/>
  <c r="CU64" i="16"/>
  <c r="CV64" i="16"/>
  <c r="CW64" i="16"/>
  <c r="CX64" i="16"/>
  <c r="CY64" i="16"/>
  <c r="CZ64" i="16"/>
  <c r="DA64" i="16"/>
  <c r="DB64" i="16"/>
  <c r="DC64" i="16"/>
  <c r="DD64" i="16"/>
  <c r="DE64" i="16"/>
  <c r="DF64" i="16"/>
  <c r="DG64" i="16"/>
  <c r="DH64" i="16"/>
  <c r="DI64" i="16"/>
  <c r="DJ64" i="16"/>
  <c r="DK64" i="16"/>
  <c r="DL64" i="16"/>
  <c r="DM64" i="16"/>
  <c r="DN64" i="16"/>
  <c r="DO64" i="16"/>
  <c r="DP64" i="16"/>
  <c r="DQ64" i="16"/>
  <c r="DR64" i="16"/>
  <c r="DS64" i="16"/>
  <c r="DT64" i="16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C64" i="14"/>
  <c r="BD64" i="14"/>
  <c r="BE64" i="14"/>
  <c r="BF64" i="14"/>
  <c r="BG64" i="14"/>
  <c r="BH64" i="14"/>
  <c r="BI64" i="14"/>
  <c r="BJ64" i="14"/>
  <c r="BK64" i="14"/>
  <c r="BL64" i="14"/>
  <c r="BM64" i="14"/>
  <c r="BN64" i="14"/>
  <c r="BO64" i="14"/>
  <c r="BP64" i="14"/>
  <c r="BQ64" i="14"/>
  <c r="BR64" i="14"/>
  <c r="BS64" i="14"/>
  <c r="BT64" i="14"/>
  <c r="BU64" i="14"/>
  <c r="BV64" i="14"/>
  <c r="BW64" i="14"/>
  <c r="BX64" i="14"/>
  <c r="BY64" i="14"/>
  <c r="BZ64" i="14"/>
  <c r="CA64" i="14"/>
  <c r="CB64" i="14"/>
  <c r="CC64" i="14"/>
  <c r="CD64" i="14"/>
  <c r="CE64" i="14"/>
  <c r="CF64" i="14"/>
  <c r="CG64" i="14"/>
  <c r="CH64" i="14"/>
  <c r="CI64" i="14"/>
  <c r="CJ64" i="14"/>
  <c r="CK64" i="14"/>
  <c r="CL64" i="14"/>
  <c r="CM64" i="14"/>
  <c r="CN64" i="14"/>
  <c r="CO64" i="14"/>
  <c r="CP64" i="14"/>
  <c r="CQ64" i="14"/>
  <c r="CR64" i="14"/>
  <c r="CS64" i="14"/>
  <c r="CT64" i="14"/>
  <c r="CU64" i="14"/>
  <c r="CV64" i="14"/>
  <c r="CW64" i="14"/>
  <c r="CX64" i="14"/>
  <c r="CY64" i="14"/>
  <c r="CZ64" i="14"/>
  <c r="DA64" i="14"/>
  <c r="DB64" i="14"/>
  <c r="DC64" i="14"/>
  <c r="DD64" i="14"/>
  <c r="DE64" i="14"/>
  <c r="DF64" i="14"/>
  <c r="DG64" i="14"/>
  <c r="DH64" i="14"/>
  <c r="DI64" i="14"/>
  <c r="DJ64" i="14"/>
  <c r="DK64" i="14"/>
  <c r="DL64" i="14"/>
  <c r="DM64" i="14"/>
  <c r="DN64" i="14"/>
  <c r="DO64" i="14"/>
  <c r="DP64" i="14"/>
  <c r="DQ64" i="14"/>
  <c r="DR64" i="14"/>
  <c r="DS64" i="14"/>
  <c r="DT64" i="14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BH64" i="12"/>
  <c r="BI64" i="12"/>
  <c r="BJ64" i="12"/>
  <c r="BK64" i="12"/>
  <c r="BL64" i="12"/>
  <c r="BM64" i="12"/>
  <c r="BN64" i="12"/>
  <c r="BO64" i="12"/>
  <c r="BP64" i="12"/>
  <c r="BQ64" i="12"/>
  <c r="BR64" i="12"/>
  <c r="BS64" i="12"/>
  <c r="BT64" i="12"/>
  <c r="BU64" i="12"/>
  <c r="BV64" i="12"/>
  <c r="BW64" i="12"/>
  <c r="BX64" i="12"/>
  <c r="BY64" i="12"/>
  <c r="BZ64" i="12"/>
  <c r="CA64" i="12"/>
  <c r="CB64" i="12"/>
  <c r="CC64" i="12"/>
  <c r="CD64" i="12"/>
  <c r="CE64" i="12"/>
  <c r="CF64" i="12"/>
  <c r="CG64" i="12"/>
  <c r="CH64" i="12"/>
  <c r="CI64" i="12"/>
  <c r="CJ64" i="12"/>
  <c r="CK64" i="12"/>
  <c r="CL64" i="12"/>
  <c r="CM64" i="12"/>
  <c r="CN64" i="12"/>
  <c r="CO64" i="12"/>
  <c r="CP64" i="12"/>
  <c r="CQ64" i="12"/>
  <c r="CR64" i="12"/>
  <c r="CS64" i="12"/>
  <c r="CT64" i="12"/>
  <c r="CU64" i="12"/>
  <c r="CV64" i="12"/>
  <c r="CW64" i="12"/>
  <c r="CX64" i="12"/>
  <c r="CY64" i="12"/>
  <c r="CZ64" i="12"/>
  <c r="DA64" i="12"/>
  <c r="DB64" i="12"/>
  <c r="DC64" i="12"/>
  <c r="DD64" i="12"/>
  <c r="DE64" i="12"/>
  <c r="DF64" i="12"/>
  <c r="DG64" i="12"/>
  <c r="DH64" i="12"/>
  <c r="DI64" i="12"/>
  <c r="DJ64" i="12"/>
  <c r="DK64" i="12"/>
  <c r="DL64" i="12"/>
  <c r="DM64" i="12"/>
  <c r="DN64" i="12"/>
  <c r="DO64" i="12"/>
  <c r="DP64" i="12"/>
  <c r="DQ64" i="12"/>
  <c r="DR64" i="12"/>
  <c r="DS64" i="12"/>
  <c r="DT64" i="12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CK64" i="10"/>
  <c r="CL64" i="10"/>
  <c r="CM64" i="10"/>
  <c r="CN64" i="10"/>
  <c r="CO64" i="10"/>
  <c r="CP64" i="10"/>
  <c r="CQ64" i="10"/>
  <c r="CR64" i="10"/>
  <c r="CS64" i="10"/>
  <c r="CT64" i="10"/>
  <c r="CU64" i="10"/>
  <c r="CV64" i="10"/>
  <c r="CW64" i="10"/>
  <c r="CX64" i="10"/>
  <c r="CY64" i="10"/>
  <c r="CZ64" i="10"/>
  <c r="DA64" i="10"/>
  <c r="DB64" i="10"/>
  <c r="DC64" i="10"/>
  <c r="DD64" i="10"/>
  <c r="DE64" i="10"/>
  <c r="DF64" i="10"/>
  <c r="DG64" i="10"/>
  <c r="DH64" i="10"/>
  <c r="DI64" i="10"/>
  <c r="DJ64" i="10"/>
  <c r="DK64" i="10"/>
  <c r="DL64" i="10"/>
  <c r="DM64" i="10"/>
  <c r="DN64" i="10"/>
  <c r="DO64" i="10"/>
  <c r="DP64" i="10"/>
  <c r="DQ64" i="10"/>
  <c r="DR64" i="10"/>
  <c r="DS64" i="10"/>
  <c r="DT64" i="10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DB64" i="8"/>
  <c r="DC64" i="8"/>
  <c r="DD64" i="8"/>
  <c r="DE64" i="8"/>
  <c r="DF64" i="8"/>
  <c r="DG64" i="8"/>
  <c r="DH64" i="8"/>
  <c r="DI64" i="8"/>
  <c r="DJ64" i="8"/>
  <c r="DK64" i="8"/>
  <c r="DL64" i="8"/>
  <c r="DM64" i="8"/>
  <c r="DN64" i="8"/>
  <c r="DO64" i="8"/>
  <c r="DP64" i="8"/>
  <c r="DQ64" i="8"/>
  <c r="DR64" i="8"/>
  <c r="DS64" i="8"/>
  <c r="DT64" i="8"/>
  <c r="B64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AR64" i="20"/>
  <c r="AS64" i="20"/>
  <c r="AT64" i="20"/>
  <c r="AU64" i="20"/>
  <c r="AV64" i="20"/>
  <c r="AW64" i="20"/>
  <c r="AX64" i="20"/>
  <c r="AY64" i="20"/>
  <c r="AZ64" i="20"/>
  <c r="BA64" i="20"/>
  <c r="BB64" i="20"/>
  <c r="BC64" i="20"/>
  <c r="BD64" i="20"/>
  <c r="BE64" i="20"/>
  <c r="BF64" i="20"/>
  <c r="BG64" i="20"/>
  <c r="BH64" i="20"/>
  <c r="BI64" i="20"/>
  <c r="BJ64" i="20"/>
  <c r="BK64" i="20"/>
  <c r="BL64" i="20"/>
  <c r="BM64" i="20"/>
  <c r="BN64" i="20"/>
  <c r="BO64" i="20"/>
  <c r="BP64" i="20"/>
  <c r="BQ64" i="20"/>
  <c r="BR64" i="20"/>
  <c r="BS64" i="20"/>
  <c r="BT64" i="20"/>
  <c r="BU64" i="20"/>
  <c r="BV64" i="20"/>
  <c r="BW64" i="20"/>
  <c r="BX64" i="20"/>
  <c r="BY64" i="20"/>
  <c r="BZ64" i="20"/>
  <c r="CA64" i="20"/>
  <c r="CB64" i="20"/>
  <c r="CC64" i="20"/>
  <c r="CD64" i="20"/>
  <c r="CE64" i="20"/>
  <c r="CF64" i="20"/>
  <c r="CG64" i="20"/>
  <c r="CH64" i="20"/>
  <c r="CI64" i="20"/>
  <c r="CJ64" i="20"/>
  <c r="CK64" i="20"/>
  <c r="CL64" i="20"/>
  <c r="CM64" i="20"/>
  <c r="CN64" i="20"/>
  <c r="CO64" i="20"/>
  <c r="CP64" i="20"/>
  <c r="CQ64" i="20"/>
  <c r="CR64" i="20"/>
  <c r="CS64" i="20"/>
  <c r="CT64" i="20"/>
  <c r="CU64" i="20"/>
  <c r="CV64" i="20"/>
  <c r="CW64" i="20"/>
  <c r="CX64" i="20"/>
  <c r="CY64" i="20"/>
  <c r="CZ64" i="20"/>
  <c r="DA64" i="20"/>
  <c r="DB64" i="20"/>
  <c r="DC64" i="20"/>
  <c r="DD64" i="20"/>
  <c r="DE64" i="20"/>
  <c r="DF64" i="20"/>
  <c r="DG64" i="20"/>
  <c r="DH64" i="20"/>
  <c r="DI64" i="20"/>
  <c r="DJ64" i="20"/>
  <c r="DK64" i="20"/>
  <c r="DL64" i="20"/>
  <c r="DM64" i="20"/>
  <c r="DN64" i="20"/>
  <c r="DO64" i="20"/>
  <c r="DP64" i="20"/>
  <c r="DQ64" i="20"/>
  <c r="DR64" i="20"/>
  <c r="DS64" i="20"/>
  <c r="DT64" i="20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</calcChain>
</file>

<file path=xl/sharedStrings.xml><?xml version="1.0" encoding="utf-8"?>
<sst xmlns="http://schemas.openxmlformats.org/spreadsheetml/2006/main" count="8475" uniqueCount="372">
  <si>
    <t>June 2017</t>
  </si>
  <si>
    <t>REPORT MONTH</t>
  </si>
  <si>
    <t>RELEASE DATE</t>
  </si>
  <si>
    <t>COMMENTS  a/</t>
  </si>
  <si>
    <t>CALFRESH MONTHLY CASELOAD MOVEMENT</t>
  </si>
  <si>
    <t>STATISTICAL REPORT</t>
  </si>
  <si>
    <t>CF 296</t>
  </si>
  <si>
    <t>STATEWIDE</t>
  </si>
  <si>
    <t>July 2016</t>
  </si>
  <si>
    <t>PART A.  APPLICATIONS FOR CALFRESH</t>
  </si>
  <si>
    <t>TOTAL</t>
  </si>
  <si>
    <t xml:space="preserve">1.  </t>
  </si>
  <si>
    <t>Applications received during the month…………………………………………………………………………………..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</si>
  <si>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a.  </t>
  </si>
  <si>
    <t>Online applications received during the month………………………………………………………………………………………………...…………..……………………………………………………………………………………….…………………………...……………………………………………………………………………..………………………………………………………………………………………....…………………………………</t>
  </si>
  <si>
    <t xml:space="preserve">2.  </t>
  </si>
  <si>
    <t>Applications disposed of during the month (Sum of Items 2a, 2b and 2c)………………………..……………………………………………………………………………………….………..……………………………………………………………………………………….……………………...……………………………………………………...……………………………………</t>
  </si>
  <si>
    <t>a.</t>
  </si>
  <si>
    <t>Applications approved (Same as Item 5a/Cell 61) ……………………………………………………………………………………..……………………………………………………………………………………….………………………………………………………………………………………………………………...………………………………………………………………………………..</t>
  </si>
  <si>
    <t>PACF (A)</t>
  </si>
  <si>
    <t>NACF (B)</t>
  </si>
  <si>
    <t>TOTAL (C)</t>
  </si>
  <si>
    <t>1)</t>
  </si>
  <si>
    <t>Applications approved in over 30 days (CWD caused) ………………..……………………………………………………………………………………….………..……………………………………………………………………………………….………………..……………………………………………………………………………………………………………………………………………………………………………………...…..</t>
  </si>
  <si>
    <t>b.</t>
  </si>
  <si>
    <t>Applications denied (Item 2b1 plus Item 2b2) ………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………………………………………………………...……………..….</t>
  </si>
  <si>
    <t>Applications denied because determined ineligible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</t>
  </si>
  <si>
    <t>2)</t>
  </si>
  <si>
    <t>Applications denied for procedural reasons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..</t>
  </si>
  <si>
    <t>3)</t>
  </si>
  <si>
    <t>Applications denied in over 30 days (CWD caused)……………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………………………………………………………....</t>
  </si>
  <si>
    <t>c.</t>
  </si>
  <si>
    <t>Applications withdrawn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.………………………………………………………………………………………………………………………………………………………………...……</t>
  </si>
  <si>
    <t>PART B.  APPLICATIONS PROCESSED UNDER EXPEDITED SERVICES (ES)</t>
  </si>
  <si>
    <t>3.</t>
  </si>
  <si>
    <t>Of the applications disposed of during the month in Item 2, applications processed under ES (Item 3A plus Item 3B)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.…</t>
  </si>
  <si>
    <t xml:space="preserve">a. </t>
  </si>
  <si>
    <t xml:space="preserve"> Found entitled to ES (Sum of Items 3a1 through 3a3)…………………………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..……………………………………………………</t>
  </si>
  <si>
    <t xml:space="preserve">1)  </t>
  </si>
  <si>
    <t>Benefits issued in 1-3 days………………………………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..………………...…………………………</t>
  </si>
  <si>
    <t xml:space="preserve">2)  </t>
  </si>
  <si>
    <t>Benefits issued in 4-7 day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...………………………….…………………...…………………………</t>
  </si>
  <si>
    <t xml:space="preserve">3)  </t>
  </si>
  <si>
    <t>Benefits issued in over 7 day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..…………………………..………………………………………….….…..</t>
  </si>
  <si>
    <t xml:space="preserve">b. </t>
  </si>
  <si>
    <t>Found not entitled to E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……………………..….</t>
  </si>
  <si>
    <t>PART C.  CERTIFIED CASELOAD MOVEMENT</t>
  </si>
  <si>
    <t>4.</t>
  </si>
  <si>
    <t>Cases brought forward at the beginning of the month……………………..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..………………………………………………………………………………………...…………………...………………..</t>
  </si>
  <si>
    <t>Item 8 from last month's report, as reported to CDSS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.……………………………………………………………………………………………………………..………..</t>
  </si>
  <si>
    <t>Adjustment (Item 4 minus Item 4a, positive or negative number, explain in the Item 4b Adjustment Explanation box)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.</t>
  </si>
  <si>
    <t>5.</t>
  </si>
  <si>
    <t>Cases added during the month (Sum of Items 5a through 5e, positive or negative number)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……..</t>
  </si>
  <si>
    <t>PACF</t>
  </si>
  <si>
    <t>NACF</t>
  </si>
  <si>
    <t>Federal</t>
  </si>
  <si>
    <t>Fed/State</t>
  </si>
  <si>
    <t>State</t>
  </si>
  <si>
    <t>Applications approved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...…………..</t>
  </si>
  <si>
    <t>Change in assistance status from PACF or NACF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……...…………..………………...…………………………………………………………………………….</t>
  </si>
  <si>
    <t xml:space="preserve">c.  </t>
  </si>
  <si>
    <t>Inter-County Transfers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...……….</t>
  </si>
  <si>
    <t>d.</t>
  </si>
  <si>
    <t>Cases with eligibility reinstated and benefits pro-rated during the month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..</t>
  </si>
  <si>
    <t>e.</t>
  </si>
  <si>
    <t>Other approvals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.……………..….</t>
  </si>
  <si>
    <t xml:space="preserve">6.  </t>
  </si>
  <si>
    <t>Total cases open during the month (Certified eligible to participate during the month)</t>
  </si>
  <si>
    <t>(Item 4 plus Item 5; also sum of Items 6a through 6c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………………………….………………………………..</t>
  </si>
  <si>
    <t>Pure federal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.……………….</t>
  </si>
  <si>
    <t>Federal persons in Item 6a cases</t>
  </si>
  <si>
    <t>Federal Persons</t>
  </si>
  <si>
    <t>State Persons</t>
  </si>
  <si>
    <t>plus federal persons in Item 6b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</t>
  </si>
  <si>
    <t>Singles</t>
  </si>
  <si>
    <t>Families</t>
  </si>
  <si>
    <t>Federal/State combined cases…………………………………………………………………….……………………………………………………………………</t>
  </si>
  <si>
    <t>Pure state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…………………………………………………………………………………………………………………………………………………………….……..</t>
  </si>
  <si>
    <t xml:space="preserve">7.  </t>
  </si>
  <si>
    <t>Cases discontinued during the month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…………………………………………………………………..</t>
  </si>
  <si>
    <t>Households discontinued due to recipient failure to complete application process for ongoing benefits (ES only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..</t>
  </si>
  <si>
    <t xml:space="preserve">8.  </t>
  </si>
  <si>
    <t>Cases brought forward at the end of the month (Item 6 minus Item 7)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</t>
  </si>
  <si>
    <t>PART D.  RECERTIFICATIONS</t>
  </si>
  <si>
    <t>9.</t>
  </si>
  <si>
    <t>Recertifications disposed of during the month (Item 9a plus Item 9b)………………………………………………………………………………………………………………………</t>
  </si>
  <si>
    <t>Determined continuing eligible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..</t>
  </si>
  <si>
    <t>Determined ineligible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</t>
  </si>
  <si>
    <t>10.</t>
  </si>
  <si>
    <t>Overdue recertifications (CWD caused) during the month…………………………………………………………………………………………………………………………………………………………………………………………</t>
  </si>
  <si>
    <t>CDSS use only:</t>
  </si>
  <si>
    <t xml:space="preserve">Not accessible page.  Please go to next sheet for accessible version. </t>
  </si>
  <si>
    <t xml:space="preserve">PART A.  </t>
  </si>
  <si>
    <t>Part B</t>
  </si>
  <si>
    <t>PART C</t>
  </si>
  <si>
    <t>PART D</t>
  </si>
  <si>
    <t xml:space="preserve">Total (C) </t>
  </si>
  <si>
    <t>PACF (Federal)</t>
  </si>
  <si>
    <t>PACF (Fed/State)</t>
  </si>
  <si>
    <t>PACF (State)</t>
  </si>
  <si>
    <t>NACF (Federal)</t>
  </si>
  <si>
    <t>NACF (Fed/State)</t>
  </si>
  <si>
    <t>NACF (State)</t>
  </si>
  <si>
    <t>State Persons: Single</t>
  </si>
  <si>
    <t>State Persons: Families</t>
  </si>
  <si>
    <t>PACF: Federal</t>
  </si>
  <si>
    <t>PACF: Fed/State</t>
  </si>
  <si>
    <t>PACF: State</t>
  </si>
  <si>
    <t>NACF: Federal</t>
  </si>
  <si>
    <t>NACF: Fed/State</t>
  </si>
  <si>
    <t>NACF: State</t>
  </si>
  <si>
    <t>1. Applications received during the month</t>
  </si>
  <si>
    <t>1A. Online applications received during the month</t>
  </si>
  <si>
    <t>2. Applications disposed of during the month (sum of Items 2a through 2c)</t>
  </si>
  <si>
    <t>2A. Applications approved (Same as Item 5A/Cell 61)</t>
  </si>
  <si>
    <t>2A.1) Applications approved in over 30 days (CWD caused)</t>
  </si>
  <si>
    <t>2B. Applications denied (Item 2B1 plus Item 2B2)</t>
  </si>
  <si>
    <t>2B.1) Applications denied because determined ineligible</t>
  </si>
  <si>
    <t>2B.2) Applications denied for procedural reasons</t>
  </si>
  <si>
    <t>2B.C) Applications denied in over 30 days (CWD caused)</t>
  </si>
  <si>
    <t>2C. Applications withdrawn</t>
  </si>
  <si>
    <t>3. Of the applications disposed of during the month in Item 2, applications processed under ES (Item 3A plus Item 3B)</t>
  </si>
  <si>
    <t>3A. Found entitled to ES (Sum of Items 3A1 through 3A3)</t>
  </si>
  <si>
    <t>3A.1) Benefits issued in 1-3 days</t>
  </si>
  <si>
    <t>3A.2) Benefits issued in 4-7 days</t>
  </si>
  <si>
    <t>3A.3) Benefits issued in over 7 days</t>
  </si>
  <si>
    <t>3B. Found not entitled to ES</t>
  </si>
  <si>
    <t>4. Cases brought forward at the beginning of the month</t>
  </si>
  <si>
    <t>4A. Item 8 from last month's report, as reported to CDSS</t>
  </si>
  <si>
    <t>4B. Adjustment (Item 4 minus Item 4A, positive or negative number, explain in the Item 4B Adjustment Explanation)</t>
  </si>
  <si>
    <t>5. Cases added during the month (Sum of Items 5A through 5E, positive or negative number)</t>
  </si>
  <si>
    <t>5A. Applications Approved</t>
  </si>
  <si>
    <t>5B. Change in assistance status from PACF or NACF</t>
  </si>
  <si>
    <t>5C. Inter-County Transfers</t>
  </si>
  <si>
    <t>5D. Cases with eligibility reinstated and benefits pro-rated during the month</t>
  </si>
  <si>
    <t>5E. Other Approvals</t>
  </si>
  <si>
    <t>6. Total cases open during the month (Certified eligible to participate during the month) (Item 4 plus Item 5; also sum of Items 6A through 6C)</t>
  </si>
  <si>
    <t>6A. Pure federal cases</t>
  </si>
  <si>
    <t>6A.1) Federal persons in Item 6A cases plus federal persons in Item 6B cases</t>
  </si>
  <si>
    <t>6B. Federal/State combined cases</t>
  </si>
  <si>
    <t>6C. Pure state cases</t>
  </si>
  <si>
    <t>7. Cases discontinued during the month</t>
  </si>
  <si>
    <t>7A. Households discontinued due to recipient failure to complete application process for ongoing benefits (ES only)</t>
  </si>
  <si>
    <t>8. Cases brought forward at the end of the month (Item 6 minus Item 7)</t>
  </si>
  <si>
    <t>9. Recertifications disposed of during the month (Item 9A plus Item 9B)</t>
  </si>
  <si>
    <t>9A. Determined continuing eligible</t>
  </si>
  <si>
    <t>9B. Determined ineligible</t>
  </si>
  <si>
    <t>10. Overdue recertifications (CWD caused) during the month</t>
  </si>
  <si>
    <t>County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</si>
  <si>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</si>
  <si>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</si>
  <si>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</si>
  <si>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</si>
  <si>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</si>
  <si>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</si>
  <si>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</si>
  <si>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</si>
  <si>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</si>
  <si>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</si>
  <si>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</si>
  <si>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</si>
  <si>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</si>
  <si>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</si>
  <si>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</si>
  <si>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</si>
  <si>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</si>
  <si>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</si>
  <si>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</si>
  <si>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</si>
  <si>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</si>
  <si>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</si>
  <si>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</si>
  <si>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</si>
  <si>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</si>
  <si>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</si>
  <si>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</si>
  <si>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</si>
  <si>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</si>
  <si>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</si>
  <si>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</si>
  <si>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</si>
  <si>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</si>
  <si>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</si>
  <si>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</si>
  <si>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</si>
  <si>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</si>
  <si>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</si>
  <si>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</si>
  <si>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</si>
  <si>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</si>
  <si>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</si>
  <si>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</si>
  <si>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</si>
  <si>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</si>
  <si>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</si>
  <si>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</si>
  <si>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</si>
  <si>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</si>
  <si>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</si>
  <si>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Cell 51</t>
  </si>
  <si>
    <t>Cell 52</t>
  </si>
  <si>
    <t>Cell 53</t>
  </si>
  <si>
    <t>Cell 54</t>
  </si>
  <si>
    <t>Cell 55</t>
  </si>
  <si>
    <t>Cell 56</t>
  </si>
  <si>
    <t>Cell 57</t>
  </si>
  <si>
    <t>Cell 58</t>
  </si>
  <si>
    <t>Cell 59</t>
  </si>
  <si>
    <t>Cell 60</t>
  </si>
  <si>
    <t>Cell 61</t>
  </si>
  <si>
    <t>Cell 62</t>
  </si>
  <si>
    <t>Cell 63</t>
  </si>
  <si>
    <t>Cell 64</t>
  </si>
  <si>
    <t>Cell 65</t>
  </si>
  <si>
    <t>Cell 66</t>
  </si>
  <si>
    <t>Cell 67</t>
  </si>
  <si>
    <t>Cell 68</t>
  </si>
  <si>
    <t>Cell 69</t>
  </si>
  <si>
    <t>Cell 70</t>
  </si>
  <si>
    <t>Cell 71</t>
  </si>
  <si>
    <t>Cell 72</t>
  </si>
  <si>
    <t>Cell 73</t>
  </si>
  <si>
    <t>Cell 74</t>
  </si>
  <si>
    <t>Cell 75</t>
  </si>
  <si>
    <t>Cell 76</t>
  </si>
  <si>
    <t>Cell 77</t>
  </si>
  <si>
    <t>Cell 78</t>
  </si>
  <si>
    <t>Cell 79</t>
  </si>
  <si>
    <t>Cell 80</t>
  </si>
  <si>
    <t>Cell 81</t>
  </si>
  <si>
    <t>Cell 82</t>
  </si>
  <si>
    <t>Cell 83</t>
  </si>
  <si>
    <t>Cell 84</t>
  </si>
  <si>
    <t>Cell 85</t>
  </si>
  <si>
    <t>Cell 86</t>
  </si>
  <si>
    <t>Cell 87</t>
  </si>
  <si>
    <t>Cell 88</t>
  </si>
  <si>
    <t>Cell 89</t>
  </si>
  <si>
    <t>Cell 90</t>
  </si>
  <si>
    <t>Cell 91</t>
  </si>
  <si>
    <t>Cell 92</t>
  </si>
  <si>
    <t>Cell 93</t>
  </si>
  <si>
    <t>Cell 94</t>
  </si>
  <si>
    <t>Cell 95</t>
  </si>
  <si>
    <t>Cell 96</t>
  </si>
  <si>
    <t>Cell 97</t>
  </si>
  <si>
    <t>Cell 98</t>
  </si>
  <si>
    <t>Cell 99</t>
  </si>
  <si>
    <t>Cell 100</t>
  </si>
  <si>
    <t>Cell 101</t>
  </si>
  <si>
    <t>Cell 102</t>
  </si>
  <si>
    <t>Cell 103</t>
  </si>
  <si>
    <t>Cell 104</t>
  </si>
  <si>
    <t>Cell 105</t>
  </si>
  <si>
    <t>Cell 106</t>
  </si>
  <si>
    <t>Cell 107</t>
  </si>
  <si>
    <t>Cell 108</t>
  </si>
  <si>
    <t>Cell 109</t>
  </si>
  <si>
    <t>Cell 110</t>
  </si>
  <si>
    <t>Cell 111</t>
  </si>
  <si>
    <t>Cell 112</t>
  </si>
  <si>
    <t>Cell 113</t>
  </si>
  <si>
    <t>Cell 114</t>
  </si>
  <si>
    <t>Cell 115</t>
  </si>
  <si>
    <t>Cell 116</t>
  </si>
  <si>
    <t>Cell 117</t>
  </si>
  <si>
    <t>Cell 118</t>
  </si>
  <si>
    <t>Cell 119</t>
  </si>
  <si>
    <t>Cell 120</t>
  </si>
  <si>
    <t>Cell 121</t>
  </si>
  <si>
    <t>Cell 122</t>
  </si>
  <si>
    <t>Cell 123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</si>
  <si>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</si>
  <si>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</si>
  <si>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</si>
  <si>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</si>
  <si>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</si>
  <si>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</si>
  <si>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</si>
  <si>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</si>
  <si>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</si>
  <si>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</si>
  <si>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</si>
  <si>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</si>
  <si>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</si>
  <si>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</si>
  <si>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</si>
  <si>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</si>
  <si>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</si>
  <si>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</si>
  <si>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</si>
  <si>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</si>
  <si>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</si>
  <si>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</si>
  <si>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</si>
  <si>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</si>
  <si>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</si>
  <si>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</si>
  <si>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</si>
  <si>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</si>
  <si>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</si>
  <si>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</si>
  <si>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</si>
  <si>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</si>
  <si>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</si>
  <si>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</si>
  <si>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</si>
  <si>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</si>
  <si>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</si>
  <si>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</si>
  <si>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</si>
  <si>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</si>
  <si>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</si>
  <si>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</si>
  <si>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</si>
  <si>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</si>
  <si>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</si>
  <si>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</si>
  <si>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</si>
  <si>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</si>
  <si>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</si>
  <si>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</si>
  <si>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</si>
  <si>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</si>
  <si>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</si>
  <si>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</si>
  <si>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</si>
  <si>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</si>
  <si>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</si>
  <si>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CDSS Use Only:</t>
  </si>
  <si>
    <t xml:space="preserve">Statewide </t>
  </si>
  <si>
    <t/>
  </si>
  <si>
    <t>July 2016 (Accessible sheet). Data table begins in Cell A5. Item descriptions are contained within input messages in Row 5.</t>
  </si>
  <si>
    <t>August 2016</t>
  </si>
  <si>
    <t>August 2016 (Accessible sheet). Data table begins in Cell A5. Item descriptions are contained within input messages in Row 5.</t>
  </si>
  <si>
    <t>September 2016</t>
  </si>
  <si>
    <r>
      <t xml:space="preserve">Amador  </t>
    </r>
    <r>
      <rPr>
        <b/>
        <sz val="12"/>
        <color theme="1"/>
        <rFont val="Arial"/>
        <family val="2"/>
      </rPr>
      <t>a/</t>
    </r>
  </si>
  <si>
    <t>September 2016 (Accessible sheet). Data table begins in Cell A5. Item descriptions are contained within input messages in Row 5.</t>
  </si>
  <si>
    <t>October 2016</t>
  </si>
  <si>
    <t>October 2016 (Accessible sheet). Data table begins in Cell A5. Item descriptions are contained within input messages in Row 5.</t>
  </si>
  <si>
    <t>November 2016</t>
  </si>
  <si>
    <t>November 2016 (Accessible sheet). Data table begins in Cell A5. Item descriptions are contained within input messages in Row 5.</t>
  </si>
  <si>
    <t>December 2016</t>
  </si>
  <si>
    <t>December 2016 (Accessible sheet). Data table begins in Cell A5. Item descriptions are contained within input messages in Row 5.</t>
  </si>
  <si>
    <t>January 2017</t>
  </si>
  <si>
    <t>January 2017 (Accessible sheet). Data table begins in Cell A5. Item descriptions are contained within input messages in Row 5.</t>
  </si>
  <si>
    <t>February 2017</t>
  </si>
  <si>
    <t>February 2017 (Accessible sheet). Data table begins in Cell A5. Item descriptions are contained within input messages in Row 5.</t>
  </si>
  <si>
    <t>March 2017</t>
  </si>
  <si>
    <t>March 2017 (Accessible sheet). Data table begins in Cell A5. Item descriptions are contained within input messages in Row 5.</t>
  </si>
  <si>
    <t>April 2017</t>
  </si>
  <si>
    <r>
      <t xml:space="preserve">Alameda  </t>
    </r>
    <r>
      <rPr>
        <b/>
        <sz val="12"/>
        <color theme="1"/>
        <rFont val="Arial"/>
        <family val="2"/>
      </rPr>
      <t>a/</t>
    </r>
  </si>
  <si>
    <t>April 2017 (Accessible sheet). Data table begins in Cell A5. Item descriptions are contained within input messages in Row 5.</t>
  </si>
  <si>
    <t>May 2017</t>
  </si>
  <si>
    <t>May 2017 (Accessible sheet). Data table begins in Cell A5. Item descriptions are contained within input messages in Row 5.</t>
  </si>
  <si>
    <t>June 2017 (Accessible sheet). Data table begins in Cell A5. Item descriptions are contained within input messages in Row 5.</t>
  </si>
  <si>
    <t>CalFresh Monthly Caseload Movement
Statistical Report (CF 296)</t>
  </si>
  <si>
    <t>Fiscal Year 2016-17 Release Summary</t>
  </si>
  <si>
    <t>Only county level sheets are accessible. Please use hyperlinks in Column A to go to accessible sheets</t>
  </si>
  <si>
    <t xml:space="preserve">County revising:  Plumas
County data not included:  Alameda </t>
  </si>
  <si>
    <t>County revising:  Contra Costa
County data not included:  Alameda</t>
  </si>
  <si>
    <t xml:space="preserve">County revising:  Amador
County data not included:  Alameda </t>
  </si>
  <si>
    <t xml:space="preserve">County revising:  San Mateo
County data not included:  Alameda </t>
  </si>
  <si>
    <t xml:space="preserve">County revising:  Sonoma
County data not included:  Alameda </t>
  </si>
  <si>
    <t xml:space="preserve">County revising:  Contra Costa
County data not included:  Alameda </t>
  </si>
  <si>
    <r>
      <t xml:space="preserve">Plumas  </t>
    </r>
    <r>
      <rPr>
        <b/>
        <sz val="12"/>
        <color theme="1"/>
        <rFont val="Arial"/>
        <family val="2"/>
      </rPr>
      <t>a/</t>
    </r>
  </si>
  <si>
    <r>
      <t xml:space="preserve">Contra Costa  </t>
    </r>
    <r>
      <rPr>
        <b/>
        <sz val="12"/>
        <color theme="1"/>
        <rFont val="Arial"/>
        <family val="2"/>
      </rPr>
      <t>a/</t>
    </r>
  </si>
  <si>
    <r>
      <t xml:space="preserve">San Mateo  </t>
    </r>
    <r>
      <rPr>
        <b/>
        <sz val="12"/>
        <color theme="1"/>
        <rFont val="Arial"/>
        <family val="2"/>
      </rPr>
      <t>a/</t>
    </r>
  </si>
  <si>
    <r>
      <t>San Mateo</t>
    </r>
    <r>
      <rPr>
        <b/>
        <sz val="12"/>
        <color theme="1"/>
        <rFont val="Arial"/>
        <family val="2"/>
      </rPr>
      <t xml:space="preserve">  a/</t>
    </r>
  </si>
  <si>
    <r>
      <t xml:space="preserve">Sonoma  </t>
    </r>
    <r>
      <rPr>
        <b/>
        <sz val="12"/>
        <color theme="1"/>
        <rFont val="Arial"/>
        <family val="2"/>
      </rPr>
      <t>a/</t>
    </r>
  </si>
  <si>
    <r>
      <t xml:space="preserve">San Mateo </t>
    </r>
    <r>
      <rPr>
        <b/>
        <sz val="12"/>
        <color theme="1"/>
        <rFont val="Arial"/>
        <family val="2"/>
      </rPr>
      <t xml:space="preserve"> a/</t>
    </r>
  </si>
  <si>
    <r>
      <t xml:space="preserve">Contra Costa </t>
    </r>
    <r>
      <rPr>
        <b/>
        <sz val="12"/>
        <color theme="1"/>
        <rFont val="Arial"/>
        <family val="2"/>
      </rPr>
      <t xml:space="preserve"> a/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</si>
</sst>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0_)"/>
    <numFmt numFmtId="166" formatCode="mm/dd/yy;@"/>
    <numFmt numFmtId="167" formatCode="mmmm\ d\,\ yyyy"/>
    <numFmt numFmtId="168" formatCode="mmm\ yyyy"/>
    <numFmt numFmtId="169" formatCode="0_);[Red]\(0\)"/>
    <numFmt numFmtId="170" formatCode="0_);\(0\)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9"/>
      <color theme="0"/>
      <name val="Univers"/>
    </font>
    <font>
      <sz val="10"/>
      <name val="Geneva"/>
    </font>
    <font>
      <sz val="10"/>
      <color theme="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Univers"/>
      <family val="2"/>
    </font>
    <font>
      <sz val="10"/>
      <name val="Helv"/>
    </font>
    <font>
      <sz val="7"/>
      <color indexed="12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Courier"/>
      <family val="3"/>
    </font>
    <font>
      <u/>
      <sz val="10"/>
      <color indexed="12"/>
      <name val="Helv"/>
    </font>
    <font>
      <u/>
      <sz val="10"/>
      <color theme="10"/>
      <name val="Geneva"/>
    </font>
    <font>
      <u/>
      <sz val="10"/>
      <color indexed="12"/>
      <name val="Univers"/>
      <family val="2"/>
    </font>
    <font>
      <u/>
      <sz val="10"/>
      <color indexed="12"/>
      <name val="Geneva"/>
    </font>
    <font>
      <u/>
      <sz val="9"/>
      <color indexed="12"/>
      <name val="Univers"/>
      <family val="2"/>
    </font>
    <font>
      <sz val="10"/>
      <name val="Univers"/>
      <family val="2"/>
    </font>
    <font>
      <sz val="8"/>
      <name val="Arial"/>
      <family val="2"/>
    </font>
    <font>
      <sz val="9"/>
      <name val="Univers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6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2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39">
    <xf numFmtId="0" fontId="0" fillId="0" borderId="0"/>
    <xf numFmtId="37" fontId="17" fillId="0" borderId="0"/>
    <xf numFmtId="0" fontId="19" fillId="0" borderId="0"/>
    <xf numFmtId="0" fontId="24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4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4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4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4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4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4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4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4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4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4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4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37" fontId="27" fillId="0" borderId="11">
      <alignment horizontal="left"/>
      <protection locked="0"/>
    </xf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24" fillId="0" borderId="0"/>
    <xf numFmtId="0" fontId="25" fillId="0" borderId="0"/>
    <xf numFmtId="0" fontId="26" fillId="0" borderId="0"/>
    <xf numFmtId="0" fontId="26" fillId="0" borderId="0"/>
    <xf numFmtId="0" fontId="1" fillId="0" borderId="0"/>
    <xf numFmtId="165" fontId="36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65" fontId="36" fillId="0" borderId="0" applyProtection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21" fillId="0" borderId="0"/>
    <xf numFmtId="0" fontId="1" fillId="0" borderId="0"/>
    <xf numFmtId="37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9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26" fillId="0" borderId="0"/>
    <xf numFmtId="37" fontId="17" fillId="0" borderId="0"/>
    <xf numFmtId="0" fontId="21" fillId="0" borderId="0"/>
    <xf numFmtId="37" fontId="17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37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7" fillId="0" borderId="0"/>
    <xf numFmtId="0" fontId="26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/>
    <xf numFmtId="168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7" fillId="0" borderId="0"/>
    <xf numFmtId="0" fontId="1" fillId="0" borderId="0"/>
    <xf numFmtId="0" fontId="1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7" fontId="17" fillId="0" borderId="0"/>
    <xf numFmtId="37" fontId="17" fillId="0" borderId="0"/>
    <xf numFmtId="0" fontId="1" fillId="0" borderId="0"/>
    <xf numFmtId="37" fontId="17" fillId="0" borderId="0"/>
    <xf numFmtId="0" fontId="21" fillId="0" borderId="0"/>
    <xf numFmtId="165" fontId="17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37" fontId="17" fillId="0" borderId="0"/>
    <xf numFmtId="0" fontId="21" fillId="0" borderId="0"/>
    <xf numFmtId="0" fontId="24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212">
    <xf numFmtId="0" fontId="0" fillId="0" borderId="0" xfId="0"/>
    <xf numFmtId="0" fontId="20" fillId="0" borderId="0" xfId="2" applyFont="1" applyAlignment="1" applyProtection="1">
      <alignment vertical="top"/>
      <protection locked="0"/>
    </xf>
    <xf numFmtId="0" fontId="21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2" fillId="0" borderId="11" xfId="2" applyFont="1" applyBorder="1" applyAlignment="1">
      <alignment horizontal="center" vertical="top" wrapText="1"/>
    </xf>
    <xf numFmtId="0" fontId="22" fillId="0" borderId="12" xfId="2" applyFont="1" applyBorder="1" applyAlignment="1">
      <alignment horizontal="center" vertical="top"/>
    </xf>
    <xf numFmtId="0" fontId="22" fillId="0" borderId="13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top" wrapText="1"/>
    </xf>
    <xf numFmtId="0" fontId="22" fillId="0" borderId="10" xfId="2" applyFont="1" applyBorder="1" applyAlignment="1">
      <alignment horizontal="center" vertical="top" wrapText="1"/>
    </xf>
    <xf numFmtId="0" fontId="22" fillId="0" borderId="15" xfId="2" applyFont="1" applyBorder="1" applyAlignment="1">
      <alignment horizontal="center" vertical="top" wrapText="1"/>
    </xf>
    <xf numFmtId="0" fontId="23" fillId="33" borderId="16" xfId="2" applyFont="1" applyFill="1" applyBorder="1" applyAlignment="1">
      <alignment horizontal="center" vertical="center"/>
    </xf>
    <xf numFmtId="0" fontId="23" fillId="33" borderId="17" xfId="2" applyFont="1" applyFill="1" applyBorder="1" applyAlignment="1">
      <alignment horizontal="center" vertical="center" wrapText="1"/>
    </xf>
    <xf numFmtId="0" fontId="23" fillId="33" borderId="18" xfId="2" applyFont="1" applyFill="1" applyBorder="1" applyAlignment="1">
      <alignment horizontal="left" vertical="center" wrapText="1"/>
    </xf>
    <xf numFmtId="0" fontId="24" fillId="33" borderId="14" xfId="2" applyFont="1" applyFill="1" applyBorder="1" applyAlignment="1" applyProtection="1">
      <alignment horizontal="left" vertical="center" wrapText="1"/>
      <protection locked="0"/>
    </xf>
    <xf numFmtId="14" fontId="21" fillId="0" borderId="0" xfId="2" applyNumberFormat="1" applyFont="1" applyAlignment="1">
      <alignment vertical="top"/>
    </xf>
    <xf numFmtId="0" fontId="21" fillId="0" borderId="0" xfId="2" applyFont="1" applyAlignment="1">
      <alignment vertical="top" wrapText="1"/>
    </xf>
    <xf numFmtId="0" fontId="24" fillId="33" borderId="22" xfId="2" applyFont="1" applyFill="1" applyBorder="1" applyAlignment="1" applyProtection="1">
      <alignment horizontal="left" vertical="center" wrapText="1"/>
      <protection locked="0"/>
    </xf>
    <xf numFmtId="0" fontId="19" fillId="0" borderId="0" xfId="2"/>
    <xf numFmtId="0" fontId="21" fillId="0" borderId="0" xfId="2" applyFont="1" applyAlignment="1">
      <alignment horizontal="left" vertical="center" wrapText="1"/>
    </xf>
    <xf numFmtId="37" fontId="39" fillId="0" borderId="11" xfId="308" applyFont="1" applyBorder="1" applyAlignment="1">
      <alignment horizontal="left" vertical="center"/>
    </xf>
    <xf numFmtId="37" fontId="40" fillId="0" borderId="12" xfId="308" applyFont="1" applyBorder="1" applyAlignment="1"/>
    <xf numFmtId="37" fontId="40" fillId="0" borderId="12" xfId="308" applyFont="1" applyBorder="1"/>
    <xf numFmtId="37" fontId="41" fillId="0" borderId="12" xfId="308" applyFont="1" applyBorder="1"/>
    <xf numFmtId="37" fontId="41" fillId="0" borderId="12" xfId="308" applyFont="1" applyBorder="1" applyAlignment="1">
      <alignment vertical="top"/>
    </xf>
    <xf numFmtId="37" fontId="40" fillId="0" borderId="13" xfId="308" applyFont="1" applyBorder="1"/>
    <xf numFmtId="37" fontId="41" fillId="0" borderId="0" xfId="308" applyFont="1"/>
    <xf numFmtId="37" fontId="40" fillId="0" borderId="0" xfId="308" applyFont="1"/>
    <xf numFmtId="37" fontId="41" fillId="0" borderId="0" xfId="308" applyFont="1" applyAlignment="1">
      <alignment vertical="top"/>
    </xf>
    <xf numFmtId="37" fontId="42" fillId="0" borderId="0" xfId="308" applyFont="1" applyAlignment="1">
      <alignment vertical="center"/>
    </xf>
    <xf numFmtId="37" fontId="42" fillId="0" borderId="0" xfId="308" applyFont="1" applyAlignment="1">
      <alignment horizontal="right" vertical="center"/>
    </xf>
    <xf numFmtId="37" fontId="43" fillId="0" borderId="0" xfId="308" applyFont="1"/>
    <xf numFmtId="0" fontId="44" fillId="33" borderId="22" xfId="326" applyFont="1" applyFill="1" applyBorder="1" applyAlignment="1" applyProtection="1">
      <alignment horizontal="left"/>
      <protection hidden="1"/>
    </xf>
    <xf numFmtId="0" fontId="44" fillId="33" borderId="0" xfId="326" applyFont="1" applyFill="1" applyBorder="1" applyAlignment="1" applyProtection="1">
      <alignment horizontal="left"/>
      <protection hidden="1"/>
    </xf>
    <xf numFmtId="0" fontId="44" fillId="33" borderId="0" xfId="326" applyFont="1" applyFill="1" applyBorder="1" applyAlignment="1" applyProtection="1">
      <protection hidden="1"/>
    </xf>
    <xf numFmtId="0" fontId="45" fillId="0" borderId="0" xfId="326" applyFont="1" applyFill="1" applyBorder="1" applyAlignment="1" applyProtection="1">
      <protection hidden="1"/>
    </xf>
    <xf numFmtId="0" fontId="46" fillId="0" borderId="20" xfId="326" applyFont="1" applyFill="1" applyBorder="1" applyAlignment="1" applyProtection="1">
      <protection hidden="1"/>
    </xf>
    <xf numFmtId="37" fontId="43" fillId="0" borderId="0" xfId="308" applyFont="1" applyAlignment="1"/>
    <xf numFmtId="37" fontId="40" fillId="0" borderId="0" xfId="308" applyFont="1" applyAlignment="1"/>
    <xf numFmtId="0" fontId="44" fillId="0" borderId="22" xfId="326" applyFont="1" applyFill="1" applyBorder="1" applyAlignment="1" applyProtection="1">
      <protection hidden="1"/>
    </xf>
    <xf numFmtId="0" fontId="44" fillId="0" borderId="0" xfId="326" applyFont="1" applyFill="1" applyBorder="1" applyAlignment="1" applyProtection="1">
      <protection hidden="1"/>
    </xf>
    <xf numFmtId="0" fontId="44" fillId="0" borderId="20" xfId="326" applyFont="1" applyFill="1" applyBorder="1" applyAlignment="1" applyProtection="1">
      <protection hidden="1"/>
    </xf>
    <xf numFmtId="0" fontId="44" fillId="0" borderId="0" xfId="326" applyFont="1" applyFill="1" applyAlignment="1" applyProtection="1">
      <protection hidden="1"/>
    </xf>
    <xf numFmtId="0" fontId="46" fillId="0" borderId="22" xfId="326" applyFont="1" applyFill="1" applyBorder="1" applyAlignment="1" applyProtection="1">
      <alignment horizontal="left" vertical="center" wrapText="1"/>
      <protection hidden="1"/>
    </xf>
    <xf numFmtId="0" fontId="46" fillId="0" borderId="0" xfId="326" applyFont="1" applyFill="1" applyBorder="1" applyAlignment="1" applyProtection="1">
      <alignment wrapText="1"/>
      <protection hidden="1"/>
    </xf>
    <xf numFmtId="0" fontId="45" fillId="0" borderId="0" xfId="326" applyFont="1" applyFill="1" applyBorder="1" applyAlignment="1" applyProtection="1">
      <alignment wrapText="1"/>
      <protection hidden="1"/>
    </xf>
    <xf numFmtId="0" fontId="45" fillId="0" borderId="0" xfId="326" applyFont="1" applyFill="1" applyBorder="1" applyAlignment="1" applyProtection="1">
      <alignment vertical="top" wrapText="1"/>
      <protection hidden="1"/>
    </xf>
    <xf numFmtId="0" fontId="46" fillId="0" borderId="20" xfId="326" applyFont="1" applyFill="1" applyBorder="1" applyAlignment="1" applyProtection="1">
      <alignment wrapText="1"/>
      <protection hidden="1"/>
    </xf>
    <xf numFmtId="0" fontId="47" fillId="0" borderId="23" xfId="308" applyNumberFormat="1" applyFont="1" applyBorder="1" applyAlignment="1">
      <alignment horizontal="center" vertical="center"/>
    </xf>
    <xf numFmtId="0" fontId="47" fillId="0" borderId="24" xfId="308" applyNumberFormat="1" applyFont="1" applyBorder="1" applyAlignment="1">
      <alignment horizontal="center" vertical="center"/>
    </xf>
    <xf numFmtId="37" fontId="48" fillId="0" borderId="0" xfId="308" applyFont="1"/>
    <xf numFmtId="37" fontId="48" fillId="0" borderId="0" xfId="308" applyFont="1" applyAlignment="1">
      <alignment vertical="top"/>
    </xf>
    <xf numFmtId="37" fontId="49" fillId="34" borderId="23" xfId="117" applyNumberFormat="1" applyFont="1" applyFill="1" applyBorder="1" applyAlignment="1" applyProtection="1">
      <alignment horizontal="left"/>
    </xf>
    <xf numFmtId="37" fontId="49" fillId="34" borderId="24" xfId="117" applyNumberFormat="1" applyFont="1" applyFill="1" applyBorder="1" applyAlignment="1" applyProtection="1">
      <alignment horizontal="left"/>
    </xf>
    <xf numFmtId="37" fontId="49" fillId="34" borderId="25" xfId="117" applyNumberFormat="1" applyFont="1" applyFill="1" applyBorder="1" applyAlignment="1" applyProtection="1">
      <alignment horizontal="left"/>
    </xf>
    <xf numFmtId="37" fontId="50" fillId="34" borderId="23" xfId="117" applyFont="1" applyFill="1" applyBorder="1" applyAlignment="1" applyProtection="1">
      <alignment horizontal="center" vertical="top"/>
    </xf>
    <xf numFmtId="37" fontId="50" fillId="34" borderId="24" xfId="117" applyFont="1" applyFill="1" applyBorder="1" applyAlignment="1" applyProtection="1">
      <alignment horizontal="center" vertical="top"/>
    </xf>
    <xf numFmtId="37" fontId="50" fillId="34" borderId="25" xfId="117" applyFont="1" applyFill="1" applyBorder="1" applyAlignment="1" applyProtection="1">
      <alignment horizontal="center" vertical="top"/>
    </xf>
    <xf numFmtId="37" fontId="43" fillId="0" borderId="22" xfId="117" quotePrefix="1" applyNumberFormat="1" applyFont="1" applyBorder="1" applyAlignment="1" applyProtection="1">
      <alignment horizontal="left"/>
    </xf>
    <xf numFmtId="37" fontId="43" fillId="0" borderId="12" xfId="117" applyFont="1" applyBorder="1" applyAlignment="1" applyProtection="1"/>
    <xf numFmtId="37" fontId="43" fillId="0" borderId="13" xfId="117" applyFont="1" applyBorder="1" applyAlignment="1" applyProtection="1"/>
    <xf numFmtId="37" fontId="41" fillId="35" borderId="11" xfId="117" quotePrefix="1" applyFont="1" applyFill="1" applyBorder="1" applyAlignment="1" applyProtection="1">
      <alignment vertical="top"/>
    </xf>
    <xf numFmtId="37" fontId="41" fillId="35" borderId="12" xfId="117" quotePrefix="1" applyFont="1" applyFill="1" applyBorder="1" applyAlignment="1" applyProtection="1">
      <alignment vertical="top"/>
    </xf>
    <xf numFmtId="37" fontId="41" fillId="35" borderId="13" xfId="117" quotePrefix="1" applyFont="1" applyFill="1" applyBorder="1" applyAlignment="1" applyProtection="1">
      <alignment vertical="top"/>
    </xf>
    <xf numFmtId="37" fontId="41" fillId="0" borderId="14" xfId="117" quotePrefix="1" applyFont="1" applyBorder="1" applyAlignment="1" applyProtection="1">
      <alignment horizontal="left" vertical="top"/>
    </xf>
    <xf numFmtId="169" fontId="43" fillId="0" borderId="15" xfId="117" applyNumberFormat="1" applyFont="1" applyBorder="1" applyAlignment="1" applyProtection="1">
      <protection locked="0"/>
    </xf>
    <xf numFmtId="37" fontId="43" fillId="0" borderId="0" xfId="117" applyNumberFormat="1" applyFont="1" applyBorder="1" applyAlignment="1" applyProtection="1">
      <alignment horizontal="left"/>
    </xf>
    <xf numFmtId="37" fontId="43" fillId="0" borderId="0" xfId="117" applyFont="1" applyBorder="1" applyAlignment="1" applyProtection="1"/>
    <xf numFmtId="37" fontId="43" fillId="0" borderId="20" xfId="117" applyFont="1" applyBorder="1" applyAlignment="1" applyProtection="1"/>
    <xf numFmtId="37" fontId="41" fillId="35" borderId="22" xfId="117" quotePrefix="1" applyFont="1" applyFill="1" applyBorder="1" applyAlignment="1" applyProtection="1">
      <alignment vertical="top"/>
    </xf>
    <xf numFmtId="37" fontId="41" fillId="35" borderId="0" xfId="117" quotePrefix="1" applyFont="1" applyFill="1" applyBorder="1" applyAlignment="1" applyProtection="1">
      <alignment vertical="top"/>
    </xf>
    <xf numFmtId="37" fontId="41" fillId="35" borderId="20" xfId="117" quotePrefix="1" applyFont="1" applyFill="1" applyBorder="1" applyAlignment="1" applyProtection="1">
      <alignment vertical="top"/>
    </xf>
    <xf numFmtId="37" fontId="41" fillId="0" borderId="23" xfId="117" quotePrefix="1" applyFont="1" applyBorder="1" applyAlignment="1" applyProtection="1">
      <alignment horizontal="left" vertical="top"/>
    </xf>
    <xf numFmtId="169" fontId="43" fillId="0" borderId="15" xfId="117" quotePrefix="1" applyNumberFormat="1" applyFont="1" applyBorder="1" applyAlignment="1" applyProtection="1">
      <protection locked="0"/>
    </xf>
    <xf numFmtId="37" fontId="43" fillId="0" borderId="0" xfId="308" applyFont="1" applyAlignment="1">
      <alignment vertical="center"/>
    </xf>
    <xf numFmtId="37" fontId="43" fillId="0" borderId="0" xfId="117" applyNumberFormat="1" applyFont="1" applyBorder="1" applyAlignment="1" applyProtection="1">
      <alignment horizontal="left"/>
    </xf>
    <xf numFmtId="37" fontId="43" fillId="0" borderId="20" xfId="117" applyNumberFormat="1" applyFont="1" applyBorder="1" applyAlignment="1" applyProtection="1">
      <alignment horizontal="left"/>
    </xf>
    <xf numFmtId="37" fontId="41" fillId="36" borderId="23" xfId="117" quotePrefix="1" applyFont="1" applyFill="1" applyBorder="1" applyAlignment="1" applyProtection="1">
      <alignment horizontal="left" vertical="top"/>
    </xf>
    <xf numFmtId="169" fontId="50" fillId="36" borderId="25" xfId="117" applyNumberFormat="1" applyFont="1" applyFill="1" applyBorder="1" applyAlignment="1" applyProtection="1"/>
    <xf numFmtId="37" fontId="43" fillId="0" borderId="0" xfId="117" applyFont="1" applyBorder="1" applyAlignment="1" applyProtection="1"/>
    <xf numFmtId="37" fontId="41" fillId="35" borderId="14" xfId="117" quotePrefix="1" applyFont="1" applyFill="1" applyBorder="1" applyAlignment="1" applyProtection="1">
      <alignment vertical="top"/>
    </xf>
    <xf numFmtId="37" fontId="41" fillId="35" borderId="10" xfId="117" quotePrefix="1" applyFont="1" applyFill="1" applyBorder="1" applyAlignment="1" applyProtection="1">
      <alignment vertical="top"/>
    </xf>
    <xf numFmtId="37" fontId="41" fillId="35" borderId="15" xfId="117" quotePrefix="1" applyFont="1" applyFill="1" applyBorder="1" applyAlignment="1" applyProtection="1">
      <alignment vertical="top"/>
    </xf>
    <xf numFmtId="37" fontId="41" fillId="0" borderId="11" xfId="117" quotePrefix="1" applyFont="1" applyBorder="1" applyAlignment="1" applyProtection="1">
      <alignment horizontal="left" vertical="top"/>
    </xf>
    <xf numFmtId="37" fontId="43" fillId="0" borderId="20" xfId="117" applyFont="1" applyBorder="1" applyAlignment="1" applyProtection="1"/>
    <xf numFmtId="37" fontId="41" fillId="36" borderId="22" xfId="117" quotePrefix="1" applyFont="1" applyFill="1" applyBorder="1" applyAlignment="1" applyProtection="1">
      <alignment horizontal="left" vertical="top"/>
    </xf>
    <xf numFmtId="169" fontId="50" fillId="36" borderId="20" xfId="117" quotePrefix="1" applyNumberFormat="1" applyFont="1" applyFill="1" applyBorder="1" applyAlignment="1" applyProtection="1"/>
    <xf numFmtId="37" fontId="43" fillId="0" borderId="22" xfId="117" applyNumberFormat="1" applyFont="1" applyBorder="1" applyAlignment="1" applyProtection="1">
      <alignment horizontal="left"/>
    </xf>
    <xf numFmtId="37" fontId="43" fillId="0" borderId="0" xfId="117" applyNumberFormat="1" applyFont="1" applyBorder="1" applyAlignment="1" applyProtection="1"/>
    <xf numFmtId="37" fontId="41" fillId="36" borderId="11" xfId="117" quotePrefix="1" applyFont="1" applyFill="1" applyBorder="1" applyAlignment="1" applyProtection="1">
      <alignment horizontal="left" vertical="top"/>
    </xf>
    <xf numFmtId="169" fontId="50" fillId="36" borderId="15" xfId="117" applyNumberFormat="1" applyFont="1" applyFill="1" applyBorder="1" applyAlignment="1" applyProtection="1"/>
    <xf numFmtId="169" fontId="50" fillId="36" borderId="13" xfId="117" quotePrefix="1" applyNumberFormat="1" applyFont="1" applyFill="1" applyBorder="1" applyAlignment="1" applyProtection="1"/>
    <xf numFmtId="37" fontId="43" fillId="0" borderId="22" xfId="117" applyNumberFormat="1" applyFont="1" applyBorder="1" applyAlignment="1" applyProtection="1"/>
    <xf numFmtId="37" fontId="43" fillId="0" borderId="0" xfId="117" quotePrefix="1" applyNumberFormat="1" applyFont="1" applyBorder="1" applyAlignment="1" applyProtection="1"/>
    <xf numFmtId="37" fontId="43" fillId="0" borderId="0" xfId="117" applyNumberFormat="1" applyFont="1" applyBorder="1" applyAlignment="1" applyProtection="1"/>
    <xf numFmtId="37" fontId="43" fillId="0" borderId="20" xfId="117" applyNumberFormat="1" applyFont="1" applyBorder="1" applyAlignment="1" applyProtection="1"/>
    <xf numFmtId="37" fontId="43" fillId="0" borderId="10" xfId="117" quotePrefix="1" applyNumberFormat="1" applyFont="1" applyFill="1" applyBorder="1" applyAlignment="1" applyProtection="1"/>
    <xf numFmtId="37" fontId="43" fillId="0" borderId="15" xfId="117" quotePrefix="1" applyNumberFormat="1" applyFont="1" applyFill="1" applyBorder="1" applyAlignment="1" applyProtection="1"/>
    <xf numFmtId="37" fontId="43" fillId="0" borderId="22" xfId="117" quotePrefix="1" applyFont="1" applyBorder="1" applyAlignment="1" applyProtection="1">
      <alignment horizontal="left"/>
    </xf>
    <xf numFmtId="37" fontId="41" fillId="36" borderId="14" xfId="117" quotePrefix="1" applyFont="1" applyFill="1" applyBorder="1" applyAlignment="1" applyProtection="1">
      <alignment horizontal="left" vertical="top"/>
    </xf>
    <xf numFmtId="37" fontId="43" fillId="0" borderId="22" xfId="117" applyFont="1" applyBorder="1" applyAlignment="1" applyProtection="1">
      <alignment horizontal="left"/>
    </xf>
    <xf numFmtId="37" fontId="43" fillId="0" borderId="0" xfId="117" quotePrefix="1" applyFont="1" applyBorder="1" applyAlignment="1" applyProtection="1"/>
    <xf numFmtId="37" fontId="43" fillId="0" borderId="0" xfId="117" applyFont="1" applyFill="1" applyBorder="1" applyAlignment="1" applyProtection="1"/>
    <xf numFmtId="37" fontId="43" fillId="0" borderId="20" xfId="117" applyFont="1" applyFill="1" applyBorder="1" applyAlignment="1" applyProtection="1"/>
    <xf numFmtId="37" fontId="43" fillId="0" borderId="10" xfId="117" applyFont="1" applyBorder="1" applyAlignment="1" applyProtection="1"/>
    <xf numFmtId="37" fontId="43" fillId="0" borderId="15" xfId="117" applyFont="1" applyBorder="1" applyAlignment="1" applyProtection="1"/>
    <xf numFmtId="37" fontId="43" fillId="0" borderId="0" xfId="117" applyFont="1" applyBorder="1" applyAlignment="1" applyProtection="1">
      <alignment horizontal="left"/>
    </xf>
    <xf numFmtId="37" fontId="43" fillId="0" borderId="20" xfId="117" applyFont="1" applyBorder="1" applyAlignment="1" applyProtection="1">
      <alignment horizontal="left"/>
    </xf>
    <xf numFmtId="37" fontId="43" fillId="0" borderId="0" xfId="117" applyFont="1" applyBorder="1" applyAlignment="1" applyProtection="1">
      <alignment horizontal="left"/>
    </xf>
    <xf numFmtId="170" fontId="50" fillId="36" borderId="25" xfId="117" applyNumberFormat="1" applyFont="1" applyFill="1" applyBorder="1" applyAlignment="1" applyProtection="1"/>
    <xf numFmtId="170" fontId="50" fillId="36" borderId="13" xfId="117" quotePrefix="1" applyNumberFormat="1" applyFont="1" applyFill="1" applyBorder="1" applyAlignment="1" applyProtection="1"/>
    <xf numFmtId="169" fontId="50" fillId="36" borderId="13" xfId="117" applyNumberFormat="1" applyFont="1" applyFill="1" applyBorder="1" applyAlignment="1" applyProtection="1"/>
    <xf numFmtId="37" fontId="43" fillId="0" borderId="0" xfId="117" applyFont="1" applyBorder="1" applyAlignment="1" applyProtection="1">
      <alignment vertical="top"/>
    </xf>
    <xf numFmtId="37" fontId="50" fillId="34" borderId="23" xfId="117" applyFont="1" applyFill="1" applyBorder="1" applyAlignment="1" applyProtection="1">
      <alignment horizontal="center" vertical="center"/>
    </xf>
    <xf numFmtId="37" fontId="50" fillId="34" borderId="24" xfId="117" applyFont="1" applyFill="1" applyBorder="1" applyAlignment="1" applyProtection="1">
      <alignment horizontal="center" vertical="center"/>
    </xf>
    <xf numFmtId="37" fontId="50" fillId="34" borderId="25" xfId="117" applyFont="1" applyFill="1" applyBorder="1" applyAlignment="1" applyProtection="1">
      <alignment horizontal="center" vertical="center"/>
    </xf>
    <xf numFmtId="37" fontId="43" fillId="35" borderId="11" xfId="117" applyFont="1" applyFill="1" applyBorder="1" applyAlignment="1" applyProtection="1">
      <alignment vertical="top"/>
    </xf>
    <xf numFmtId="37" fontId="43" fillId="35" borderId="12" xfId="117" applyFont="1" applyFill="1" applyBorder="1" applyAlignment="1" applyProtection="1">
      <alignment vertical="top"/>
    </xf>
    <xf numFmtId="37" fontId="43" fillId="35" borderId="13" xfId="117" applyFont="1" applyFill="1" applyBorder="1" applyAlignment="1" applyProtection="1">
      <alignment vertical="top"/>
    </xf>
    <xf numFmtId="37" fontId="43" fillId="0" borderId="0" xfId="189" applyFont="1"/>
    <xf numFmtId="37" fontId="43" fillId="35" borderId="14" xfId="117" applyFont="1" applyFill="1" applyBorder="1" applyAlignment="1" applyProtection="1">
      <alignment vertical="top"/>
    </xf>
    <xf numFmtId="37" fontId="43" fillId="35" borderId="10" xfId="117" applyFont="1" applyFill="1" applyBorder="1" applyAlignment="1" applyProtection="1">
      <alignment vertical="top"/>
    </xf>
    <xf numFmtId="37" fontId="43" fillId="35" borderId="15" xfId="117" applyFont="1" applyFill="1" applyBorder="1" applyAlignment="1" applyProtection="1">
      <alignment vertical="top"/>
    </xf>
    <xf numFmtId="37" fontId="41" fillId="33" borderId="23" xfId="117" quotePrefix="1" applyFont="1" applyFill="1" applyBorder="1" applyAlignment="1" applyProtection="1">
      <alignment horizontal="left" vertical="top"/>
    </xf>
    <xf numFmtId="169" fontId="50" fillId="36" borderId="25" xfId="117" applyNumberFormat="1" applyFont="1" applyFill="1" applyBorder="1" applyAlignment="1" applyProtection="1">
      <alignment horizontal="right" vertical="top"/>
    </xf>
    <xf numFmtId="37" fontId="41" fillId="36" borderId="24" xfId="117" quotePrefix="1" applyFont="1" applyFill="1" applyBorder="1" applyAlignment="1" applyProtection="1">
      <alignment horizontal="left" vertical="top"/>
    </xf>
    <xf numFmtId="170" fontId="43" fillId="0" borderId="15" xfId="117" applyNumberFormat="1" applyFont="1" applyBorder="1" applyAlignment="1" applyProtection="1">
      <protection locked="0"/>
    </xf>
    <xf numFmtId="37" fontId="41" fillId="0" borderId="24" xfId="117" quotePrefix="1" applyFont="1" applyBorder="1" applyAlignment="1" applyProtection="1">
      <alignment horizontal="left" vertical="top"/>
    </xf>
    <xf numFmtId="37" fontId="41" fillId="35" borderId="23" xfId="117" quotePrefix="1" applyFont="1" applyFill="1" applyBorder="1" applyAlignment="1" applyProtection="1">
      <alignment vertical="top"/>
    </xf>
    <xf numFmtId="37" fontId="41" fillId="35" borderId="24" xfId="117" quotePrefix="1" applyFont="1" applyFill="1" applyBorder="1" applyAlignment="1" applyProtection="1">
      <alignment vertical="top"/>
    </xf>
    <xf numFmtId="37" fontId="41" fillId="35" borderId="25" xfId="117" quotePrefix="1" applyFont="1" applyFill="1" applyBorder="1" applyAlignment="1" applyProtection="1">
      <alignment vertical="top"/>
    </xf>
    <xf numFmtId="37" fontId="43" fillId="0" borderId="0" xfId="117" applyFont="1" applyFill="1" applyBorder="1" applyAlignment="1" applyProtection="1">
      <alignment horizontal="left"/>
    </xf>
    <xf numFmtId="37" fontId="43" fillId="0" borderId="20" xfId="117" applyFont="1" applyFill="1" applyBorder="1" applyAlignment="1" applyProtection="1">
      <alignment horizontal="left"/>
    </xf>
    <xf numFmtId="37" fontId="41" fillId="0" borderId="22" xfId="117" quotePrefix="1" applyFont="1" applyBorder="1" applyAlignment="1" applyProtection="1">
      <alignment horizontal="left" vertical="top"/>
    </xf>
    <xf numFmtId="37" fontId="43" fillId="0" borderId="0" xfId="117" quotePrefix="1" applyFont="1" applyBorder="1" applyAlignment="1" applyProtection="1">
      <alignment horizontal="left"/>
    </xf>
    <xf numFmtId="37" fontId="41" fillId="0" borderId="23" xfId="117" applyFont="1" applyBorder="1" applyAlignment="1" applyProtection="1">
      <alignment horizontal="left" vertical="top"/>
    </xf>
    <xf numFmtId="169" fontId="50" fillId="36" borderId="25" xfId="117" quotePrefix="1" applyNumberFormat="1" applyFont="1" applyFill="1" applyBorder="1" applyAlignment="1" applyProtection="1"/>
    <xf numFmtId="37" fontId="41" fillId="0" borderId="14" xfId="117" applyFont="1" applyBorder="1" applyAlignment="1" applyProtection="1">
      <alignment horizontal="left" vertical="top"/>
    </xf>
    <xf numFmtId="37" fontId="43" fillId="33" borderId="22" xfId="117" quotePrefix="1" applyFont="1" applyFill="1" applyBorder="1" applyAlignment="1" applyProtection="1">
      <alignment horizontal="left"/>
    </xf>
    <xf numFmtId="37" fontId="43" fillId="33" borderId="0" xfId="117" applyFont="1" applyFill="1" applyBorder="1" applyAlignment="1" applyProtection="1">
      <alignment horizontal="left"/>
    </xf>
    <xf numFmtId="37" fontId="43" fillId="33" borderId="0" xfId="117" applyFont="1" applyFill="1" applyBorder="1" applyAlignment="1" applyProtection="1">
      <alignment horizontal="left"/>
    </xf>
    <xf numFmtId="37" fontId="43" fillId="33" borderId="20" xfId="117" applyFont="1" applyFill="1" applyBorder="1" applyAlignment="1" applyProtection="1">
      <alignment horizontal="left"/>
    </xf>
    <xf numFmtId="37" fontId="41" fillId="36" borderId="11" xfId="189" quotePrefix="1" applyFont="1" applyFill="1" applyBorder="1" applyAlignment="1" applyProtection="1">
      <alignment horizontal="left" vertical="top"/>
    </xf>
    <xf numFmtId="169" fontId="50" fillId="36" borderId="13" xfId="117" applyNumberFormat="1" applyFont="1" applyFill="1" applyBorder="1" applyAlignment="1" applyProtection="1">
      <alignment horizontal="right"/>
    </xf>
    <xf numFmtId="169" fontId="50" fillId="36" borderId="12" xfId="117" applyNumberFormat="1" applyFont="1" applyFill="1" applyBorder="1" applyAlignment="1" applyProtection="1">
      <alignment horizontal="right"/>
    </xf>
    <xf numFmtId="37" fontId="41" fillId="36" borderId="14" xfId="189" quotePrefix="1" applyFont="1" applyFill="1" applyBorder="1" applyAlignment="1" applyProtection="1">
      <alignment horizontal="left" vertical="top"/>
    </xf>
    <xf numFmtId="169" fontId="50" fillId="36" borderId="15" xfId="117" applyNumberFormat="1" applyFont="1" applyFill="1" applyBorder="1" applyAlignment="1" applyProtection="1">
      <alignment horizontal="right" vertical="top"/>
    </xf>
    <xf numFmtId="169" fontId="50" fillId="36" borderId="15" xfId="117" quotePrefix="1" applyNumberFormat="1" applyFont="1" applyFill="1" applyBorder="1" applyAlignment="1" applyProtection="1"/>
    <xf numFmtId="37" fontId="41" fillId="35" borderId="11" xfId="117" applyFont="1" applyFill="1" applyBorder="1" applyAlignment="1" applyProtection="1">
      <alignment vertical="top"/>
    </xf>
    <xf numFmtId="37" fontId="41" fillId="35" borderId="12" xfId="117" applyFont="1" applyFill="1" applyBorder="1" applyAlignment="1" applyProtection="1">
      <alignment vertical="top"/>
    </xf>
    <xf numFmtId="37" fontId="41" fillId="35" borderId="13" xfId="117" applyFont="1" applyFill="1" applyBorder="1" applyAlignment="1" applyProtection="1">
      <alignment vertical="top"/>
    </xf>
    <xf numFmtId="0" fontId="51" fillId="0" borderId="0" xfId="2" applyFont="1" applyAlignment="1">
      <alignment horizontal="left" vertical="center"/>
    </xf>
    <xf numFmtId="37" fontId="41" fillId="35" borderId="14" xfId="117" applyFont="1" applyFill="1" applyBorder="1" applyAlignment="1" applyProtection="1">
      <alignment vertical="top"/>
    </xf>
    <xf numFmtId="37" fontId="41" fillId="35" borderId="10" xfId="117" applyFont="1" applyFill="1" applyBorder="1" applyAlignment="1" applyProtection="1">
      <alignment vertical="top"/>
    </xf>
    <xf numFmtId="37" fontId="41" fillId="35" borderId="15" xfId="117" applyFont="1" applyFill="1" applyBorder="1" applyAlignment="1" applyProtection="1">
      <alignment vertical="top"/>
    </xf>
    <xf numFmtId="0" fontId="49" fillId="0" borderId="0" xfId="2" applyFont="1" applyAlignment="1">
      <alignment horizontal="left" vertical="center"/>
    </xf>
    <xf numFmtId="37" fontId="41" fillId="36" borderId="23" xfId="189" quotePrefix="1" applyFont="1" applyFill="1" applyBorder="1" applyAlignment="1" applyProtection="1">
      <alignment horizontal="left" vertical="top"/>
    </xf>
    <xf numFmtId="169" fontId="50" fillId="36" borderId="25" xfId="117" applyNumberFormat="1" applyFont="1" applyFill="1" applyBorder="1" applyAlignment="1" applyProtection="1">
      <alignment horizontal="right"/>
    </xf>
    <xf numFmtId="0" fontId="43" fillId="0" borderId="0" xfId="2" applyFont="1" applyAlignment="1">
      <alignment horizontal="left" vertical="center"/>
    </xf>
    <xf numFmtId="0" fontId="43" fillId="0" borderId="0" xfId="146" applyFont="1" applyAlignment="1">
      <alignment vertical="top"/>
    </xf>
    <xf numFmtId="37" fontId="43" fillId="0" borderId="14" xfId="117" applyFont="1" applyBorder="1" applyAlignment="1" applyProtection="1">
      <alignment horizontal="left"/>
    </xf>
    <xf numFmtId="37" fontId="43" fillId="0" borderId="10" xfId="117" applyFont="1" applyBorder="1" applyAlignment="1" applyProtection="1">
      <alignment horizontal="left"/>
    </xf>
    <xf numFmtId="37" fontId="43" fillId="0" borderId="15" xfId="117" applyFont="1" applyBorder="1" applyAlignment="1" applyProtection="1">
      <alignment horizontal="left"/>
    </xf>
    <xf numFmtId="37" fontId="41" fillId="0" borderId="23" xfId="189" quotePrefix="1" applyFont="1" applyBorder="1" applyAlignment="1" applyProtection="1">
      <alignment horizontal="left" vertical="top"/>
    </xf>
    <xf numFmtId="37" fontId="43" fillId="0" borderId="0" xfId="117" applyFont="1"/>
    <xf numFmtId="37" fontId="40" fillId="0" borderId="0" xfId="308" applyFont="1" applyAlignment="1">
      <alignment horizontal="left" vertical="center"/>
    </xf>
    <xf numFmtId="37" fontId="41" fillId="0" borderId="14" xfId="308" applyFont="1" applyBorder="1"/>
    <xf numFmtId="37" fontId="41" fillId="0" borderId="10" xfId="308" applyFont="1" applyBorder="1" applyAlignment="1">
      <alignment horizontal="right"/>
    </xf>
    <xf numFmtId="37" fontId="40" fillId="0" borderId="15" xfId="308" applyFont="1" applyBorder="1"/>
    <xf numFmtId="49" fontId="47" fillId="0" borderId="23" xfId="308" quotePrefix="1" applyNumberFormat="1" applyFont="1" applyBorder="1" applyAlignment="1" applyProtection="1">
      <alignment horizontal="center" vertical="center" wrapText="1"/>
    </xf>
    <xf numFmtId="49" fontId="47" fillId="0" borderId="24" xfId="308" applyNumberFormat="1" applyFont="1" applyBorder="1" applyAlignment="1" applyProtection="1">
      <alignment horizontal="center" vertical="center" wrapText="1"/>
    </xf>
    <xf numFmtId="49" fontId="47" fillId="0" borderId="25" xfId="308" applyNumberFormat="1" applyFont="1" applyBorder="1" applyAlignment="1" applyProtection="1">
      <alignment horizontal="center" vertical="center" wrapText="1"/>
    </xf>
    <xf numFmtId="17" fontId="52" fillId="33" borderId="11" xfId="117" quotePrefix="1" applyNumberFormat="1" applyFont="1" applyFill="1" applyBorder="1" applyAlignment="1" applyProtection="1">
      <alignment horizontal="left" vertical="center"/>
    </xf>
    <xf numFmtId="37" fontId="17" fillId="0" borderId="0" xfId="117"/>
    <xf numFmtId="37" fontId="53" fillId="33" borderId="0" xfId="117" applyFont="1" applyFill="1" applyAlignment="1">
      <alignment horizontal="center" vertical="center"/>
    </xf>
    <xf numFmtId="37" fontId="53" fillId="33" borderId="0" xfId="117" applyFont="1" applyFill="1" applyBorder="1" applyAlignment="1">
      <alignment horizontal="center" vertical="center"/>
    </xf>
    <xf numFmtId="37" fontId="17" fillId="0" borderId="26" xfId="117" applyBorder="1"/>
    <xf numFmtId="0" fontId="54" fillId="33" borderId="26" xfId="117" applyNumberFormat="1" applyFont="1" applyFill="1" applyBorder="1" applyAlignment="1" applyProtection="1">
      <alignment horizontal="center" vertical="center"/>
    </xf>
    <xf numFmtId="0" fontId="54" fillId="33" borderId="26" xfId="117" quotePrefix="1" applyNumberFormat="1" applyFont="1" applyFill="1" applyBorder="1" applyAlignment="1">
      <alignment horizontal="center" vertical="center"/>
    </xf>
    <xf numFmtId="0" fontId="54" fillId="33" borderId="26" xfId="117" applyNumberFormat="1" applyFont="1" applyFill="1" applyBorder="1" applyAlignment="1" applyProtection="1">
      <alignment vertical="center" wrapText="1"/>
    </xf>
    <xf numFmtId="0" fontId="55" fillId="33" borderId="26" xfId="117" applyNumberFormat="1" applyFont="1" applyFill="1" applyBorder="1" applyAlignment="1" applyProtection="1">
      <alignment vertical="center" wrapText="1"/>
    </xf>
    <xf numFmtId="0" fontId="54" fillId="33" borderId="26" xfId="117" applyNumberFormat="1" applyFont="1" applyFill="1" applyBorder="1" applyAlignment="1" applyProtection="1">
      <alignment horizontal="center" vertical="center" wrapText="1"/>
    </xf>
    <xf numFmtId="0" fontId="54" fillId="33" borderId="26" xfId="117" applyNumberFormat="1" applyFont="1" applyFill="1" applyBorder="1" applyAlignment="1">
      <alignment horizontal="center" vertical="center"/>
    </xf>
    <xf numFmtId="0" fontId="54" fillId="33" borderId="26" xfId="117" applyNumberFormat="1" applyFont="1" applyFill="1" applyBorder="1" applyAlignment="1">
      <alignment horizontal="center" vertical="center" wrapText="1"/>
    </xf>
    <xf numFmtId="37" fontId="54" fillId="0" borderId="26" xfId="117" applyFont="1" applyBorder="1" applyAlignment="1">
      <alignment horizontal="center" vertical="center"/>
    </xf>
    <xf numFmtId="49" fontId="54" fillId="33" borderId="26" xfId="117" applyNumberFormat="1" applyFont="1" applyFill="1" applyBorder="1" applyAlignment="1" applyProtection="1">
      <alignment horizontal="center" vertical="top" wrapText="1"/>
    </xf>
    <xf numFmtId="37" fontId="24" fillId="33" borderId="15" xfId="117" applyFont="1" applyFill="1" applyBorder="1" applyAlignment="1">
      <alignment horizontal="left" vertical="center"/>
    </xf>
    <xf numFmtId="37" fontId="24" fillId="33" borderId="19" xfId="117" applyFont="1" applyFill="1" applyBorder="1" applyAlignment="1">
      <alignment horizontal="center" vertical="center"/>
    </xf>
    <xf numFmtId="37" fontId="53" fillId="33" borderId="0" xfId="117" applyFont="1" applyFill="1" applyAlignment="1">
      <alignment vertical="top"/>
    </xf>
    <xf numFmtId="37" fontId="53" fillId="33" borderId="0" xfId="117" applyFont="1" applyFill="1" applyBorder="1" applyAlignment="1">
      <alignment vertical="top"/>
    </xf>
    <xf numFmtId="37" fontId="24" fillId="33" borderId="25" xfId="117" applyFont="1" applyFill="1" applyBorder="1" applyAlignment="1" applyProtection="1">
      <alignment horizontal="left" vertical="center"/>
      <protection locked="0"/>
    </xf>
    <xf numFmtId="3" fontId="24" fillId="33" borderId="26" xfId="117" applyNumberFormat="1" applyFont="1" applyFill="1" applyBorder="1" applyAlignment="1">
      <alignment horizontal="center" vertical="center"/>
    </xf>
    <xf numFmtId="3" fontId="24" fillId="33" borderId="23" xfId="117" applyNumberFormat="1" applyFont="1" applyFill="1" applyBorder="1" applyAlignment="1">
      <alignment horizontal="center" vertical="center"/>
    </xf>
    <xf numFmtId="37" fontId="53" fillId="33" borderId="0" xfId="117" applyFont="1" applyFill="1" applyAlignment="1">
      <alignment horizontal="center"/>
    </xf>
    <xf numFmtId="37" fontId="53" fillId="33" borderId="0" xfId="117" applyFont="1" applyFill="1" applyBorder="1" applyAlignment="1">
      <alignment horizontal="center"/>
    </xf>
    <xf numFmtId="37" fontId="24" fillId="33" borderId="27" xfId="117" applyFont="1" applyFill="1" applyBorder="1" applyAlignment="1" applyProtection="1">
      <alignment horizontal="left" vertical="center"/>
      <protection locked="0"/>
    </xf>
    <xf numFmtId="3" fontId="24" fillId="33" borderId="28" xfId="117" applyNumberFormat="1" applyFont="1" applyFill="1" applyBorder="1" applyAlignment="1">
      <alignment horizontal="center" vertical="center"/>
    </xf>
    <xf numFmtId="3" fontId="24" fillId="33" borderId="29" xfId="117" applyNumberFormat="1" applyFont="1" applyFill="1" applyBorder="1" applyAlignment="1">
      <alignment horizontal="center" vertical="center"/>
    </xf>
    <xf numFmtId="0" fontId="53" fillId="0" borderId="26" xfId="143" applyFont="1" applyFill="1" applyBorder="1" applyAlignment="1">
      <alignment horizontal="center" wrapText="1"/>
    </xf>
    <xf numFmtId="0" fontId="24" fillId="33" borderId="20" xfId="117" applyNumberFormat="1" applyFont="1" applyFill="1" applyBorder="1" applyAlignment="1" applyProtection="1">
      <alignment horizontal="left" vertical="center"/>
      <protection locked="0"/>
    </xf>
    <xf numFmtId="3" fontId="24" fillId="33" borderId="22" xfId="117" applyNumberFormat="1" applyFont="1" applyFill="1" applyBorder="1" applyAlignment="1" applyProtection="1">
      <alignment horizontal="center" vertical="center"/>
    </xf>
    <xf numFmtId="37" fontId="53" fillId="33" borderId="26" xfId="117" applyFont="1" applyFill="1" applyBorder="1" applyAlignment="1">
      <alignment horizontal="center"/>
    </xf>
    <xf numFmtId="37" fontId="53" fillId="33" borderId="0" xfId="117" applyFont="1" applyFill="1" applyAlignment="1">
      <alignment horizontal="left"/>
    </xf>
    <xf numFmtId="49" fontId="18" fillId="33" borderId="10" xfId="117" applyNumberFormat="1" applyFont="1" applyFill="1" applyBorder="1" applyAlignment="1" applyProtection="1">
      <protection locked="0" hidden="1"/>
    </xf>
    <xf numFmtId="37" fontId="40" fillId="0" borderId="26" xfId="308" applyFont="1" applyBorder="1" applyAlignment="1" applyProtection="1">
      <alignment horizontal="left" vertical="top" wrapText="1"/>
      <protection hidden="1"/>
    </xf>
    <xf numFmtId="17" fontId="57" fillId="33" borderId="15" xfId="338" quotePrefix="1" applyNumberFormat="1" applyFont="1" applyFill="1" applyBorder="1" applyAlignment="1">
      <alignment vertical="center"/>
    </xf>
    <xf numFmtId="17" fontId="57" fillId="33" borderId="20" xfId="338" quotePrefix="1" applyNumberFormat="1" applyFont="1" applyFill="1" applyBorder="1" applyAlignment="1">
      <alignment vertical="center"/>
    </xf>
    <xf numFmtId="164" fontId="24" fillId="33" borderId="19" xfId="2" quotePrefix="1" applyNumberFormat="1" applyFont="1" applyFill="1" applyBorder="1" applyAlignment="1" applyProtection="1">
      <alignment horizontal="center" vertical="center"/>
    </xf>
    <xf numFmtId="164" fontId="24" fillId="33" borderId="21" xfId="2" quotePrefix="1" applyNumberFormat="1" applyFont="1" applyFill="1" applyBorder="1" applyAlignment="1" applyProtection="1">
      <alignment horizontal="center" vertical="center"/>
    </xf>
    <xf numFmtId="0" fontId="53" fillId="33" borderId="20" xfId="0" applyNumberFormat="1" applyFont="1" applyFill="1" applyBorder="1" applyAlignment="1" applyProtection="1">
      <alignment horizontal="left" vertical="center"/>
      <protection locked="0"/>
    </xf>
    <xf numFmtId="3" fontId="53" fillId="33" borderId="22" xfId="0" applyNumberFormat="1" applyFont="1" applyFill="1" applyBorder="1" applyAlignment="1" applyProtection="1">
      <alignment horizontal="center" vertical="center"/>
    </xf>
    <xf numFmtId="37" fontId="17" fillId="0" borderId="0" xfId="117" applyFont="1"/>
    <xf numFmtId="37" fontId="58" fillId="0" borderId="11" xfId="308" applyFont="1" applyBorder="1" applyAlignment="1">
      <alignment horizontal="left" vertical="center"/>
    </xf>
  </cellXfs>
  <cellStyles count="339">
    <cellStyle name="20% - Accent1 2" xfId="3"/>
    <cellStyle name="20% - Accent1 3" xfId="4"/>
    <cellStyle name="20% - Accent1 3 2" xfId="5"/>
    <cellStyle name="20% - Accent2 2" xfId="6"/>
    <cellStyle name="20% - Accent2 3" xfId="7"/>
    <cellStyle name="20% - Accent2 3 2" xfId="8"/>
    <cellStyle name="20% - Accent3 2" xfId="9"/>
    <cellStyle name="20% - Accent3 3" xfId="10"/>
    <cellStyle name="20% - Accent3 3 2" xfId="11"/>
    <cellStyle name="20% - Accent4 2" xfId="12"/>
    <cellStyle name="20% - Accent4 3" xfId="13"/>
    <cellStyle name="20% - Accent4 3 2" xfId="14"/>
    <cellStyle name="20% - Accent5 2" xfId="15"/>
    <cellStyle name="20% - Accent5 3" xfId="16"/>
    <cellStyle name="20% - Accent5 3 2" xfId="17"/>
    <cellStyle name="20% - Accent6 2" xfId="18"/>
    <cellStyle name="20% - Accent6 3" xfId="19"/>
    <cellStyle name="20% - Accent6 3 2" xfId="20"/>
    <cellStyle name="40% - Accent1 2" xfId="21"/>
    <cellStyle name="40% - Accent1 3" xfId="22"/>
    <cellStyle name="40% - Accent1 3 2" xfId="23"/>
    <cellStyle name="40% - Accent2 2" xfId="24"/>
    <cellStyle name="40% - Accent2 3" xfId="25"/>
    <cellStyle name="40% - Accent2 3 2" xfId="26"/>
    <cellStyle name="40% - Accent3 2" xfId="27"/>
    <cellStyle name="40% - Accent3 3" xfId="28"/>
    <cellStyle name="40% - Accent3 3 2" xfId="29"/>
    <cellStyle name="40% - Accent4 2" xfId="30"/>
    <cellStyle name="40% - Accent4 3" xfId="31"/>
    <cellStyle name="40% - Accent4 3 2" xfId="32"/>
    <cellStyle name="40% - Accent5 2" xfId="33"/>
    <cellStyle name="40% - Accent5 3" xfId="34"/>
    <cellStyle name="40% - Accent5 3 2" xfId="35"/>
    <cellStyle name="40% - Accent6 2" xfId="36"/>
    <cellStyle name="40% - Accent6 3" xfId="37"/>
    <cellStyle name="40% - Accent6 3 2" xfId="38"/>
    <cellStyle name="60% - Accent1 2" xfId="39"/>
    <cellStyle name="60% - Accent2 2" xfId="40"/>
    <cellStyle name="60% - Accent3 2" xfId="41"/>
    <cellStyle name="60% - Accent4 2" xfId="42"/>
    <cellStyle name="60% - Accent5 2" xfId="43"/>
    <cellStyle name="60% - Accent6 2" xfId="44"/>
    <cellStyle name="Accent1 2" xfId="45"/>
    <cellStyle name="Accent2 2" xfId="46"/>
    <cellStyle name="Accent3 2" xfId="47"/>
    <cellStyle name="Accent4 2" xfId="48"/>
    <cellStyle name="Accent5 2" xfId="49"/>
    <cellStyle name="Accent6 2" xfId="50"/>
    <cellStyle name="Bad 2" xfId="51"/>
    <cellStyle name="Calculation 2" xfId="52"/>
    <cellStyle name="Check Cell 2" xfId="53"/>
    <cellStyle name="Comma 2" xfId="54"/>
    <cellStyle name="Comma 2 2" xfId="55"/>
    <cellStyle name="Comma 3" xfId="56"/>
    <cellStyle name="Comma 4" xfId="57"/>
    <cellStyle name="Comma 5" xfId="58"/>
    <cellStyle name="Comma 6" xfId="59"/>
    <cellStyle name="Currency 2" xfId="60"/>
    <cellStyle name="Currency 2 2" xfId="61"/>
    <cellStyle name="Currency 3" xfId="62"/>
    <cellStyle name="Currency 3 2" xfId="63"/>
    <cellStyle name="Currency 4" xfId="64"/>
    <cellStyle name="Explanatory Text 2" xfId="65"/>
    <cellStyle name="general" xfId="66"/>
    <cellStyle name="Good 2" xfId="67"/>
    <cellStyle name="Heading 1 2" xfId="68"/>
    <cellStyle name="Heading 2 2" xfId="69"/>
    <cellStyle name="Heading 3 2" xfId="70"/>
    <cellStyle name="Heading 4 2" xfId="71"/>
    <cellStyle name="Hyperlink" xfId="338" builtinId="8"/>
    <cellStyle name="Hyperlink 2" xfId="72"/>
    <cellStyle name="Hyperlink 3" xfId="73"/>
    <cellStyle name="Hyperlink 3 2" xfId="74"/>
    <cellStyle name="Hyperlink 4" xfId="75"/>
    <cellStyle name="Hyperlink 4 2" xfId="76"/>
    <cellStyle name="Hyperlink 4 3" xfId="77"/>
    <cellStyle name="Hyperlink 5" xfId="78"/>
    <cellStyle name="Hyperlink 5 2" xfId="79"/>
    <cellStyle name="Hyperlink 5 3" xfId="80"/>
    <cellStyle name="Hyperlink 5 4" xfId="81"/>
    <cellStyle name="Hyperlink 6" xfId="82"/>
    <cellStyle name="Hyperlink 7" xfId="83"/>
    <cellStyle name="Hyperlink 8" xfId="84"/>
    <cellStyle name="Input 2" xfId="85"/>
    <cellStyle name="Linked Cell 2" xfId="86"/>
    <cellStyle name="Neutral 2" xfId="87"/>
    <cellStyle name="Normal" xfId="0" builtinId="0"/>
    <cellStyle name="Normal 10" xfId="88"/>
    <cellStyle name="Normal 10 2" xfId="89"/>
    <cellStyle name="Normal 10 3" xfId="90"/>
    <cellStyle name="Normal 11" xfId="91"/>
    <cellStyle name="Normal 11 2" xfId="92"/>
    <cellStyle name="Normal 11 2 2" xfId="93"/>
    <cellStyle name="Normal 11 2 2 2" xfId="94"/>
    <cellStyle name="Normal 11 2 2 2 2" xfId="95"/>
    <cellStyle name="Normal 11 2 2 3" xfId="96"/>
    <cellStyle name="Normal 11 2 3" xfId="97"/>
    <cellStyle name="Normal 11 2 3 2" xfId="98"/>
    <cellStyle name="Normal 11 2 4" xfId="99"/>
    <cellStyle name="Normal 11 3" xfId="100"/>
    <cellStyle name="Normal 11 3 2" xfId="101"/>
    <cellStyle name="Normal 11 3 2 2" xfId="102"/>
    <cellStyle name="Normal 11 3 3" xfId="103"/>
    <cellStyle name="Normal 11 4" xfId="104"/>
    <cellStyle name="Normal 11 4 2" xfId="105"/>
    <cellStyle name="Normal 11 5" xfId="106"/>
    <cellStyle name="Normal 11 6" xfId="107"/>
    <cellStyle name="Normal 11 7" xfId="108"/>
    <cellStyle name="Normal 12" xfId="109"/>
    <cellStyle name="Normal 12 2" xfId="110"/>
    <cellStyle name="Normal 12 2 2" xfId="111"/>
    <cellStyle name="Normal 13" xfId="112"/>
    <cellStyle name="Normal 13 2" xfId="113"/>
    <cellStyle name="Normal 13 2 2" xfId="114"/>
    <cellStyle name="Normal 13 3" xfId="115"/>
    <cellStyle name="Normal 14" xfId="116"/>
    <cellStyle name="Normal 14 2" xfId="117"/>
    <cellStyle name="Normal 14 2 2" xfId="118"/>
    <cellStyle name="Normal 14 2 2 2" xfId="119"/>
    <cellStyle name="Normal 14 3" xfId="120"/>
    <cellStyle name="Normal 14 3 2" xfId="121"/>
    <cellStyle name="Normal 14 4" xfId="122"/>
    <cellStyle name="Normal 15" xfId="123"/>
    <cellStyle name="Normal 15 2" xfId="124"/>
    <cellStyle name="Normal 15 2 2" xfId="125"/>
    <cellStyle name="Normal 15 3" xfId="126"/>
    <cellStyle name="Normal 16" xfId="127"/>
    <cellStyle name="Normal 16 2" xfId="128"/>
    <cellStyle name="Normal 16 2 2" xfId="129"/>
    <cellStyle name="Normal 16 3" xfId="130"/>
    <cellStyle name="Normal 17" xfId="131"/>
    <cellStyle name="Normal 17 2" xfId="132"/>
    <cellStyle name="Normal 17 2 2" xfId="133"/>
    <cellStyle name="Normal 17 3" xfId="134"/>
    <cellStyle name="Normal 18" xfId="135"/>
    <cellStyle name="Normal 18 2" xfId="136"/>
    <cellStyle name="Normal 18 2 2" xfId="137"/>
    <cellStyle name="Normal 18 3" xfId="138"/>
    <cellStyle name="Normal 19" xfId="139"/>
    <cellStyle name="Normal 19 2" xfId="140"/>
    <cellStyle name="Normal 19 2 2" xfId="141"/>
    <cellStyle name="Normal 19 3" xfId="142"/>
    <cellStyle name="Normal 2" xfId="1"/>
    <cellStyle name="Normal 2 2" xfId="143"/>
    <cellStyle name="Normal 2 2 2" xfId="144"/>
    <cellStyle name="Normal 2 2 2 2" xfId="2"/>
    <cellStyle name="Normal 2 2 3" xfId="145"/>
    <cellStyle name="Normal 2 3" xfId="146"/>
    <cellStyle name="Normal 2 3 2" xfId="147"/>
    <cellStyle name="Normal 2 3 3" xfId="148"/>
    <cellStyle name="Normal 2 4" xfId="149"/>
    <cellStyle name="Normal 2 5" xfId="150"/>
    <cellStyle name="Normal 2 6" xfId="151"/>
    <cellStyle name="Normal 20" xfId="152"/>
    <cellStyle name="Normal 20 2" xfId="153"/>
    <cellStyle name="Normal 20 2 2" xfId="154"/>
    <cellStyle name="Normal 20 3" xfId="155"/>
    <cellStyle name="Normal 21" xfId="156"/>
    <cellStyle name="Normal 21 2" xfId="157"/>
    <cellStyle name="Normal 21 2 2" xfId="158"/>
    <cellStyle name="Normal 21 3" xfId="159"/>
    <cellStyle name="Normal 22" xfId="160"/>
    <cellStyle name="Normal 22 2" xfId="161"/>
    <cellStyle name="Normal 22 2 2" xfId="162"/>
    <cellStyle name="Normal 22 3" xfId="163"/>
    <cellStyle name="Normal 23" xfId="164"/>
    <cellStyle name="Normal 23 2" xfId="165"/>
    <cellStyle name="Normal 23 2 2" xfId="166"/>
    <cellStyle name="Normal 23 3" xfId="167"/>
    <cellStyle name="Normal 24" xfId="168"/>
    <cellStyle name="Normal 24 2" xfId="169"/>
    <cellStyle name="Normal 24 2 2" xfId="170"/>
    <cellStyle name="Normal 24 3" xfId="171"/>
    <cellStyle name="Normal 25" xfId="172"/>
    <cellStyle name="Normal 25 2" xfId="173"/>
    <cellStyle name="Normal 25 2 2" xfId="174"/>
    <cellStyle name="Normal 25 3" xfId="175"/>
    <cellStyle name="Normal 26" xfId="176"/>
    <cellStyle name="Normal 26 2" xfId="177"/>
    <cellStyle name="Normal 26 2 2" xfId="178"/>
    <cellStyle name="Normal 26 3" xfId="179"/>
    <cellStyle name="Normal 27" xfId="180"/>
    <cellStyle name="Normal 28" xfId="181"/>
    <cellStyle name="Normal 28 2" xfId="182"/>
    <cellStyle name="Normal 29" xfId="183"/>
    <cellStyle name="Normal 29 2" xfId="184"/>
    <cellStyle name="Normal 3" xfId="185"/>
    <cellStyle name="Normal 3 2" xfId="186"/>
    <cellStyle name="Normal 3 2 2" xfId="187"/>
    <cellStyle name="Normal 3 2 3" xfId="188"/>
    <cellStyle name="Normal 3 3" xfId="189"/>
    <cellStyle name="Normal 3 3 2" xfId="190"/>
    <cellStyle name="Normal 3 3 3" xfId="191"/>
    <cellStyle name="Normal 3 4" xfId="192"/>
    <cellStyle name="Normal 3 5" xfId="193"/>
    <cellStyle name="Normal 3 6" xfId="194"/>
    <cellStyle name="Normal 3 6 2" xfId="195"/>
    <cellStyle name="Normal 3 7" xfId="196"/>
    <cellStyle name="Normal 30" xfId="197"/>
    <cellStyle name="Normal 30 2" xfId="198"/>
    <cellStyle name="Normal 31" xfId="199"/>
    <cellStyle name="Normal 31 2" xfId="200"/>
    <cellStyle name="Normal 32" xfId="201"/>
    <cellStyle name="Normal 32 2" xfId="202"/>
    <cellStyle name="Normal 33" xfId="203"/>
    <cellStyle name="Normal 33 2" xfId="204"/>
    <cellStyle name="Normal 34" xfId="205"/>
    <cellStyle name="Normal 34 2" xfId="206"/>
    <cellStyle name="Normal 35" xfId="207"/>
    <cellStyle name="Normal 35 2" xfId="208"/>
    <cellStyle name="Normal 36" xfId="209"/>
    <cellStyle name="Normal 36 2" xfId="210"/>
    <cellStyle name="Normal 37" xfId="211"/>
    <cellStyle name="Normal 37 2" xfId="212"/>
    <cellStyle name="Normal 38" xfId="213"/>
    <cellStyle name="Normal 38 2" xfId="214"/>
    <cellStyle name="Normal 39" xfId="215"/>
    <cellStyle name="Normal 39 2" xfId="216"/>
    <cellStyle name="Normal 4" xfId="217"/>
    <cellStyle name="Normal 4 2" xfId="218"/>
    <cellStyle name="Normal 4 2 2" xfId="219"/>
    <cellStyle name="Normal 4 3" xfId="220"/>
    <cellStyle name="Normal 40" xfId="221"/>
    <cellStyle name="Normal 40 2" xfId="222"/>
    <cellStyle name="Normal 41" xfId="223"/>
    <cellStyle name="Normal 41 2" xfId="224"/>
    <cellStyle name="Normal 42" xfId="225"/>
    <cellStyle name="Normal 42 2" xfId="226"/>
    <cellStyle name="Normal 43" xfId="227"/>
    <cellStyle name="Normal 43 2" xfId="228"/>
    <cellStyle name="Normal 44" xfId="229"/>
    <cellStyle name="Normal 44 2" xfId="230"/>
    <cellStyle name="Normal 45" xfId="231"/>
    <cellStyle name="Normal 45 2" xfId="232"/>
    <cellStyle name="Normal 46" xfId="233"/>
    <cellStyle name="Normal 46 2" xfId="234"/>
    <cellStyle name="Normal 47" xfId="235"/>
    <cellStyle name="Normal 47 2" xfId="236"/>
    <cellStyle name="Normal 48" xfId="237"/>
    <cellStyle name="Normal 48 2" xfId="238"/>
    <cellStyle name="Normal 49" xfId="239"/>
    <cellStyle name="Normal 49 2" xfId="240"/>
    <cellStyle name="Normal 5" xfId="241"/>
    <cellStyle name="Normal 5 2" xfId="242"/>
    <cellStyle name="Normal 5 3" xfId="243"/>
    <cellStyle name="Normal 50" xfId="244"/>
    <cellStyle name="Normal 50 2" xfId="245"/>
    <cellStyle name="Normal 51" xfId="246"/>
    <cellStyle name="Normal 51 2" xfId="247"/>
    <cellStyle name="Normal 52" xfId="248"/>
    <cellStyle name="Normal 52 2" xfId="249"/>
    <cellStyle name="Normal 53" xfId="250"/>
    <cellStyle name="Normal 53 2" xfId="251"/>
    <cellStyle name="Normal 54" xfId="252"/>
    <cellStyle name="Normal 54 2" xfId="253"/>
    <cellStyle name="Normal 55" xfId="254"/>
    <cellStyle name="Normal 55 2" xfId="255"/>
    <cellStyle name="Normal 56" xfId="256"/>
    <cellStyle name="Normal 56 2" xfId="257"/>
    <cellStyle name="Normal 57" xfId="258"/>
    <cellStyle name="Normal 57 2" xfId="259"/>
    <cellStyle name="Normal 58" xfId="260"/>
    <cellStyle name="Normal 58 2" xfId="261"/>
    <cellStyle name="Normal 59" xfId="262"/>
    <cellStyle name="Normal 59 2" xfId="263"/>
    <cellStyle name="Normal 6" xfId="264"/>
    <cellStyle name="Normal 6 2" xfId="265"/>
    <cellStyle name="Normal 60" xfId="266"/>
    <cellStyle name="Normal 60 2" xfId="267"/>
    <cellStyle name="Normal 61" xfId="268"/>
    <cellStyle name="Normal 61 2" xfId="269"/>
    <cellStyle name="Normal 62" xfId="270"/>
    <cellStyle name="Normal 62 2" xfId="271"/>
    <cellStyle name="Normal 63" xfId="272"/>
    <cellStyle name="Normal 63 2" xfId="273"/>
    <cellStyle name="Normal 64" xfId="274"/>
    <cellStyle name="Normal 64 2" xfId="275"/>
    <cellStyle name="Normal 65" xfId="276"/>
    <cellStyle name="Normal 65 2" xfId="277"/>
    <cellStyle name="Normal 66" xfId="278"/>
    <cellStyle name="Normal 66 2" xfId="279"/>
    <cellStyle name="Normal 67" xfId="280"/>
    <cellStyle name="Normal 67 2" xfId="281"/>
    <cellStyle name="Normal 68" xfId="282"/>
    <cellStyle name="Normal 68 2" xfId="283"/>
    <cellStyle name="Normal 69" xfId="284"/>
    <cellStyle name="Normal 69 2" xfId="285"/>
    <cellStyle name="Normal 7" xfId="286"/>
    <cellStyle name="Normal 70" xfId="287"/>
    <cellStyle name="Normal 70 2" xfId="288"/>
    <cellStyle name="Normal 71" xfId="289"/>
    <cellStyle name="Normal 72" xfId="290"/>
    <cellStyle name="Normal 72 2" xfId="291"/>
    <cellStyle name="Normal 73" xfId="292"/>
    <cellStyle name="Normal 73 2" xfId="293"/>
    <cellStyle name="Normal 74" xfId="294"/>
    <cellStyle name="Normal 74 2" xfId="295"/>
    <cellStyle name="Normal 75" xfId="296"/>
    <cellStyle name="Normal 75 2" xfId="297"/>
    <cellStyle name="Normal 76" xfId="298"/>
    <cellStyle name="Normal 76 2" xfId="299"/>
    <cellStyle name="Normal 77" xfId="300"/>
    <cellStyle name="Normal 77 2" xfId="301"/>
    <cellStyle name="Normal 78" xfId="302"/>
    <cellStyle name="Normal 79" xfId="303"/>
    <cellStyle name="Normal 8" xfId="304"/>
    <cellStyle name="Normal 8 2" xfId="305"/>
    <cellStyle name="Normal 8 3" xfId="306"/>
    <cellStyle name="Normal 80" xfId="307"/>
    <cellStyle name="Normal 9" xfId="308"/>
    <cellStyle name="Normal 9 2" xfId="309"/>
    <cellStyle name="Normal 9 3" xfId="310"/>
    <cellStyle name="Normal 9 3 2" xfId="311"/>
    <cellStyle name="Normal 9 3 2 2" xfId="312"/>
    <cellStyle name="Normal 9 3 2 2 2" xfId="313"/>
    <cellStyle name="Normal 9 3 2 3" xfId="314"/>
    <cellStyle name="Normal 9 3 3" xfId="315"/>
    <cellStyle name="Normal 9 3 3 2" xfId="316"/>
    <cellStyle name="Normal 9 3 4" xfId="317"/>
    <cellStyle name="Normal 9 4" xfId="318"/>
    <cellStyle name="Normal 9 4 2" xfId="319"/>
    <cellStyle name="Normal 9 4 2 2" xfId="320"/>
    <cellStyle name="Normal 9 4 3" xfId="321"/>
    <cellStyle name="Normal 9 5" xfId="322"/>
    <cellStyle name="Normal 9 5 2" xfId="323"/>
    <cellStyle name="Normal 9 6" xfId="324"/>
    <cellStyle name="Normal 9 7" xfId="325"/>
    <cellStyle name="Normal_296 4Wkbk" xfId="326"/>
    <cellStyle name="Note 2" xfId="327"/>
    <cellStyle name="Note 2 2" xfId="328"/>
    <cellStyle name="Note 3" xfId="329"/>
    <cellStyle name="Note 4" xfId="330"/>
    <cellStyle name="Note 4 2" xfId="331"/>
    <cellStyle name="Output 2" xfId="332"/>
    <cellStyle name="Percent 2" xfId="333"/>
    <cellStyle name="Percent 2 2" xfId="334"/>
    <cellStyle name="Percent 3" xfId="335"/>
    <cellStyle name="Total 2" xfId="336"/>
    <cellStyle name="Warning Text 2" xfId="337"/>
  </cellStyles>
  <dxfs count="29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409]mmmm\ d\,\ 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bottom style="double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F296%20Workbook%20FY16-17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entral%20Office\RSB\DS2\zz%20TECH%20TEAM\08%20WORKBOOKS\2017-18%20WORKBOOKS%20IN%20PROGRESS\Done\Release%20VBA%20Added\CW115A%20Workbook%20FY17-1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Names"/>
      <sheetName val="DataReviewIssues"/>
      <sheetName val="HOME"/>
      <sheetName val="ACCESS"/>
      <sheetName val="WORKBOOK SUMMARY"/>
      <sheetName val="CONSORTIA"/>
      <sheetName val="COMPARISON CELLS"/>
      <sheetName val="COMPARISONS COUNTY"/>
      <sheetName val="Stakeholder Map"/>
      <sheetName val="PRIOR DATA"/>
      <sheetName val="CURRENT DATA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DAYS LATE"/>
      <sheetName val="COUNTY SIZE DETERMINATION"/>
      <sheetName val="FEDERAL TRANSMISSION SHEETS--&gt;"/>
      <sheetName val="PriorYear Calculation"/>
      <sheetName val="FNS366B Calculations"/>
      <sheetName val="Form Jul-Sep16"/>
      <sheetName val="Form Oct-Dec16"/>
      <sheetName val="Form Jan-Mar17"/>
      <sheetName val="Form Apr-Jun17"/>
      <sheetName val="FNS366B Comparisons"/>
      <sheetName val="FY Totals Statewide"/>
      <sheetName val="FY Totals County"/>
      <sheetName val="FY Averages Statewide"/>
      <sheetName val="FY Averages County"/>
      <sheetName val="Release Summary"/>
      <sheetName val="DataDictionary"/>
      <sheetName val="Release Statewide"/>
      <sheetName val="Release County"/>
      <sheetName val="CF296 ACL Form Map Jul16 1of3"/>
      <sheetName val="DFA296 ACL Form Map Jan12 2of3"/>
      <sheetName val="County Edits"/>
      <sheetName val="DFA296X ACL FormMap Jul13 3of3 "/>
      <sheetName val="RELEASE BACKSHEE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tables/table1.xml><?xml version="1.0" encoding="utf-8"?>
<table xmlns="http://schemas.openxmlformats.org/spreadsheetml/2006/main" id="14" name="ReleaseSummary" displayName="ReleaseSummary" ref="A4:C16" totalsRowShown="0" headerRowDxfId="1521" dataDxfId="1520" headerRowBorderDxfId="1518" tableBorderDxfId="1519">
  <autoFilter ref="A4:C16">
    <filterColumn colId="0" hiddenButton="1"/>
    <filterColumn colId="1" hiddenButton="1"/>
    <filterColumn colId="2" hiddenButton="1"/>
  </autoFilter>
  <tableColumns count="3">
    <tableColumn id="1" name="REPORT MONTH" dataDxfId="1517" dataCellStyle="Normal 2 2 2 2"/>
    <tableColumn id="2" name="RELEASE DATE" dataDxfId="1515" dataCellStyle="Normal 2 2 2 2"/>
    <tableColumn id="3" name="COMMENTS  a/" dataDxfId="1516" dataCellStyle="Normal 2 2 2 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Mar17Data" displayName="Mar17Data" ref="A5:DT64" totalsRowCount="1" headerRowDxfId="2050" dataDxfId="2049" totalsRowDxfId="372" headerRowBorderDxfId="2047" tableBorderDxfId="2048" totalsRowBorderDxfId="2046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2045" totalsRowDxfId="496" dataCellStyle="Normal 14 2"/>
    <tableColumn id="4" name="Cell 1" totalsRowFunction="sum" dataDxfId="2044" totalsRowDxfId="495" dataCellStyle="Normal 14 2"/>
    <tableColumn id="5" name="Cell 2" totalsRowFunction="sum" dataDxfId="2043" totalsRowDxfId="494" dataCellStyle="Normal 14 2"/>
    <tableColumn id="6" name="Cell 3" totalsRowFunction="sum" dataDxfId="2042" totalsRowDxfId="493" dataCellStyle="Normal 14 2"/>
    <tableColumn id="7" name="Cell 4" totalsRowFunction="sum" dataDxfId="2041" totalsRowDxfId="492" dataCellStyle="Normal 14 2"/>
    <tableColumn id="8" name="Cell 5" totalsRowFunction="sum" dataDxfId="2040" totalsRowDxfId="491" dataCellStyle="Normal 14 2"/>
    <tableColumn id="9" name="Cell 6" totalsRowFunction="sum" dataDxfId="2039" totalsRowDxfId="490" dataCellStyle="Normal 14 2"/>
    <tableColumn id="10" name="Cell 7" totalsRowFunction="sum" dataDxfId="2038" totalsRowDxfId="489" dataCellStyle="Normal 14 2"/>
    <tableColumn id="11" name="Cell 8" totalsRowFunction="sum" dataDxfId="2037" totalsRowDxfId="488" dataCellStyle="Normal 14 2"/>
    <tableColumn id="12" name="Cell 9" totalsRowFunction="sum" dataDxfId="2036" totalsRowDxfId="487" dataCellStyle="Normal 14 2"/>
    <tableColumn id="13" name="Cell 10" totalsRowFunction="sum" dataDxfId="2035" totalsRowDxfId="486" dataCellStyle="Normal 14 2"/>
    <tableColumn id="14" name="Cell 11" totalsRowFunction="sum" dataDxfId="2034" totalsRowDxfId="485" dataCellStyle="Normal 14 2"/>
    <tableColumn id="15" name="Cell 12" totalsRowFunction="sum" dataDxfId="2033" totalsRowDxfId="484" dataCellStyle="Normal 14 2"/>
    <tableColumn id="16" name="Cell 13" totalsRowFunction="sum" dataDxfId="2032" totalsRowDxfId="483" dataCellStyle="Normal 14 2"/>
    <tableColumn id="17" name="Cell 14" totalsRowFunction="sum" dataDxfId="2031" totalsRowDxfId="482" dataCellStyle="Normal 14 2"/>
    <tableColumn id="18" name="Cell 15" totalsRowFunction="sum" dataDxfId="2030" totalsRowDxfId="481" dataCellStyle="Normal 14 2"/>
    <tableColumn id="19" name="Cell 16" totalsRowFunction="sum" dataDxfId="2029" totalsRowDxfId="480" dataCellStyle="Normal 14 2"/>
    <tableColumn id="20" name="Cell 17" totalsRowFunction="sum" dataDxfId="2028" totalsRowDxfId="479" dataCellStyle="Normal 14 2"/>
    <tableColumn id="21" name="Cell 18" totalsRowFunction="sum" dataDxfId="2027" totalsRowDxfId="478" dataCellStyle="Normal 14 2"/>
    <tableColumn id="22" name="Cell 19" totalsRowFunction="sum" dataDxfId="2026" totalsRowDxfId="477" dataCellStyle="Normal 14 2"/>
    <tableColumn id="23" name="Cell 20" totalsRowFunction="sum" dataDxfId="2025" totalsRowDxfId="476" dataCellStyle="Normal 14 2"/>
    <tableColumn id="24" name="Cell 21" totalsRowFunction="sum" dataDxfId="2024" totalsRowDxfId="475" dataCellStyle="Normal 14 2"/>
    <tableColumn id="25" name="Cell 22" totalsRowFunction="sum" dataDxfId="2023" totalsRowDxfId="474" dataCellStyle="Normal 14 2"/>
    <tableColumn id="26" name="Cell 23" totalsRowFunction="sum" dataDxfId="2022" totalsRowDxfId="473" dataCellStyle="Normal 14 2"/>
    <tableColumn id="27" name="Cell 24" totalsRowFunction="sum" dataDxfId="2021" totalsRowDxfId="472" dataCellStyle="Normal 14 2"/>
    <tableColumn id="28" name="Cell 25" totalsRowFunction="sum" dataDxfId="2020" totalsRowDxfId="471" dataCellStyle="Normal 14 2"/>
    <tableColumn id="29" name="Cell 26" totalsRowFunction="sum" dataDxfId="2019" totalsRowDxfId="470" dataCellStyle="Normal 14 2"/>
    <tableColumn id="30" name="Cell 27" totalsRowFunction="sum" dataDxfId="2018" totalsRowDxfId="469" dataCellStyle="Normal 14 2"/>
    <tableColumn id="31" name="Cell 28" totalsRowFunction="sum" dataDxfId="2017" totalsRowDxfId="468" dataCellStyle="Normal 14 2"/>
    <tableColumn id="32" name="Cell 29" totalsRowFunction="sum" dataDxfId="2016" totalsRowDxfId="467" dataCellStyle="Normal 14 2"/>
    <tableColumn id="33" name="Cell 30" totalsRowFunction="sum" dataDxfId="2015" totalsRowDxfId="466" dataCellStyle="Normal 14 2"/>
    <tableColumn id="34" name="Cell 31" totalsRowFunction="sum" dataDxfId="2014" totalsRowDxfId="465" dataCellStyle="Normal 14 2"/>
    <tableColumn id="35" name="Cell 32" totalsRowFunction="sum" dataDxfId="2013" totalsRowDxfId="464" dataCellStyle="Normal 14 2"/>
    <tableColumn id="36" name="Cell 33" totalsRowFunction="sum" dataDxfId="2012" totalsRowDxfId="463" dataCellStyle="Normal 14 2"/>
    <tableColumn id="37" name="Cell 34" totalsRowFunction="sum" dataDxfId="2011" totalsRowDxfId="462" dataCellStyle="Normal 14 2"/>
    <tableColumn id="38" name="Cell 35" totalsRowFunction="sum" dataDxfId="2010" totalsRowDxfId="461" dataCellStyle="Normal 14 2"/>
    <tableColumn id="39" name="Cell 36" totalsRowFunction="sum" dataDxfId="2009" totalsRowDxfId="460" dataCellStyle="Normal 14 2"/>
    <tableColumn id="40" name="Cell 37" totalsRowFunction="sum" dataDxfId="2008" totalsRowDxfId="459" dataCellStyle="Normal 14 2"/>
    <tableColumn id="41" name="Cell 38" totalsRowFunction="sum" dataDxfId="2007" totalsRowDxfId="458" dataCellStyle="Normal 14 2"/>
    <tableColumn id="42" name="Cell 39" totalsRowFunction="sum" dataDxfId="2006" totalsRowDxfId="457" dataCellStyle="Normal 14 2"/>
    <tableColumn id="43" name="Cell 40" totalsRowFunction="sum" dataDxfId="2005" totalsRowDxfId="456" dataCellStyle="Normal 14 2"/>
    <tableColumn id="44" name="Cell 41" totalsRowFunction="sum" dataDxfId="2004" totalsRowDxfId="455" dataCellStyle="Normal 14 2"/>
    <tableColumn id="45" name="Cell 42" totalsRowFunction="sum" dataDxfId="2003" totalsRowDxfId="454" dataCellStyle="Normal 14 2"/>
    <tableColumn id="46" name="Cell 43" totalsRowFunction="sum" dataDxfId="2002" totalsRowDxfId="453" dataCellStyle="Normal 14 2"/>
    <tableColumn id="47" name="Cell 44" totalsRowFunction="sum" dataDxfId="2001" totalsRowDxfId="452" dataCellStyle="Normal 14 2"/>
    <tableColumn id="48" name="Cell 45" totalsRowFunction="sum" dataDxfId="2000" totalsRowDxfId="451" dataCellStyle="Normal 14 2"/>
    <tableColumn id="49" name="Cell 46" totalsRowFunction="sum" dataDxfId="1999" totalsRowDxfId="450" dataCellStyle="Normal 14 2"/>
    <tableColumn id="50" name="Cell 47" totalsRowFunction="sum" dataDxfId="1998" totalsRowDxfId="449" dataCellStyle="Normal 14 2"/>
    <tableColumn id="51" name="Cell 48" totalsRowFunction="sum" dataDxfId="1997" totalsRowDxfId="448" dataCellStyle="Normal 14 2"/>
    <tableColumn id="52" name="Cell 49" totalsRowFunction="sum" dataDxfId="1996" totalsRowDxfId="447" dataCellStyle="Normal 14 2"/>
    <tableColumn id="53" name="Cell 50" totalsRowFunction="sum" dataDxfId="1995" totalsRowDxfId="446" dataCellStyle="Normal 14 2"/>
    <tableColumn id="54" name="Cell 51" totalsRowFunction="sum" dataDxfId="1994" totalsRowDxfId="445" dataCellStyle="Normal 14 2"/>
    <tableColumn id="55" name="Cell 52" totalsRowFunction="sum" dataDxfId="1993" totalsRowDxfId="444" dataCellStyle="Normal 14 2"/>
    <tableColumn id="56" name="Cell 53" totalsRowFunction="sum" dataDxfId="1992" totalsRowDxfId="443" dataCellStyle="Normal 14 2"/>
    <tableColumn id="57" name="Cell 54" totalsRowFunction="sum" dataDxfId="1991" totalsRowDxfId="442" dataCellStyle="Normal 14 2"/>
    <tableColumn id="58" name="Cell 55" totalsRowFunction="sum" dataDxfId="1990" totalsRowDxfId="441" dataCellStyle="Normal 14 2"/>
    <tableColumn id="59" name="Cell 56" totalsRowFunction="sum" dataDxfId="1989" totalsRowDxfId="440" dataCellStyle="Normal 14 2"/>
    <tableColumn id="60" name="Cell 57" totalsRowFunction="sum" dataDxfId="1988" totalsRowDxfId="439" dataCellStyle="Normal 14 2"/>
    <tableColumn id="61" name="Cell 58" totalsRowFunction="sum" dataDxfId="1987" totalsRowDxfId="438" dataCellStyle="Normal 14 2"/>
    <tableColumn id="62" name="Cell 59" totalsRowFunction="sum" dataDxfId="1986" totalsRowDxfId="437" dataCellStyle="Normal 14 2"/>
    <tableColumn id="63" name="Cell 60" totalsRowFunction="sum" dataDxfId="1985" totalsRowDxfId="436" dataCellStyle="Normal 14 2"/>
    <tableColumn id="64" name="Cell 61" totalsRowFunction="sum" dataDxfId="1984" totalsRowDxfId="435" dataCellStyle="Normal 14 2"/>
    <tableColumn id="65" name="Cell 62" totalsRowFunction="sum" dataDxfId="1983" totalsRowDxfId="434" dataCellStyle="Normal 14 2"/>
    <tableColumn id="66" name="Cell 63" totalsRowFunction="sum" dataDxfId="1982" totalsRowDxfId="433" dataCellStyle="Normal 14 2"/>
    <tableColumn id="67" name="Cell 64" totalsRowFunction="sum" dataDxfId="1981" totalsRowDxfId="432" dataCellStyle="Normal 14 2"/>
    <tableColumn id="68" name="Cell 65" totalsRowFunction="sum" dataDxfId="1980" totalsRowDxfId="431" dataCellStyle="Normal 14 2"/>
    <tableColumn id="69" name="Cell 66" totalsRowFunction="sum" dataDxfId="1979" totalsRowDxfId="430" dataCellStyle="Normal 14 2"/>
    <tableColumn id="70" name="Cell 67" totalsRowFunction="sum" dataDxfId="1978" totalsRowDxfId="429" dataCellStyle="Normal 14 2"/>
    <tableColumn id="71" name="Cell 68" totalsRowFunction="sum" dataDxfId="1977" totalsRowDxfId="428" dataCellStyle="Normal 14 2"/>
    <tableColumn id="72" name="Cell 69" totalsRowFunction="sum" dataDxfId="1976" totalsRowDxfId="427" dataCellStyle="Normal 14 2"/>
    <tableColumn id="73" name="Cell 70" totalsRowFunction="sum" dataDxfId="1975" totalsRowDxfId="426" dataCellStyle="Normal 14 2"/>
    <tableColumn id="74" name="Cell 71" totalsRowFunction="sum" dataDxfId="1974" totalsRowDxfId="425" dataCellStyle="Normal 14 2"/>
    <tableColumn id="75" name="Cell 72" totalsRowFunction="sum" dataDxfId="1973" totalsRowDxfId="424" dataCellStyle="Normal 14 2"/>
    <tableColumn id="76" name="Cell 73" totalsRowFunction="sum" dataDxfId="1972" totalsRowDxfId="423" dataCellStyle="Normal 14 2"/>
    <tableColumn id="77" name="Cell 74" totalsRowFunction="sum" dataDxfId="1971" totalsRowDxfId="422" dataCellStyle="Normal 14 2"/>
    <tableColumn id="78" name="Cell 75" totalsRowFunction="sum" dataDxfId="1970" totalsRowDxfId="421" dataCellStyle="Normal 14 2"/>
    <tableColumn id="79" name="Cell 76" totalsRowFunction="sum" dataDxfId="1969" totalsRowDxfId="420" dataCellStyle="Normal 14 2"/>
    <tableColumn id="80" name="Cell 77" totalsRowFunction="sum" dataDxfId="1968" totalsRowDxfId="419" dataCellStyle="Normal 14 2"/>
    <tableColumn id="81" name="Cell 78" totalsRowFunction="sum" dataDxfId="1967" totalsRowDxfId="418" dataCellStyle="Normal 14 2"/>
    <tableColumn id="82" name="Cell 79" totalsRowFunction="sum" dataDxfId="1966" totalsRowDxfId="417" dataCellStyle="Normal 14 2"/>
    <tableColumn id="83" name="Cell 80" totalsRowFunction="sum" dataDxfId="1965" totalsRowDxfId="416" dataCellStyle="Normal 14 2"/>
    <tableColumn id="84" name="Cell 81" totalsRowFunction="sum" dataDxfId="1964" totalsRowDxfId="415" dataCellStyle="Normal 14 2"/>
    <tableColumn id="85" name="Cell 82" totalsRowFunction="sum" dataDxfId="1963" totalsRowDxfId="414" dataCellStyle="Normal 14 2"/>
    <tableColumn id="86" name="Cell 83" totalsRowFunction="sum" dataDxfId="1962" totalsRowDxfId="413" dataCellStyle="Normal 14 2"/>
    <tableColumn id="87" name="Cell 84" totalsRowFunction="sum" dataDxfId="1961" totalsRowDxfId="412" dataCellStyle="Normal 14 2"/>
    <tableColumn id="88" name="Cell 85" totalsRowFunction="sum" dataDxfId="1960" totalsRowDxfId="411" dataCellStyle="Normal 14 2"/>
    <tableColumn id="89" name="Cell 86" totalsRowFunction="sum" dataDxfId="1959" totalsRowDxfId="410" dataCellStyle="Normal 14 2"/>
    <tableColumn id="90" name="Cell 87" totalsRowFunction="sum" dataDxfId="1958" totalsRowDxfId="409" dataCellStyle="Normal 14 2"/>
    <tableColumn id="91" name="Cell 88" totalsRowFunction="sum" dataDxfId="1957" totalsRowDxfId="408" dataCellStyle="Normal 14 2"/>
    <tableColumn id="92" name="Cell 89" totalsRowFunction="sum" dataDxfId="1956" totalsRowDxfId="407" dataCellStyle="Normal 14 2"/>
    <tableColumn id="93" name="Cell 90" totalsRowFunction="sum" dataDxfId="1955" totalsRowDxfId="406" dataCellStyle="Normal 14 2"/>
    <tableColumn id="94" name="Cell 91" totalsRowFunction="sum" dataDxfId="1954" totalsRowDxfId="405" dataCellStyle="Normal 14 2"/>
    <tableColumn id="95" name="Cell 92" totalsRowFunction="sum" dataDxfId="1953" totalsRowDxfId="404" dataCellStyle="Normal 14 2"/>
    <tableColumn id="96" name="Cell 93" totalsRowFunction="sum" dataDxfId="1952" totalsRowDxfId="403" dataCellStyle="Normal 14 2"/>
    <tableColumn id="97" name="Cell 94" totalsRowFunction="sum" dataDxfId="1951" totalsRowDxfId="402" dataCellStyle="Normal 14 2"/>
    <tableColumn id="98" name="Cell 95" totalsRowFunction="sum" dataDxfId="1950" totalsRowDxfId="401" dataCellStyle="Normal 14 2"/>
    <tableColumn id="99" name="Cell 96" totalsRowFunction="sum" dataDxfId="1949" totalsRowDxfId="400" dataCellStyle="Normal 14 2"/>
    <tableColumn id="100" name="Cell 97" totalsRowFunction="sum" dataDxfId="1948" totalsRowDxfId="399" dataCellStyle="Normal 14 2"/>
    <tableColumn id="101" name="Cell 98" totalsRowFunction="sum" dataDxfId="1947" totalsRowDxfId="398" dataCellStyle="Normal 14 2"/>
    <tableColumn id="102" name="Cell 99" totalsRowFunction="sum" dataDxfId="1946" totalsRowDxfId="397" dataCellStyle="Normal 14 2"/>
    <tableColumn id="103" name="Cell 100" totalsRowFunction="sum" dataDxfId="1945" totalsRowDxfId="396" dataCellStyle="Normal 14 2"/>
    <tableColumn id="104" name="Cell 101" totalsRowFunction="sum" dataDxfId="1944" totalsRowDxfId="395" dataCellStyle="Normal 14 2"/>
    <tableColumn id="105" name="Cell 102" totalsRowFunction="sum" dataDxfId="1943" totalsRowDxfId="394" dataCellStyle="Normal 14 2"/>
    <tableColumn id="106" name="Cell 103" totalsRowFunction="sum" dataDxfId="1942" totalsRowDxfId="393" dataCellStyle="Normal 14 2"/>
    <tableColumn id="107" name="Cell 104" totalsRowFunction="sum" dataDxfId="1941" totalsRowDxfId="392" dataCellStyle="Normal 14 2"/>
    <tableColumn id="108" name="Cell 105" totalsRowFunction="sum" dataDxfId="1940" totalsRowDxfId="391" dataCellStyle="Normal 14 2"/>
    <tableColumn id="109" name="Cell 106" totalsRowFunction="sum" dataDxfId="1939" totalsRowDxfId="390" dataCellStyle="Normal 14 2"/>
    <tableColumn id="110" name="Cell 107" totalsRowFunction="sum" dataDxfId="1938" totalsRowDxfId="389" dataCellStyle="Normal 14 2"/>
    <tableColumn id="111" name="Cell 108" totalsRowFunction="sum" dataDxfId="1937" totalsRowDxfId="388" dataCellStyle="Normal 14 2"/>
    <tableColumn id="112" name="Cell 109" totalsRowFunction="sum" dataDxfId="1936" totalsRowDxfId="387" dataCellStyle="Normal 14 2"/>
    <tableColumn id="113" name="Cell 110" totalsRowFunction="sum" dataDxfId="1935" totalsRowDxfId="386" dataCellStyle="Normal 14 2"/>
    <tableColumn id="114" name="Cell 111" totalsRowFunction="sum" dataDxfId="1934" totalsRowDxfId="385" dataCellStyle="Normal 14 2"/>
    <tableColumn id="115" name="Cell 112" totalsRowFunction="sum" dataDxfId="1933" totalsRowDxfId="384" dataCellStyle="Normal 14 2"/>
    <tableColumn id="116" name="Cell 113" totalsRowFunction="sum" dataDxfId="1932" totalsRowDxfId="383" dataCellStyle="Normal 14 2"/>
    <tableColumn id="117" name="Cell 114" totalsRowFunction="sum" dataDxfId="1931" totalsRowDxfId="382" dataCellStyle="Normal 14 2"/>
    <tableColumn id="118" name="Cell 115" totalsRowFunction="sum" dataDxfId="1930" totalsRowDxfId="381" dataCellStyle="Normal 14 2"/>
    <tableColumn id="119" name="Cell 116" totalsRowFunction="sum" dataDxfId="1929" totalsRowDxfId="380" dataCellStyle="Normal 14 2"/>
    <tableColumn id="120" name="Cell 117" totalsRowFunction="sum" dataDxfId="1928" totalsRowDxfId="379" dataCellStyle="Normal 14 2"/>
    <tableColumn id="121" name="Cell 118" totalsRowFunction="sum" dataDxfId="1927" totalsRowDxfId="378" dataCellStyle="Normal 14 2"/>
    <tableColumn id="122" name="Cell 119" totalsRowFunction="sum" dataDxfId="1926" totalsRowDxfId="377" dataCellStyle="Normal 14 2"/>
    <tableColumn id="123" name="Cell 120" totalsRowFunction="sum" dataDxfId="1925" totalsRowDxfId="376" dataCellStyle="Normal 14 2"/>
    <tableColumn id="124" name="Cell 121" totalsRowFunction="sum" dataDxfId="1924" totalsRowDxfId="375" dataCellStyle="Normal 14 2"/>
    <tableColumn id="125" name="Cell 122" totalsRowFunction="sum" dataDxfId="1923" totalsRowDxfId="374" dataCellStyle="Normal 14 2"/>
    <tableColumn id="126" name="Cell 123" totalsRowFunction="sum" dataDxfId="1922" totalsRowDxfId="373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All counties reporting."/>
    </ext>
  </extLst>
</table>
</file>

<file path=xl/tables/table11.xml><?xml version="1.0" encoding="utf-8"?>
<table xmlns="http://schemas.openxmlformats.org/spreadsheetml/2006/main" id="11" name="Apr17Data" displayName="Apr17Data" ref="A5:DT64" totalsRowCount="1" headerRowDxfId="1921" dataDxfId="1920" headerRowBorderDxfId="1918" tableBorderDxfId="1919" totalsRowBorderDxfId="1917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1916" totalsRowDxfId="371" dataCellStyle="Normal 14 2"/>
    <tableColumn id="4" name="Cell 1" totalsRowFunction="sum" dataDxfId="1915" totalsRowDxfId="370" dataCellStyle="Normal 14 2"/>
    <tableColumn id="5" name="Cell 2" totalsRowFunction="sum" dataDxfId="1914" totalsRowDxfId="369" dataCellStyle="Normal 14 2"/>
    <tableColumn id="6" name="Cell 3" totalsRowFunction="sum" dataDxfId="1913" totalsRowDxfId="368" dataCellStyle="Normal 14 2"/>
    <tableColumn id="7" name="Cell 4" totalsRowFunction="sum" dataDxfId="1912" totalsRowDxfId="367" dataCellStyle="Normal 14 2"/>
    <tableColumn id="8" name="Cell 5" totalsRowFunction="sum" dataDxfId="1911" totalsRowDxfId="366" dataCellStyle="Normal 14 2"/>
    <tableColumn id="9" name="Cell 6" totalsRowFunction="sum" dataDxfId="1910" totalsRowDxfId="365" dataCellStyle="Normal 14 2"/>
    <tableColumn id="10" name="Cell 7" totalsRowFunction="sum" dataDxfId="1909" totalsRowDxfId="364" dataCellStyle="Normal 14 2"/>
    <tableColumn id="11" name="Cell 8" totalsRowFunction="sum" dataDxfId="1908" totalsRowDxfId="363" dataCellStyle="Normal 14 2"/>
    <tableColumn id="12" name="Cell 9" totalsRowFunction="sum" dataDxfId="1907" totalsRowDxfId="362" dataCellStyle="Normal 14 2"/>
    <tableColumn id="13" name="Cell 10" totalsRowFunction="sum" dataDxfId="1906" totalsRowDxfId="361" dataCellStyle="Normal 14 2"/>
    <tableColumn id="14" name="Cell 11" totalsRowFunction="sum" dataDxfId="1905" totalsRowDxfId="360" dataCellStyle="Normal 14 2"/>
    <tableColumn id="15" name="Cell 12" totalsRowFunction="sum" dataDxfId="1904" totalsRowDxfId="359" dataCellStyle="Normal 14 2"/>
    <tableColumn id="16" name="Cell 13" totalsRowFunction="sum" dataDxfId="1903" totalsRowDxfId="358" dataCellStyle="Normal 14 2"/>
    <tableColumn id="17" name="Cell 14" totalsRowFunction="sum" dataDxfId="1902" totalsRowDxfId="357" dataCellStyle="Normal 14 2"/>
    <tableColumn id="18" name="Cell 15" totalsRowFunction="sum" dataDxfId="1901" totalsRowDxfId="356" dataCellStyle="Normal 14 2"/>
    <tableColumn id="19" name="Cell 16" totalsRowFunction="sum" dataDxfId="1900" totalsRowDxfId="355" dataCellStyle="Normal 14 2"/>
    <tableColumn id="20" name="Cell 17" totalsRowFunction="sum" dataDxfId="1899" totalsRowDxfId="354" dataCellStyle="Normal 14 2"/>
    <tableColumn id="21" name="Cell 18" totalsRowFunction="sum" dataDxfId="1898" totalsRowDxfId="353" dataCellStyle="Normal 14 2"/>
    <tableColumn id="22" name="Cell 19" totalsRowFunction="sum" dataDxfId="1897" totalsRowDxfId="352" dataCellStyle="Normal 14 2"/>
    <tableColumn id="23" name="Cell 20" totalsRowFunction="sum" dataDxfId="1896" totalsRowDxfId="351" dataCellStyle="Normal 14 2"/>
    <tableColumn id="24" name="Cell 21" totalsRowFunction="sum" dataDxfId="1895" totalsRowDxfId="350" dataCellStyle="Normal 14 2"/>
    <tableColumn id="25" name="Cell 22" totalsRowFunction="sum" dataDxfId="1894" totalsRowDxfId="349" dataCellStyle="Normal 14 2"/>
    <tableColumn id="26" name="Cell 23" totalsRowFunction="sum" dataDxfId="1893" totalsRowDxfId="348" dataCellStyle="Normal 14 2"/>
    <tableColumn id="27" name="Cell 24" totalsRowFunction="sum" dataDxfId="1892" totalsRowDxfId="347" dataCellStyle="Normal 14 2"/>
    <tableColumn id="28" name="Cell 25" totalsRowFunction="sum" dataDxfId="1891" totalsRowDxfId="346" dataCellStyle="Normal 14 2"/>
    <tableColumn id="29" name="Cell 26" totalsRowFunction="sum" dataDxfId="1890" totalsRowDxfId="345" dataCellStyle="Normal 14 2"/>
    <tableColumn id="30" name="Cell 27" totalsRowFunction="sum" dataDxfId="1889" totalsRowDxfId="344" dataCellStyle="Normal 14 2"/>
    <tableColumn id="31" name="Cell 28" totalsRowFunction="sum" dataDxfId="1888" totalsRowDxfId="343" dataCellStyle="Normal 14 2"/>
    <tableColumn id="32" name="Cell 29" totalsRowFunction="sum" dataDxfId="1887" totalsRowDxfId="342" dataCellStyle="Normal 14 2"/>
    <tableColumn id="33" name="Cell 30" totalsRowFunction="sum" dataDxfId="1886" totalsRowDxfId="341" dataCellStyle="Normal 14 2"/>
    <tableColumn id="34" name="Cell 31" totalsRowFunction="sum" dataDxfId="1885" totalsRowDxfId="340" dataCellStyle="Normal 14 2"/>
    <tableColumn id="35" name="Cell 32" totalsRowFunction="sum" dataDxfId="1884" totalsRowDxfId="339" dataCellStyle="Normal 14 2"/>
    <tableColumn id="36" name="Cell 33" totalsRowFunction="sum" dataDxfId="1883" totalsRowDxfId="338" dataCellStyle="Normal 14 2"/>
    <tableColumn id="37" name="Cell 34" totalsRowFunction="sum" dataDxfId="1882" totalsRowDxfId="337" dataCellStyle="Normal 14 2"/>
    <tableColumn id="38" name="Cell 35" totalsRowFunction="sum" dataDxfId="1881" totalsRowDxfId="336" dataCellStyle="Normal 14 2"/>
    <tableColumn id="39" name="Cell 36" totalsRowFunction="sum" dataDxfId="1880" totalsRowDxfId="335" dataCellStyle="Normal 14 2"/>
    <tableColumn id="40" name="Cell 37" totalsRowFunction="sum" dataDxfId="1879" totalsRowDxfId="334" dataCellStyle="Normal 14 2"/>
    <tableColumn id="41" name="Cell 38" totalsRowFunction="sum" dataDxfId="1878" totalsRowDxfId="333" dataCellStyle="Normal 14 2"/>
    <tableColumn id="42" name="Cell 39" totalsRowFunction="sum" dataDxfId="1877" totalsRowDxfId="332" dataCellStyle="Normal 14 2"/>
    <tableColumn id="43" name="Cell 40" totalsRowFunction="sum" dataDxfId="1876" totalsRowDxfId="331" dataCellStyle="Normal 14 2"/>
    <tableColumn id="44" name="Cell 41" totalsRowFunction="sum" dataDxfId="1875" totalsRowDxfId="330" dataCellStyle="Normal 14 2"/>
    <tableColumn id="45" name="Cell 42" totalsRowFunction="sum" dataDxfId="1874" totalsRowDxfId="329" dataCellStyle="Normal 14 2"/>
    <tableColumn id="46" name="Cell 43" totalsRowFunction="sum" dataDxfId="1873" totalsRowDxfId="328" dataCellStyle="Normal 14 2"/>
    <tableColumn id="47" name="Cell 44" totalsRowFunction="sum" dataDxfId="1872" totalsRowDxfId="327" dataCellStyle="Normal 14 2"/>
    <tableColumn id="48" name="Cell 45" totalsRowFunction="sum" dataDxfId="1871" totalsRowDxfId="326" dataCellStyle="Normal 14 2"/>
    <tableColumn id="49" name="Cell 46" totalsRowFunction="sum" dataDxfId="1870" totalsRowDxfId="325" dataCellStyle="Normal 14 2"/>
    <tableColumn id="50" name="Cell 47" totalsRowFunction="sum" dataDxfId="1869" totalsRowDxfId="324" dataCellStyle="Normal 14 2"/>
    <tableColumn id="51" name="Cell 48" totalsRowFunction="sum" dataDxfId="1868" totalsRowDxfId="323" dataCellStyle="Normal 14 2"/>
    <tableColumn id="52" name="Cell 49" totalsRowFunction="sum" dataDxfId="1867" totalsRowDxfId="322" dataCellStyle="Normal 14 2"/>
    <tableColumn id="53" name="Cell 50" totalsRowFunction="sum" dataDxfId="1866" totalsRowDxfId="321" dataCellStyle="Normal 14 2"/>
    <tableColumn id="54" name="Cell 51" totalsRowFunction="sum" dataDxfId="1865" totalsRowDxfId="320" dataCellStyle="Normal 14 2"/>
    <tableColumn id="55" name="Cell 52" totalsRowFunction="sum" dataDxfId="1864" totalsRowDxfId="319" dataCellStyle="Normal 14 2"/>
    <tableColumn id="56" name="Cell 53" totalsRowFunction="sum" dataDxfId="1863" totalsRowDxfId="318" dataCellStyle="Normal 14 2"/>
    <tableColumn id="57" name="Cell 54" totalsRowFunction="sum" dataDxfId="1862" totalsRowDxfId="317" dataCellStyle="Normal 14 2"/>
    <tableColumn id="58" name="Cell 55" totalsRowFunction="sum" dataDxfId="1861" totalsRowDxfId="316" dataCellStyle="Normal 14 2"/>
    <tableColumn id="59" name="Cell 56" totalsRowFunction="sum" dataDxfId="1860" totalsRowDxfId="315" dataCellStyle="Normal 14 2"/>
    <tableColumn id="60" name="Cell 57" totalsRowFunction="sum" dataDxfId="1859" totalsRowDxfId="314" dataCellStyle="Normal 14 2"/>
    <tableColumn id="61" name="Cell 58" totalsRowFunction="sum" dataDxfId="1858" totalsRowDxfId="313" dataCellStyle="Normal 14 2"/>
    <tableColumn id="62" name="Cell 59" totalsRowFunction="sum" dataDxfId="1857" totalsRowDxfId="312" dataCellStyle="Normal 14 2"/>
    <tableColumn id="63" name="Cell 60" totalsRowFunction="sum" dataDxfId="1856" totalsRowDxfId="311" dataCellStyle="Normal 14 2"/>
    <tableColumn id="64" name="Cell 61" totalsRowFunction="sum" dataDxfId="1855" totalsRowDxfId="310" dataCellStyle="Normal 14 2"/>
    <tableColumn id="65" name="Cell 62" totalsRowFunction="sum" dataDxfId="1854" totalsRowDxfId="309" dataCellStyle="Normal 14 2"/>
    <tableColumn id="66" name="Cell 63" totalsRowFunction="sum" dataDxfId="1853" totalsRowDxfId="308" dataCellStyle="Normal 14 2"/>
    <tableColumn id="67" name="Cell 64" totalsRowFunction="sum" dataDxfId="1852" totalsRowDxfId="307" dataCellStyle="Normal 14 2"/>
    <tableColumn id="68" name="Cell 65" totalsRowFunction="sum" dataDxfId="1851" totalsRowDxfId="306" dataCellStyle="Normal 14 2"/>
    <tableColumn id="69" name="Cell 66" totalsRowFunction="sum" dataDxfId="1850" totalsRowDxfId="305" dataCellStyle="Normal 14 2"/>
    <tableColumn id="70" name="Cell 67" totalsRowFunction="sum" dataDxfId="1849" totalsRowDxfId="304" dataCellStyle="Normal 14 2"/>
    <tableColumn id="71" name="Cell 68" totalsRowFunction="sum" dataDxfId="1848" totalsRowDxfId="303" dataCellStyle="Normal 14 2"/>
    <tableColumn id="72" name="Cell 69" totalsRowFunction="sum" dataDxfId="1847" totalsRowDxfId="302" dataCellStyle="Normal 14 2"/>
    <tableColumn id="73" name="Cell 70" totalsRowFunction="sum" dataDxfId="1846" totalsRowDxfId="301" dataCellStyle="Normal 14 2"/>
    <tableColumn id="74" name="Cell 71" totalsRowFunction="sum" dataDxfId="1845" totalsRowDxfId="300" dataCellStyle="Normal 14 2"/>
    <tableColumn id="75" name="Cell 72" totalsRowFunction="sum" dataDxfId="1844" totalsRowDxfId="299" dataCellStyle="Normal 14 2"/>
    <tableColumn id="76" name="Cell 73" totalsRowFunction="sum" dataDxfId="1843" totalsRowDxfId="298" dataCellStyle="Normal 14 2"/>
    <tableColumn id="77" name="Cell 74" totalsRowFunction="sum" dataDxfId="1842" totalsRowDxfId="297" dataCellStyle="Normal 14 2"/>
    <tableColumn id="78" name="Cell 75" totalsRowFunction="sum" dataDxfId="1841" totalsRowDxfId="296" dataCellStyle="Normal 14 2"/>
    <tableColumn id="79" name="Cell 76" totalsRowFunction="sum" dataDxfId="1840" totalsRowDxfId="295" dataCellStyle="Normal 14 2"/>
    <tableColumn id="80" name="Cell 77" totalsRowFunction="sum" dataDxfId="1839" totalsRowDxfId="294" dataCellStyle="Normal 14 2"/>
    <tableColumn id="81" name="Cell 78" totalsRowFunction="sum" dataDxfId="1838" totalsRowDxfId="293" dataCellStyle="Normal 14 2"/>
    <tableColumn id="82" name="Cell 79" totalsRowFunction="sum" dataDxfId="1837" totalsRowDxfId="292" dataCellStyle="Normal 14 2"/>
    <tableColumn id="83" name="Cell 80" totalsRowFunction="sum" dataDxfId="1836" totalsRowDxfId="291" dataCellStyle="Normal 14 2"/>
    <tableColumn id="84" name="Cell 81" totalsRowFunction="sum" dataDxfId="1835" totalsRowDxfId="290" dataCellStyle="Normal 14 2"/>
    <tableColumn id="85" name="Cell 82" totalsRowFunction="sum" dataDxfId="1834" totalsRowDxfId="289" dataCellStyle="Normal 14 2"/>
    <tableColumn id="86" name="Cell 83" totalsRowFunction="sum" dataDxfId="1833" totalsRowDxfId="288" dataCellStyle="Normal 14 2"/>
    <tableColumn id="87" name="Cell 84" totalsRowFunction="sum" dataDxfId="1832" totalsRowDxfId="287" dataCellStyle="Normal 14 2"/>
    <tableColumn id="88" name="Cell 85" totalsRowFunction="sum" dataDxfId="1831" totalsRowDxfId="286" dataCellStyle="Normal 14 2"/>
    <tableColumn id="89" name="Cell 86" totalsRowFunction="sum" dataDxfId="1830" totalsRowDxfId="285" dataCellStyle="Normal 14 2"/>
    <tableColumn id="90" name="Cell 87" totalsRowFunction="sum" dataDxfId="1829" totalsRowDxfId="284" dataCellStyle="Normal 14 2"/>
    <tableColumn id="91" name="Cell 88" totalsRowFunction="sum" dataDxfId="1828" totalsRowDxfId="283" dataCellStyle="Normal 14 2"/>
    <tableColumn id="92" name="Cell 89" totalsRowFunction="sum" dataDxfId="1827" totalsRowDxfId="282" dataCellStyle="Normal 14 2"/>
    <tableColumn id="93" name="Cell 90" totalsRowFunction="sum" dataDxfId="1826" totalsRowDxfId="281" dataCellStyle="Normal 14 2"/>
    <tableColumn id="94" name="Cell 91" totalsRowFunction="sum" dataDxfId="1825" totalsRowDxfId="280" dataCellStyle="Normal 14 2"/>
    <tableColumn id="95" name="Cell 92" totalsRowFunction="sum" dataDxfId="1824" totalsRowDxfId="279" dataCellStyle="Normal 14 2"/>
    <tableColumn id="96" name="Cell 93" totalsRowFunction="sum" dataDxfId="1823" totalsRowDxfId="278" dataCellStyle="Normal 14 2"/>
    <tableColumn id="97" name="Cell 94" totalsRowFunction="sum" dataDxfId="1822" totalsRowDxfId="277" dataCellStyle="Normal 14 2"/>
    <tableColumn id="98" name="Cell 95" totalsRowFunction="sum" dataDxfId="1821" totalsRowDxfId="276" dataCellStyle="Normal 14 2"/>
    <tableColumn id="99" name="Cell 96" totalsRowFunction="sum" dataDxfId="1820" totalsRowDxfId="275" dataCellStyle="Normal 14 2"/>
    <tableColumn id="100" name="Cell 97" totalsRowFunction="sum" dataDxfId="1819" totalsRowDxfId="274" dataCellStyle="Normal 14 2"/>
    <tableColumn id="101" name="Cell 98" totalsRowFunction="sum" dataDxfId="1818" totalsRowDxfId="273" dataCellStyle="Normal 14 2"/>
    <tableColumn id="102" name="Cell 99" totalsRowFunction="sum" dataDxfId="1817" totalsRowDxfId="272" dataCellStyle="Normal 14 2"/>
    <tableColumn id="103" name="Cell 100" totalsRowFunction="sum" dataDxfId="1816" totalsRowDxfId="271" dataCellStyle="Normal 14 2"/>
    <tableColumn id="104" name="Cell 101" totalsRowFunction="sum" dataDxfId="1815" totalsRowDxfId="270" dataCellStyle="Normal 14 2"/>
    <tableColumn id="105" name="Cell 102" totalsRowFunction="sum" dataDxfId="1814" totalsRowDxfId="269" dataCellStyle="Normal 14 2"/>
    <tableColumn id="106" name="Cell 103" totalsRowFunction="sum" dataDxfId="1813" totalsRowDxfId="268" dataCellStyle="Normal 14 2"/>
    <tableColumn id="107" name="Cell 104" totalsRowFunction="sum" dataDxfId="1812" totalsRowDxfId="267" dataCellStyle="Normal 14 2"/>
    <tableColumn id="108" name="Cell 105" totalsRowFunction="sum" dataDxfId="1811" totalsRowDxfId="266" dataCellStyle="Normal 14 2"/>
    <tableColumn id="109" name="Cell 106" totalsRowFunction="sum" dataDxfId="1810" totalsRowDxfId="265" dataCellStyle="Normal 14 2"/>
    <tableColumn id="110" name="Cell 107" totalsRowFunction="sum" dataDxfId="1809" totalsRowDxfId="264" dataCellStyle="Normal 14 2"/>
    <tableColumn id="111" name="Cell 108" totalsRowFunction="sum" dataDxfId="1808" totalsRowDxfId="263" dataCellStyle="Normal 14 2"/>
    <tableColumn id="112" name="Cell 109" totalsRowFunction="sum" dataDxfId="1807" totalsRowDxfId="262" dataCellStyle="Normal 14 2"/>
    <tableColumn id="113" name="Cell 110" totalsRowFunction="sum" dataDxfId="1806" totalsRowDxfId="261" dataCellStyle="Normal 14 2"/>
    <tableColumn id="114" name="Cell 111" totalsRowFunction="sum" dataDxfId="1805" totalsRowDxfId="260" dataCellStyle="Normal 14 2"/>
    <tableColumn id="115" name="Cell 112" totalsRowFunction="sum" dataDxfId="1804" totalsRowDxfId="259" dataCellStyle="Normal 14 2"/>
    <tableColumn id="116" name="Cell 113" totalsRowFunction="sum" dataDxfId="1803" totalsRowDxfId="258" dataCellStyle="Normal 14 2"/>
    <tableColumn id="117" name="Cell 114" totalsRowFunction="sum" dataDxfId="1802" totalsRowDxfId="257" dataCellStyle="Normal 14 2"/>
    <tableColumn id="118" name="Cell 115" totalsRowFunction="sum" dataDxfId="1801" totalsRowDxfId="256" dataCellStyle="Normal 14 2"/>
    <tableColumn id="119" name="Cell 116" totalsRowFunction="sum" dataDxfId="1800" totalsRowDxfId="255" dataCellStyle="Normal 14 2"/>
    <tableColumn id="120" name="Cell 117" totalsRowFunction="sum" dataDxfId="1799" totalsRowDxfId="254" dataCellStyle="Normal 14 2"/>
    <tableColumn id="121" name="Cell 118" totalsRowFunction="sum" dataDxfId="1798" totalsRowDxfId="253" dataCellStyle="Normal 14 2"/>
    <tableColumn id="122" name="Cell 119" totalsRowFunction="sum" dataDxfId="1797" totalsRowDxfId="252" dataCellStyle="Normal 14 2"/>
    <tableColumn id="123" name="Cell 120" totalsRowFunction="sum" dataDxfId="1796" totalsRowDxfId="251" dataCellStyle="Normal 14 2"/>
    <tableColumn id="124" name="Cell 121" totalsRowFunction="sum" dataDxfId="1795" totalsRowDxfId="250" dataCellStyle="Normal 14 2"/>
    <tableColumn id="125" name="Cell 122" totalsRowFunction="sum" dataDxfId="1794" totalsRowDxfId="249" dataCellStyle="Normal 14 2"/>
    <tableColumn id="126" name="Cell 123" totalsRowFunction="sum" dataDxfId="1793" totalsRowDxfId="248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County Not Reporting:  Alameda"/>
    </ext>
  </extLst>
</table>
</file>

<file path=xl/tables/table12.xml><?xml version="1.0" encoding="utf-8"?>
<table xmlns="http://schemas.openxmlformats.org/spreadsheetml/2006/main" id="12" name="May17Data" displayName="May17Data" ref="A5:DT64" totalsRowCount="1" headerRowDxfId="1792" dataDxfId="1791" headerRowBorderDxfId="1789" tableBorderDxfId="1790" totalsRowBorderDxfId="1788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1787" totalsRowDxfId="247" dataCellStyle="Normal 14 2"/>
    <tableColumn id="4" name="Cell 1" totalsRowFunction="sum" dataDxfId="1786" totalsRowDxfId="246" dataCellStyle="Normal 14 2"/>
    <tableColumn id="5" name="Cell 2" totalsRowFunction="sum" dataDxfId="1785" totalsRowDxfId="245" dataCellStyle="Normal 14 2"/>
    <tableColumn id="6" name="Cell 3" totalsRowFunction="sum" dataDxfId="1784" totalsRowDxfId="244" dataCellStyle="Normal 14 2"/>
    <tableColumn id="7" name="Cell 4" totalsRowFunction="sum" dataDxfId="1783" totalsRowDxfId="243" dataCellStyle="Normal 14 2"/>
    <tableColumn id="8" name="Cell 5" totalsRowFunction="sum" dataDxfId="1782" totalsRowDxfId="242" dataCellStyle="Normal 14 2"/>
    <tableColumn id="9" name="Cell 6" totalsRowFunction="sum" dataDxfId="1781" totalsRowDxfId="241" dataCellStyle="Normal 14 2"/>
    <tableColumn id="10" name="Cell 7" totalsRowFunction="sum" dataDxfId="1780" totalsRowDxfId="240" dataCellStyle="Normal 14 2"/>
    <tableColumn id="11" name="Cell 8" totalsRowFunction="sum" dataDxfId="1779" totalsRowDxfId="239" dataCellStyle="Normal 14 2"/>
    <tableColumn id="12" name="Cell 9" totalsRowFunction="sum" dataDxfId="1778" totalsRowDxfId="238" dataCellStyle="Normal 14 2"/>
    <tableColumn id="13" name="Cell 10" totalsRowFunction="sum" dataDxfId="1777" totalsRowDxfId="237" dataCellStyle="Normal 14 2"/>
    <tableColumn id="14" name="Cell 11" totalsRowFunction="sum" dataDxfId="1776" totalsRowDxfId="236" dataCellStyle="Normal 14 2"/>
    <tableColumn id="15" name="Cell 12" totalsRowFunction="sum" dataDxfId="1775" totalsRowDxfId="235" dataCellStyle="Normal 14 2"/>
    <tableColumn id="16" name="Cell 13" totalsRowFunction="sum" dataDxfId="1774" totalsRowDxfId="234" dataCellStyle="Normal 14 2"/>
    <tableColumn id="17" name="Cell 14" totalsRowFunction="sum" dataDxfId="1773" totalsRowDxfId="233" dataCellStyle="Normal 14 2"/>
    <tableColumn id="18" name="Cell 15" totalsRowFunction="sum" dataDxfId="1772" totalsRowDxfId="232" dataCellStyle="Normal 14 2"/>
    <tableColumn id="19" name="Cell 16" totalsRowFunction="sum" dataDxfId="1771" totalsRowDxfId="231" dataCellStyle="Normal 14 2"/>
    <tableColumn id="20" name="Cell 17" totalsRowFunction="sum" dataDxfId="1770" totalsRowDxfId="230" dataCellStyle="Normal 14 2"/>
    <tableColumn id="21" name="Cell 18" totalsRowFunction="sum" dataDxfId="1769" totalsRowDxfId="229" dataCellStyle="Normal 14 2"/>
    <tableColumn id="22" name="Cell 19" totalsRowFunction="sum" dataDxfId="1768" totalsRowDxfId="228" dataCellStyle="Normal 14 2"/>
    <tableColumn id="23" name="Cell 20" totalsRowFunction="sum" dataDxfId="1767" totalsRowDxfId="227" dataCellStyle="Normal 14 2"/>
    <tableColumn id="24" name="Cell 21" totalsRowFunction="sum" dataDxfId="1766" totalsRowDxfId="226" dataCellStyle="Normal 14 2"/>
    <tableColumn id="25" name="Cell 22" totalsRowFunction="sum" dataDxfId="1765" totalsRowDxfId="225" dataCellStyle="Normal 14 2"/>
    <tableColumn id="26" name="Cell 23" totalsRowFunction="sum" dataDxfId="1764" totalsRowDxfId="224" dataCellStyle="Normal 14 2"/>
    <tableColumn id="27" name="Cell 24" totalsRowFunction="sum" dataDxfId="1763" totalsRowDxfId="223" dataCellStyle="Normal 14 2"/>
    <tableColumn id="28" name="Cell 25" totalsRowFunction="sum" dataDxfId="1762" totalsRowDxfId="222" dataCellStyle="Normal 14 2"/>
    <tableColumn id="29" name="Cell 26" totalsRowFunction="sum" dataDxfId="1761" totalsRowDxfId="221" dataCellStyle="Normal 14 2"/>
    <tableColumn id="30" name="Cell 27" totalsRowFunction="sum" dataDxfId="1760" totalsRowDxfId="220" dataCellStyle="Normal 14 2"/>
    <tableColumn id="31" name="Cell 28" totalsRowFunction="sum" dataDxfId="1759" totalsRowDxfId="219" dataCellStyle="Normal 14 2"/>
    <tableColumn id="32" name="Cell 29" totalsRowFunction="sum" dataDxfId="1758" totalsRowDxfId="218" dataCellStyle="Normal 14 2"/>
    <tableColumn id="33" name="Cell 30" totalsRowFunction="sum" dataDxfId="1757" totalsRowDxfId="217" dataCellStyle="Normal 14 2"/>
    <tableColumn id="34" name="Cell 31" totalsRowFunction="sum" dataDxfId="1756" totalsRowDxfId="216" dataCellStyle="Normal 14 2"/>
    <tableColumn id="35" name="Cell 32" totalsRowFunction="sum" dataDxfId="1755" totalsRowDxfId="215" dataCellStyle="Normal 14 2"/>
    <tableColumn id="36" name="Cell 33" totalsRowFunction="sum" dataDxfId="1754" totalsRowDxfId="214" dataCellStyle="Normal 14 2"/>
    <tableColumn id="37" name="Cell 34" totalsRowFunction="sum" dataDxfId="1753" totalsRowDxfId="213" dataCellStyle="Normal 14 2"/>
    <tableColumn id="38" name="Cell 35" totalsRowFunction="sum" dataDxfId="1752" totalsRowDxfId="212" dataCellStyle="Normal 14 2"/>
    <tableColumn id="39" name="Cell 36" totalsRowFunction="sum" dataDxfId="1751" totalsRowDxfId="211" dataCellStyle="Normal 14 2"/>
    <tableColumn id="40" name="Cell 37" totalsRowFunction="sum" dataDxfId="1750" totalsRowDxfId="210" dataCellStyle="Normal 14 2"/>
    <tableColumn id="41" name="Cell 38" totalsRowFunction="sum" dataDxfId="1749" totalsRowDxfId="209" dataCellStyle="Normal 14 2"/>
    <tableColumn id="42" name="Cell 39" totalsRowFunction="sum" dataDxfId="1748" totalsRowDxfId="208" dataCellStyle="Normal 14 2"/>
    <tableColumn id="43" name="Cell 40" totalsRowFunction="sum" dataDxfId="1747" totalsRowDxfId="207" dataCellStyle="Normal 14 2"/>
    <tableColumn id="44" name="Cell 41" totalsRowFunction="sum" dataDxfId="1746" totalsRowDxfId="206" dataCellStyle="Normal 14 2"/>
    <tableColumn id="45" name="Cell 42" totalsRowFunction="sum" dataDxfId="1745" totalsRowDxfId="205" dataCellStyle="Normal 14 2"/>
    <tableColumn id="46" name="Cell 43" totalsRowFunction="sum" dataDxfId="1744" totalsRowDxfId="204" dataCellStyle="Normal 14 2"/>
    <tableColumn id="47" name="Cell 44" totalsRowFunction="sum" dataDxfId="1743" totalsRowDxfId="203" dataCellStyle="Normal 14 2"/>
    <tableColumn id="48" name="Cell 45" totalsRowFunction="sum" dataDxfId="1742" totalsRowDxfId="202" dataCellStyle="Normal 14 2"/>
    <tableColumn id="49" name="Cell 46" totalsRowFunction="sum" dataDxfId="1741" totalsRowDxfId="201" dataCellStyle="Normal 14 2"/>
    <tableColumn id="50" name="Cell 47" totalsRowFunction="sum" dataDxfId="1740" totalsRowDxfId="200" dataCellStyle="Normal 14 2"/>
    <tableColumn id="51" name="Cell 48" totalsRowFunction="sum" dataDxfId="1739" totalsRowDxfId="199" dataCellStyle="Normal 14 2"/>
    <tableColumn id="52" name="Cell 49" totalsRowFunction="sum" dataDxfId="1738" totalsRowDxfId="198" dataCellStyle="Normal 14 2"/>
    <tableColumn id="53" name="Cell 50" totalsRowFunction="sum" dataDxfId="1737" totalsRowDxfId="197" dataCellStyle="Normal 14 2"/>
    <tableColumn id="54" name="Cell 51" totalsRowFunction="sum" dataDxfId="1736" totalsRowDxfId="196" dataCellStyle="Normal 14 2"/>
    <tableColumn id="55" name="Cell 52" totalsRowFunction="sum" dataDxfId="1735" totalsRowDxfId="195" dataCellStyle="Normal 14 2"/>
    <tableColumn id="56" name="Cell 53" totalsRowFunction="sum" dataDxfId="1734" totalsRowDxfId="194" dataCellStyle="Normal 14 2"/>
    <tableColumn id="57" name="Cell 54" totalsRowFunction="sum" dataDxfId="1733" totalsRowDxfId="193" dataCellStyle="Normal 14 2"/>
    <tableColumn id="58" name="Cell 55" totalsRowFunction="sum" dataDxfId="1732" totalsRowDxfId="192" dataCellStyle="Normal 14 2"/>
    <tableColumn id="59" name="Cell 56" totalsRowFunction="sum" dataDxfId="1731" totalsRowDxfId="191" dataCellStyle="Normal 14 2"/>
    <tableColumn id="60" name="Cell 57" totalsRowFunction="sum" dataDxfId="1730" totalsRowDxfId="190" dataCellStyle="Normal 14 2"/>
    <tableColumn id="61" name="Cell 58" totalsRowFunction="sum" dataDxfId="1729" totalsRowDxfId="189" dataCellStyle="Normal 14 2"/>
    <tableColumn id="62" name="Cell 59" totalsRowFunction="sum" dataDxfId="1728" totalsRowDxfId="188" dataCellStyle="Normal 14 2"/>
    <tableColumn id="63" name="Cell 60" totalsRowFunction="sum" dataDxfId="1727" totalsRowDxfId="187" dataCellStyle="Normal 14 2"/>
    <tableColumn id="64" name="Cell 61" totalsRowFunction="sum" dataDxfId="1726" totalsRowDxfId="186" dataCellStyle="Normal 14 2"/>
    <tableColumn id="65" name="Cell 62" totalsRowFunction="sum" dataDxfId="1725" totalsRowDxfId="185" dataCellStyle="Normal 14 2"/>
    <tableColumn id="66" name="Cell 63" totalsRowFunction="sum" dataDxfId="1724" totalsRowDxfId="184" dataCellStyle="Normal 14 2"/>
    <tableColumn id="67" name="Cell 64" totalsRowFunction="sum" dataDxfId="1723" totalsRowDxfId="183" dataCellStyle="Normal 14 2"/>
    <tableColumn id="68" name="Cell 65" totalsRowFunction="sum" dataDxfId="1722" totalsRowDxfId="182" dataCellStyle="Normal 14 2"/>
    <tableColumn id="69" name="Cell 66" totalsRowFunction="sum" dataDxfId="1721" totalsRowDxfId="181" dataCellStyle="Normal 14 2"/>
    <tableColumn id="70" name="Cell 67" totalsRowFunction="sum" dataDxfId="1720" totalsRowDxfId="180" dataCellStyle="Normal 14 2"/>
    <tableColumn id="71" name="Cell 68" totalsRowFunction="sum" dataDxfId="1719" totalsRowDxfId="179" dataCellStyle="Normal 14 2"/>
    <tableColumn id="72" name="Cell 69" totalsRowFunction="sum" dataDxfId="1718" totalsRowDxfId="178" dataCellStyle="Normal 14 2"/>
    <tableColumn id="73" name="Cell 70" totalsRowFunction="sum" dataDxfId="1717" totalsRowDxfId="177" dataCellStyle="Normal 14 2"/>
    <tableColumn id="74" name="Cell 71" totalsRowFunction="sum" dataDxfId="1716" totalsRowDxfId="176" dataCellStyle="Normal 14 2"/>
    <tableColumn id="75" name="Cell 72" totalsRowFunction="sum" dataDxfId="1715" totalsRowDxfId="175" dataCellStyle="Normal 14 2"/>
    <tableColumn id="76" name="Cell 73" totalsRowFunction="sum" dataDxfId="1714" totalsRowDxfId="174" dataCellStyle="Normal 14 2"/>
    <tableColumn id="77" name="Cell 74" totalsRowFunction="sum" dataDxfId="1713" totalsRowDxfId="173" dataCellStyle="Normal 14 2"/>
    <tableColumn id="78" name="Cell 75" totalsRowFunction="sum" dataDxfId="1712" totalsRowDxfId="172" dataCellStyle="Normal 14 2"/>
    <tableColumn id="79" name="Cell 76" totalsRowFunction="sum" dataDxfId="1711" totalsRowDxfId="171" dataCellStyle="Normal 14 2"/>
    <tableColumn id="80" name="Cell 77" totalsRowFunction="sum" dataDxfId="1710" totalsRowDxfId="170" dataCellStyle="Normal 14 2"/>
    <tableColumn id="81" name="Cell 78" totalsRowFunction="sum" dataDxfId="1709" totalsRowDxfId="169" dataCellStyle="Normal 14 2"/>
    <tableColumn id="82" name="Cell 79" totalsRowFunction="sum" dataDxfId="1708" totalsRowDxfId="168" dataCellStyle="Normal 14 2"/>
    <tableColumn id="83" name="Cell 80" totalsRowFunction="sum" dataDxfId="1707" totalsRowDxfId="167" dataCellStyle="Normal 14 2"/>
    <tableColumn id="84" name="Cell 81" totalsRowFunction="sum" dataDxfId="1706" totalsRowDxfId="166" dataCellStyle="Normal 14 2"/>
    <tableColumn id="85" name="Cell 82" totalsRowFunction="sum" dataDxfId="1705" totalsRowDxfId="165" dataCellStyle="Normal 14 2"/>
    <tableColumn id="86" name="Cell 83" totalsRowFunction="sum" dataDxfId="1704" totalsRowDxfId="164" dataCellStyle="Normal 14 2"/>
    <tableColumn id="87" name="Cell 84" totalsRowFunction="sum" dataDxfId="1703" totalsRowDxfId="163" dataCellStyle="Normal 14 2"/>
    <tableColumn id="88" name="Cell 85" totalsRowFunction="sum" dataDxfId="1702" totalsRowDxfId="162" dataCellStyle="Normal 14 2"/>
    <tableColumn id="89" name="Cell 86" totalsRowFunction="sum" dataDxfId="1701" totalsRowDxfId="161" dataCellStyle="Normal 14 2"/>
    <tableColumn id="90" name="Cell 87" totalsRowFunction="sum" dataDxfId="1700" totalsRowDxfId="160" dataCellStyle="Normal 14 2"/>
    <tableColumn id="91" name="Cell 88" totalsRowFunction="sum" dataDxfId="1699" totalsRowDxfId="159" dataCellStyle="Normal 14 2"/>
    <tableColumn id="92" name="Cell 89" totalsRowFunction="sum" dataDxfId="1698" totalsRowDxfId="158" dataCellStyle="Normal 14 2"/>
    <tableColumn id="93" name="Cell 90" totalsRowFunction="sum" dataDxfId="1697" totalsRowDxfId="157" dataCellStyle="Normal 14 2"/>
    <tableColumn id="94" name="Cell 91" totalsRowFunction="sum" dataDxfId="1696" totalsRowDxfId="156" dataCellStyle="Normal 14 2"/>
    <tableColumn id="95" name="Cell 92" totalsRowFunction="sum" dataDxfId="1695" totalsRowDxfId="155" dataCellStyle="Normal 14 2"/>
    <tableColumn id="96" name="Cell 93" totalsRowFunction="sum" dataDxfId="1694" totalsRowDxfId="154" dataCellStyle="Normal 14 2"/>
    <tableColumn id="97" name="Cell 94" totalsRowFunction="sum" dataDxfId="1693" totalsRowDxfId="153" dataCellStyle="Normal 14 2"/>
    <tableColumn id="98" name="Cell 95" totalsRowFunction="sum" dataDxfId="1692" totalsRowDxfId="152" dataCellStyle="Normal 14 2"/>
    <tableColumn id="99" name="Cell 96" totalsRowFunction="sum" dataDxfId="1691" totalsRowDxfId="151" dataCellStyle="Normal 14 2"/>
    <tableColumn id="100" name="Cell 97" totalsRowFunction="sum" dataDxfId="1690" totalsRowDxfId="150" dataCellStyle="Normal 14 2"/>
    <tableColumn id="101" name="Cell 98" totalsRowFunction="sum" dataDxfId="1689" totalsRowDxfId="149" dataCellStyle="Normal 14 2"/>
    <tableColumn id="102" name="Cell 99" totalsRowFunction="sum" dataDxfId="1688" totalsRowDxfId="148" dataCellStyle="Normal 14 2"/>
    <tableColumn id="103" name="Cell 100" totalsRowFunction="sum" dataDxfId="1687" totalsRowDxfId="147" dataCellStyle="Normal 14 2"/>
    <tableColumn id="104" name="Cell 101" totalsRowFunction="sum" dataDxfId="1686" totalsRowDxfId="146" dataCellStyle="Normal 14 2"/>
    <tableColumn id="105" name="Cell 102" totalsRowFunction="sum" dataDxfId="1685" totalsRowDxfId="145" dataCellStyle="Normal 14 2"/>
    <tableColumn id="106" name="Cell 103" totalsRowFunction="sum" dataDxfId="1684" totalsRowDxfId="144" dataCellStyle="Normal 14 2"/>
    <tableColumn id="107" name="Cell 104" totalsRowFunction="sum" dataDxfId="1683" totalsRowDxfId="143" dataCellStyle="Normal 14 2"/>
    <tableColumn id="108" name="Cell 105" totalsRowFunction="sum" dataDxfId="1682" totalsRowDxfId="142" dataCellStyle="Normal 14 2"/>
    <tableColumn id="109" name="Cell 106" totalsRowFunction="sum" dataDxfId="1681" totalsRowDxfId="141" dataCellStyle="Normal 14 2"/>
    <tableColumn id="110" name="Cell 107" totalsRowFunction="sum" dataDxfId="1680" totalsRowDxfId="140" dataCellStyle="Normal 14 2"/>
    <tableColumn id="111" name="Cell 108" totalsRowFunction="sum" dataDxfId="1679" totalsRowDxfId="139" dataCellStyle="Normal 14 2"/>
    <tableColumn id="112" name="Cell 109" totalsRowFunction="sum" dataDxfId="1678" totalsRowDxfId="138" dataCellStyle="Normal 14 2"/>
    <tableColumn id="113" name="Cell 110" totalsRowFunction="sum" dataDxfId="1677" totalsRowDxfId="137" dataCellStyle="Normal 14 2"/>
    <tableColumn id="114" name="Cell 111" totalsRowFunction="sum" dataDxfId="1676" totalsRowDxfId="136" dataCellStyle="Normal 14 2"/>
    <tableColumn id="115" name="Cell 112" totalsRowFunction="sum" dataDxfId="1675" totalsRowDxfId="135" dataCellStyle="Normal 14 2"/>
    <tableColumn id="116" name="Cell 113" totalsRowFunction="sum" dataDxfId="1674" totalsRowDxfId="134" dataCellStyle="Normal 14 2"/>
    <tableColumn id="117" name="Cell 114" totalsRowFunction="sum" dataDxfId="1673" totalsRowDxfId="133" dataCellStyle="Normal 14 2"/>
    <tableColumn id="118" name="Cell 115" totalsRowFunction="sum" dataDxfId="1672" totalsRowDxfId="132" dataCellStyle="Normal 14 2"/>
    <tableColumn id="119" name="Cell 116" totalsRowFunction="sum" dataDxfId="1671" totalsRowDxfId="131" dataCellStyle="Normal 14 2"/>
    <tableColumn id="120" name="Cell 117" totalsRowFunction="sum" dataDxfId="1670" totalsRowDxfId="130" dataCellStyle="Normal 14 2"/>
    <tableColumn id="121" name="Cell 118" totalsRowFunction="sum" dataDxfId="1669" totalsRowDxfId="129" dataCellStyle="Normal 14 2"/>
    <tableColumn id="122" name="Cell 119" totalsRowFunction="sum" dataDxfId="1668" totalsRowDxfId="128" dataCellStyle="Normal 14 2"/>
    <tableColumn id="123" name="Cell 120" totalsRowFunction="sum" dataDxfId="1667" totalsRowDxfId="127" dataCellStyle="Normal 14 2"/>
    <tableColumn id="124" name="Cell 121" totalsRowFunction="sum" dataDxfId="1666" totalsRowDxfId="126" dataCellStyle="Normal 14 2"/>
    <tableColumn id="125" name="Cell 122" totalsRowFunction="sum" dataDxfId="1665" totalsRowDxfId="125" dataCellStyle="Normal 14 2"/>
    <tableColumn id="126" name="Cell 123" totalsRowFunction="sum" dataDxfId="1664" totalsRowDxfId="124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County Not Reporting:  Alameda"/>
    </ext>
  </extLst>
</table>
</file>

<file path=xl/tables/table13.xml><?xml version="1.0" encoding="utf-8"?>
<table xmlns="http://schemas.openxmlformats.org/spreadsheetml/2006/main" id="13" name="Jun17Data" displayName="Jun17Data" ref="A5:DT64" totalsRowCount="1" headerRowDxfId="1663" dataDxfId="1662" headerRowBorderDxfId="1660" tableBorderDxfId="1661" totalsRowBorderDxfId="1659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1658" totalsRowDxfId="123" dataCellStyle="Normal 14 2"/>
    <tableColumn id="4" name="Cell 1" totalsRowFunction="sum" dataDxfId="1657" totalsRowDxfId="122" dataCellStyle="Normal 14 2"/>
    <tableColumn id="5" name="Cell 2" totalsRowFunction="sum" dataDxfId="1656" totalsRowDxfId="121" dataCellStyle="Normal 14 2"/>
    <tableColumn id="6" name="Cell 3" totalsRowFunction="sum" dataDxfId="1655" totalsRowDxfId="120" dataCellStyle="Normal 14 2"/>
    <tableColumn id="7" name="Cell 4" totalsRowFunction="sum" dataDxfId="1654" totalsRowDxfId="119" dataCellStyle="Normal 14 2"/>
    <tableColumn id="8" name="Cell 5" totalsRowFunction="sum" dataDxfId="1653" totalsRowDxfId="118" dataCellStyle="Normal 14 2"/>
    <tableColumn id="9" name="Cell 6" totalsRowFunction="sum" dataDxfId="1652" totalsRowDxfId="117" dataCellStyle="Normal 14 2"/>
    <tableColumn id="10" name="Cell 7" totalsRowFunction="sum" dataDxfId="1651" totalsRowDxfId="116" dataCellStyle="Normal 14 2"/>
    <tableColumn id="11" name="Cell 8" totalsRowFunction="sum" dataDxfId="1650" totalsRowDxfId="115" dataCellStyle="Normal 14 2"/>
    <tableColumn id="12" name="Cell 9" totalsRowFunction="sum" dataDxfId="1649" totalsRowDxfId="114" dataCellStyle="Normal 14 2"/>
    <tableColumn id="13" name="Cell 10" totalsRowFunction="sum" dataDxfId="1648" totalsRowDxfId="113" dataCellStyle="Normal 14 2"/>
    <tableColumn id="14" name="Cell 11" totalsRowFunction="sum" dataDxfId="1647" totalsRowDxfId="112" dataCellStyle="Normal 14 2"/>
    <tableColumn id="15" name="Cell 12" totalsRowFunction="sum" dataDxfId="1646" totalsRowDxfId="111" dataCellStyle="Normal 14 2"/>
    <tableColumn id="16" name="Cell 13" totalsRowFunction="sum" dataDxfId="1645" totalsRowDxfId="110" dataCellStyle="Normal 14 2"/>
    <tableColumn id="17" name="Cell 14" totalsRowFunction="sum" dataDxfId="1644" totalsRowDxfId="109" dataCellStyle="Normal 14 2"/>
    <tableColumn id="18" name="Cell 15" totalsRowFunction="sum" dataDxfId="1643" totalsRowDxfId="108" dataCellStyle="Normal 14 2"/>
    <tableColumn id="19" name="Cell 16" totalsRowFunction="sum" dataDxfId="1642" totalsRowDxfId="107" dataCellStyle="Normal 14 2"/>
    <tableColumn id="20" name="Cell 17" totalsRowFunction="sum" dataDxfId="1641" totalsRowDxfId="106" dataCellStyle="Normal 14 2"/>
    <tableColumn id="21" name="Cell 18" totalsRowFunction="sum" dataDxfId="1640" totalsRowDxfId="105" dataCellStyle="Normal 14 2"/>
    <tableColumn id="22" name="Cell 19" totalsRowFunction="sum" dataDxfId="1639" totalsRowDxfId="104" dataCellStyle="Normal 14 2"/>
    <tableColumn id="23" name="Cell 20" totalsRowFunction="sum" dataDxfId="1638" totalsRowDxfId="103" dataCellStyle="Normal 14 2"/>
    <tableColumn id="24" name="Cell 21" totalsRowFunction="sum" dataDxfId="1637" totalsRowDxfId="102" dataCellStyle="Normal 14 2"/>
    <tableColumn id="25" name="Cell 22" totalsRowFunction="sum" dataDxfId="1636" totalsRowDxfId="101" dataCellStyle="Normal 14 2"/>
    <tableColumn id="26" name="Cell 23" totalsRowFunction="sum" dataDxfId="1635" totalsRowDxfId="100" dataCellStyle="Normal 14 2"/>
    <tableColumn id="27" name="Cell 24" totalsRowFunction="sum" dataDxfId="1634" totalsRowDxfId="99" dataCellStyle="Normal 14 2"/>
    <tableColumn id="28" name="Cell 25" totalsRowFunction="sum" dataDxfId="1633" totalsRowDxfId="98" dataCellStyle="Normal 14 2"/>
    <tableColumn id="29" name="Cell 26" totalsRowFunction="sum" dataDxfId="1632" totalsRowDxfId="97" dataCellStyle="Normal 14 2"/>
    <tableColumn id="30" name="Cell 27" totalsRowFunction="sum" dataDxfId="1631" totalsRowDxfId="96" dataCellStyle="Normal 14 2"/>
    <tableColumn id="31" name="Cell 28" totalsRowFunction="sum" dataDxfId="1630" totalsRowDxfId="95" dataCellStyle="Normal 14 2"/>
    <tableColumn id="32" name="Cell 29" totalsRowFunction="sum" dataDxfId="1629" totalsRowDxfId="94" dataCellStyle="Normal 14 2"/>
    <tableColumn id="33" name="Cell 30" totalsRowFunction="sum" dataDxfId="1628" totalsRowDxfId="93" dataCellStyle="Normal 14 2"/>
    <tableColumn id="34" name="Cell 31" totalsRowFunction="sum" dataDxfId="1627" totalsRowDxfId="92" dataCellStyle="Normal 14 2"/>
    <tableColumn id="35" name="Cell 32" totalsRowFunction="sum" dataDxfId="1626" totalsRowDxfId="91" dataCellStyle="Normal 14 2"/>
    <tableColumn id="36" name="Cell 33" totalsRowFunction="sum" dataDxfId="1625" totalsRowDxfId="90" dataCellStyle="Normal 14 2"/>
    <tableColumn id="37" name="Cell 34" totalsRowFunction="sum" dataDxfId="1624" totalsRowDxfId="89" dataCellStyle="Normal 14 2"/>
    <tableColumn id="38" name="Cell 35" totalsRowFunction="sum" dataDxfId="1623" totalsRowDxfId="88" dataCellStyle="Normal 14 2"/>
    <tableColumn id="39" name="Cell 36" totalsRowFunction="sum" dataDxfId="1622" totalsRowDxfId="87" dataCellStyle="Normal 14 2"/>
    <tableColumn id="40" name="Cell 37" totalsRowFunction="sum" dataDxfId="1621" totalsRowDxfId="86" dataCellStyle="Normal 14 2"/>
    <tableColumn id="41" name="Cell 38" totalsRowFunction="sum" dataDxfId="1620" totalsRowDxfId="85" dataCellStyle="Normal 14 2"/>
    <tableColumn id="42" name="Cell 39" totalsRowFunction="sum" dataDxfId="1619" totalsRowDxfId="84" dataCellStyle="Normal 14 2"/>
    <tableColumn id="43" name="Cell 40" totalsRowFunction="sum" dataDxfId="1618" totalsRowDxfId="83" dataCellStyle="Normal 14 2"/>
    <tableColumn id="44" name="Cell 41" totalsRowFunction="sum" dataDxfId="1617" totalsRowDxfId="82" dataCellStyle="Normal 14 2"/>
    <tableColumn id="45" name="Cell 42" totalsRowFunction="sum" dataDxfId="1616" totalsRowDxfId="81" dataCellStyle="Normal 14 2"/>
    <tableColumn id="46" name="Cell 43" totalsRowFunction="sum" dataDxfId="1615" totalsRowDxfId="80" dataCellStyle="Normal 14 2"/>
    <tableColumn id="47" name="Cell 44" totalsRowFunction="sum" dataDxfId="1614" totalsRowDxfId="79" dataCellStyle="Normal 14 2"/>
    <tableColumn id="48" name="Cell 45" totalsRowFunction="sum" dataDxfId="1613" totalsRowDxfId="78" dataCellStyle="Normal 14 2"/>
    <tableColumn id="49" name="Cell 46" totalsRowFunction="sum" dataDxfId="1612" totalsRowDxfId="77" dataCellStyle="Normal 14 2"/>
    <tableColumn id="50" name="Cell 47" totalsRowFunction="sum" dataDxfId="1611" totalsRowDxfId="76" dataCellStyle="Normal 14 2"/>
    <tableColumn id="51" name="Cell 48" totalsRowFunction="sum" dataDxfId="1610" totalsRowDxfId="75" dataCellStyle="Normal 14 2"/>
    <tableColumn id="52" name="Cell 49" totalsRowFunction="sum" dataDxfId="1609" totalsRowDxfId="74" dataCellStyle="Normal 14 2"/>
    <tableColumn id="53" name="Cell 50" totalsRowFunction="sum" dataDxfId="1608" totalsRowDxfId="73" dataCellStyle="Normal 14 2"/>
    <tableColumn id="54" name="Cell 51" totalsRowFunction="sum" dataDxfId="1607" totalsRowDxfId="72" dataCellStyle="Normal 14 2"/>
    <tableColumn id="55" name="Cell 52" totalsRowFunction="sum" dataDxfId="1606" totalsRowDxfId="71" dataCellStyle="Normal 14 2"/>
    <tableColumn id="56" name="Cell 53" totalsRowFunction="sum" dataDxfId="1605" totalsRowDxfId="70" dataCellStyle="Normal 14 2"/>
    <tableColumn id="57" name="Cell 54" totalsRowFunction="sum" dataDxfId="1604" totalsRowDxfId="69" dataCellStyle="Normal 14 2"/>
    <tableColumn id="58" name="Cell 55" totalsRowFunction="sum" dataDxfId="1603" totalsRowDxfId="68" dataCellStyle="Normal 14 2"/>
    <tableColumn id="59" name="Cell 56" totalsRowFunction="sum" dataDxfId="1602" totalsRowDxfId="67" dataCellStyle="Normal 14 2"/>
    <tableColumn id="60" name="Cell 57" totalsRowFunction="sum" dataDxfId="1601" totalsRowDxfId="66" dataCellStyle="Normal 14 2"/>
    <tableColumn id="61" name="Cell 58" totalsRowFunction="sum" dataDxfId="1600" totalsRowDxfId="65" dataCellStyle="Normal 14 2"/>
    <tableColumn id="62" name="Cell 59" totalsRowFunction="sum" dataDxfId="1599" totalsRowDxfId="64" dataCellStyle="Normal 14 2"/>
    <tableColumn id="63" name="Cell 60" totalsRowFunction="sum" dataDxfId="1598" totalsRowDxfId="63" dataCellStyle="Normal 14 2"/>
    <tableColumn id="64" name="Cell 61" totalsRowFunction="sum" dataDxfId="1597" totalsRowDxfId="62" dataCellStyle="Normal 14 2"/>
    <tableColumn id="65" name="Cell 62" totalsRowFunction="sum" dataDxfId="1596" totalsRowDxfId="61" dataCellStyle="Normal 14 2"/>
    <tableColumn id="66" name="Cell 63" totalsRowFunction="sum" dataDxfId="1595" totalsRowDxfId="60" dataCellStyle="Normal 14 2"/>
    <tableColumn id="67" name="Cell 64" totalsRowFunction="sum" dataDxfId="1594" totalsRowDxfId="59" dataCellStyle="Normal 14 2"/>
    <tableColumn id="68" name="Cell 65" totalsRowFunction="sum" dataDxfId="1593" totalsRowDxfId="58" dataCellStyle="Normal 14 2"/>
    <tableColumn id="69" name="Cell 66" totalsRowFunction="sum" dataDxfId="1592" totalsRowDxfId="57" dataCellStyle="Normal 14 2"/>
    <tableColumn id="70" name="Cell 67" totalsRowFunction="sum" dataDxfId="1591" totalsRowDxfId="56" dataCellStyle="Normal 14 2"/>
    <tableColumn id="71" name="Cell 68" totalsRowFunction="sum" dataDxfId="1590" totalsRowDxfId="55" dataCellStyle="Normal 14 2"/>
    <tableColumn id="72" name="Cell 69" totalsRowFunction="sum" dataDxfId="1589" totalsRowDxfId="54" dataCellStyle="Normal 14 2"/>
    <tableColumn id="73" name="Cell 70" totalsRowFunction="sum" dataDxfId="1588" totalsRowDxfId="53" dataCellStyle="Normal 14 2"/>
    <tableColumn id="74" name="Cell 71" totalsRowFunction="sum" dataDxfId="1587" totalsRowDxfId="52" dataCellStyle="Normal 14 2"/>
    <tableColumn id="75" name="Cell 72" totalsRowFunction="sum" dataDxfId="1586" totalsRowDxfId="51" dataCellStyle="Normal 14 2"/>
    <tableColumn id="76" name="Cell 73" totalsRowFunction="sum" dataDxfId="1585" totalsRowDxfId="50" dataCellStyle="Normal 14 2"/>
    <tableColumn id="77" name="Cell 74" totalsRowFunction="sum" dataDxfId="1584" totalsRowDxfId="49" dataCellStyle="Normal 14 2"/>
    <tableColumn id="78" name="Cell 75" totalsRowFunction="sum" dataDxfId="1583" totalsRowDxfId="48" dataCellStyle="Normal 14 2"/>
    <tableColumn id="79" name="Cell 76" totalsRowFunction="sum" dataDxfId="1582" totalsRowDxfId="47" dataCellStyle="Normal 14 2"/>
    <tableColumn id="80" name="Cell 77" totalsRowFunction="sum" dataDxfId="1581" totalsRowDxfId="46" dataCellStyle="Normal 14 2"/>
    <tableColumn id="81" name="Cell 78" totalsRowFunction="sum" dataDxfId="1580" totalsRowDxfId="45" dataCellStyle="Normal 14 2"/>
    <tableColumn id="82" name="Cell 79" totalsRowFunction="sum" dataDxfId="1579" totalsRowDxfId="44" dataCellStyle="Normal 14 2"/>
    <tableColumn id="83" name="Cell 80" totalsRowFunction="sum" dataDxfId="1578" totalsRowDxfId="43" dataCellStyle="Normal 14 2"/>
    <tableColumn id="84" name="Cell 81" totalsRowFunction="sum" dataDxfId="1577" totalsRowDxfId="42" dataCellStyle="Normal 14 2"/>
    <tableColumn id="85" name="Cell 82" totalsRowFunction="sum" dataDxfId="1576" totalsRowDxfId="41" dataCellStyle="Normal 14 2"/>
    <tableColumn id="86" name="Cell 83" totalsRowFunction="sum" dataDxfId="1575" totalsRowDxfId="40" dataCellStyle="Normal 14 2"/>
    <tableColumn id="87" name="Cell 84" totalsRowFunction="sum" dataDxfId="1574" totalsRowDxfId="39" dataCellStyle="Normal 14 2"/>
    <tableColumn id="88" name="Cell 85" totalsRowFunction="sum" dataDxfId="1573" totalsRowDxfId="38" dataCellStyle="Normal 14 2"/>
    <tableColumn id="89" name="Cell 86" totalsRowFunction="sum" dataDxfId="1572" totalsRowDxfId="37" dataCellStyle="Normal 14 2"/>
    <tableColumn id="90" name="Cell 87" totalsRowFunction="sum" dataDxfId="1571" totalsRowDxfId="36" dataCellStyle="Normal 14 2"/>
    <tableColumn id="91" name="Cell 88" totalsRowFunction="sum" dataDxfId="1570" totalsRowDxfId="35" dataCellStyle="Normal 14 2"/>
    <tableColumn id="92" name="Cell 89" totalsRowFunction="sum" dataDxfId="1569" totalsRowDxfId="34" dataCellStyle="Normal 14 2"/>
    <tableColumn id="93" name="Cell 90" totalsRowFunction="sum" dataDxfId="1568" totalsRowDxfId="33" dataCellStyle="Normal 14 2"/>
    <tableColumn id="94" name="Cell 91" totalsRowFunction="sum" dataDxfId="1567" totalsRowDxfId="32" dataCellStyle="Normal 14 2"/>
    <tableColumn id="95" name="Cell 92" totalsRowFunction="sum" dataDxfId="1566" totalsRowDxfId="31" dataCellStyle="Normal 14 2"/>
    <tableColumn id="96" name="Cell 93" totalsRowFunction="sum" dataDxfId="1565" totalsRowDxfId="30" dataCellStyle="Normal 14 2"/>
    <tableColumn id="97" name="Cell 94" totalsRowFunction="sum" dataDxfId="1564" totalsRowDxfId="29" dataCellStyle="Normal 14 2"/>
    <tableColumn id="98" name="Cell 95" totalsRowFunction="sum" dataDxfId="1563" totalsRowDxfId="28" dataCellStyle="Normal 14 2"/>
    <tableColumn id="99" name="Cell 96" totalsRowFunction="sum" dataDxfId="1562" totalsRowDxfId="27" dataCellStyle="Normal 14 2"/>
    <tableColumn id="100" name="Cell 97" totalsRowFunction="sum" dataDxfId="1561" totalsRowDxfId="26" dataCellStyle="Normal 14 2"/>
    <tableColumn id="101" name="Cell 98" totalsRowFunction="sum" dataDxfId="1560" totalsRowDxfId="25" dataCellStyle="Normal 14 2"/>
    <tableColumn id="102" name="Cell 99" totalsRowFunction="sum" dataDxfId="1559" totalsRowDxfId="24" dataCellStyle="Normal 14 2"/>
    <tableColumn id="103" name="Cell 100" totalsRowFunction="sum" dataDxfId="1558" totalsRowDxfId="23" dataCellStyle="Normal 14 2"/>
    <tableColumn id="104" name="Cell 101" totalsRowFunction="sum" dataDxfId="1557" totalsRowDxfId="22" dataCellStyle="Normal 14 2"/>
    <tableColumn id="105" name="Cell 102" totalsRowFunction="sum" dataDxfId="1556" totalsRowDxfId="21" dataCellStyle="Normal 14 2"/>
    <tableColumn id="106" name="Cell 103" totalsRowFunction="sum" dataDxfId="1555" totalsRowDxfId="20" dataCellStyle="Normal 14 2"/>
    <tableColumn id="107" name="Cell 104" totalsRowFunction="sum" dataDxfId="1554" totalsRowDxfId="19" dataCellStyle="Normal 14 2"/>
    <tableColumn id="108" name="Cell 105" totalsRowFunction="sum" dataDxfId="1553" totalsRowDxfId="18" dataCellStyle="Normal 14 2"/>
    <tableColumn id="109" name="Cell 106" totalsRowFunction="sum" dataDxfId="1552" totalsRowDxfId="17" dataCellStyle="Normal 14 2"/>
    <tableColumn id="110" name="Cell 107" totalsRowFunction="sum" dataDxfId="1551" totalsRowDxfId="16" dataCellStyle="Normal 14 2"/>
    <tableColumn id="111" name="Cell 108" totalsRowFunction="sum" dataDxfId="1550" totalsRowDxfId="15" dataCellStyle="Normal 14 2"/>
    <tableColumn id="112" name="Cell 109" totalsRowFunction="sum" dataDxfId="1549" totalsRowDxfId="14" dataCellStyle="Normal 14 2"/>
    <tableColumn id="113" name="Cell 110" totalsRowFunction="sum" dataDxfId="1548" totalsRowDxfId="13" dataCellStyle="Normal 14 2"/>
    <tableColumn id="114" name="Cell 111" totalsRowFunction="sum" dataDxfId="1547" totalsRowDxfId="12" dataCellStyle="Normal 14 2"/>
    <tableColumn id="115" name="Cell 112" totalsRowFunction="sum" dataDxfId="1546" totalsRowDxfId="11" dataCellStyle="Normal 14 2"/>
    <tableColumn id="116" name="Cell 113" totalsRowFunction="sum" dataDxfId="1545" totalsRowDxfId="10" dataCellStyle="Normal 14 2"/>
    <tableColumn id="117" name="Cell 114" totalsRowFunction="sum" dataDxfId="1544" totalsRowDxfId="9" dataCellStyle="Normal 14 2"/>
    <tableColumn id="118" name="Cell 115" totalsRowFunction="sum" dataDxfId="1543" totalsRowDxfId="8" dataCellStyle="Normal 14 2"/>
    <tableColumn id="119" name="Cell 116" totalsRowFunction="sum" dataDxfId="1542" totalsRowDxfId="7" dataCellStyle="Normal 14 2"/>
    <tableColumn id="120" name="Cell 117" totalsRowFunction="sum" dataDxfId="1541" totalsRowDxfId="6" dataCellStyle="Normal 14 2"/>
    <tableColumn id="121" name="Cell 118" totalsRowFunction="sum" dataDxfId="1540" totalsRowDxfId="5" dataCellStyle="Normal 14 2"/>
    <tableColumn id="122" name="Cell 119" totalsRowFunction="sum" dataDxfId="1539" totalsRowDxfId="4" dataCellStyle="Normal 14 2"/>
    <tableColumn id="123" name="Cell 120" totalsRowFunction="sum" dataDxfId="1538" totalsRowDxfId="3" dataCellStyle="Normal 14 2"/>
    <tableColumn id="124" name="Cell 121" totalsRowFunction="sum" dataDxfId="1537" totalsRowDxfId="2" dataCellStyle="Normal 14 2"/>
    <tableColumn id="125" name="Cell 122" totalsRowFunction="sum" dataDxfId="1536" totalsRowDxfId="1" dataCellStyle="Normal 14 2"/>
    <tableColumn id="126" name="Cell 123" totalsRowFunction="sum" dataDxfId="1535" totalsRowDxfId="0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County Not Reporting:  Alameda"/>
    </ext>
  </extLst>
</table>
</file>

<file path=xl/tables/table2.xml><?xml version="1.0" encoding="utf-8"?>
<table xmlns="http://schemas.openxmlformats.org/spreadsheetml/2006/main" id="2" name="Jul16Data" displayName="Jul16Data" ref="A5:DT64" totalsRowCount="1" headerRowDxfId="2953" dataDxfId="2952" headerRowBorderDxfId="2950" tableBorderDxfId="2951" totalsRowBorderDxfId="2949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2948" totalsRowDxfId="1514" dataCellStyle="Normal 14 2"/>
    <tableColumn id="4" name="Cell 1" totalsRowFunction="sum" dataDxfId="2947" totalsRowDxfId="1513" dataCellStyle="Normal 14 2"/>
    <tableColumn id="5" name="Cell 2" totalsRowFunction="sum" dataDxfId="2946" totalsRowDxfId="1512" dataCellStyle="Normal 14 2"/>
    <tableColumn id="6" name="Cell 3" totalsRowFunction="sum" dataDxfId="2945" totalsRowDxfId="1511" dataCellStyle="Normal 14 2"/>
    <tableColumn id="7" name="Cell 4" totalsRowFunction="sum" dataDxfId="2944" totalsRowDxfId="1510" dataCellStyle="Normal 14 2"/>
    <tableColumn id="8" name="Cell 5" totalsRowFunction="sum" dataDxfId="2943" totalsRowDxfId="1509" dataCellStyle="Normal 14 2"/>
    <tableColumn id="9" name="Cell 6" totalsRowFunction="sum" dataDxfId="2942" totalsRowDxfId="1508" dataCellStyle="Normal 14 2"/>
    <tableColumn id="10" name="Cell 7" totalsRowFunction="sum" dataDxfId="2941" totalsRowDxfId="1507" dataCellStyle="Normal 14 2"/>
    <tableColumn id="11" name="Cell 8" totalsRowFunction="sum" dataDxfId="2940" totalsRowDxfId="1506" dataCellStyle="Normal 14 2"/>
    <tableColumn id="12" name="Cell 9" totalsRowFunction="sum" dataDxfId="2939" totalsRowDxfId="1505" dataCellStyle="Normal 14 2"/>
    <tableColumn id="13" name="Cell 10" totalsRowFunction="sum" dataDxfId="2938" totalsRowDxfId="1504" dataCellStyle="Normal 14 2"/>
    <tableColumn id="14" name="Cell 11" totalsRowFunction="sum" dataDxfId="2937" totalsRowDxfId="1503" dataCellStyle="Normal 14 2"/>
    <tableColumn id="15" name="Cell 12" totalsRowFunction="sum" dataDxfId="2936" totalsRowDxfId="1502" dataCellStyle="Normal 14 2"/>
    <tableColumn id="16" name="Cell 13" totalsRowFunction="sum" dataDxfId="2935" totalsRowDxfId="1501" dataCellStyle="Normal 14 2"/>
    <tableColumn id="17" name="Cell 14" totalsRowFunction="sum" dataDxfId="2934" totalsRowDxfId="1500" dataCellStyle="Normal 14 2"/>
    <tableColumn id="18" name="Cell 15" totalsRowFunction="sum" dataDxfId="2933" totalsRowDxfId="1499" dataCellStyle="Normal 14 2"/>
    <tableColumn id="19" name="Cell 16" totalsRowFunction="sum" dataDxfId="2932" totalsRowDxfId="1498" dataCellStyle="Normal 14 2"/>
    <tableColumn id="20" name="Cell 17" totalsRowFunction="sum" dataDxfId="2931" totalsRowDxfId="1497" dataCellStyle="Normal 14 2"/>
    <tableColumn id="21" name="Cell 18" totalsRowFunction="sum" dataDxfId="2930" totalsRowDxfId="1496" dataCellStyle="Normal 14 2"/>
    <tableColumn id="22" name="Cell 19" totalsRowFunction="sum" dataDxfId="2929" totalsRowDxfId="1495" dataCellStyle="Normal 14 2"/>
    <tableColumn id="23" name="Cell 20" totalsRowFunction="sum" dataDxfId="2928" totalsRowDxfId="1494" dataCellStyle="Normal 14 2"/>
    <tableColumn id="24" name="Cell 21" totalsRowFunction="sum" dataDxfId="2927" totalsRowDxfId="1493" dataCellStyle="Normal 14 2"/>
    <tableColumn id="25" name="Cell 22" totalsRowFunction="sum" dataDxfId="2926" totalsRowDxfId="1492" dataCellStyle="Normal 14 2"/>
    <tableColumn id="26" name="Cell 23" totalsRowFunction="sum" dataDxfId="2925" totalsRowDxfId="1491" dataCellStyle="Normal 14 2"/>
    <tableColumn id="27" name="Cell 24" totalsRowFunction="sum" dataDxfId="2924" totalsRowDxfId="1490" dataCellStyle="Normal 14 2"/>
    <tableColumn id="28" name="Cell 25" totalsRowFunction="sum" dataDxfId="2923" totalsRowDxfId="1489" dataCellStyle="Normal 14 2"/>
    <tableColumn id="29" name="Cell 26" totalsRowFunction="sum" dataDxfId="2922" totalsRowDxfId="1488" dataCellStyle="Normal 14 2"/>
    <tableColumn id="30" name="Cell 27" totalsRowFunction="sum" dataDxfId="2921" totalsRowDxfId="1487" dataCellStyle="Normal 14 2"/>
    <tableColumn id="31" name="Cell 28" totalsRowFunction="sum" dataDxfId="2920" totalsRowDxfId="1486" dataCellStyle="Normal 14 2"/>
    <tableColumn id="32" name="Cell 29" totalsRowFunction="sum" dataDxfId="2919" totalsRowDxfId="1485" dataCellStyle="Normal 14 2"/>
    <tableColumn id="33" name="Cell 30" totalsRowFunction="sum" dataDxfId="2918" totalsRowDxfId="1484" dataCellStyle="Normal 14 2"/>
    <tableColumn id="34" name="Cell 31" totalsRowFunction="sum" dataDxfId="2917" totalsRowDxfId="1483" dataCellStyle="Normal 14 2"/>
    <tableColumn id="35" name="Cell 32" totalsRowFunction="sum" dataDxfId="2916" totalsRowDxfId="1482" dataCellStyle="Normal 14 2"/>
    <tableColumn id="36" name="Cell 33" totalsRowFunction="sum" dataDxfId="2915" totalsRowDxfId="1481" dataCellStyle="Normal 14 2"/>
    <tableColumn id="37" name="Cell 34" totalsRowFunction="sum" dataDxfId="2914" totalsRowDxfId="1480" dataCellStyle="Normal 14 2"/>
    <tableColumn id="38" name="Cell 35" totalsRowFunction="sum" dataDxfId="2913" totalsRowDxfId="1479" dataCellStyle="Normal 14 2"/>
    <tableColumn id="39" name="Cell 36" totalsRowFunction="sum" dataDxfId="2912" totalsRowDxfId="1478" dataCellStyle="Normal 14 2"/>
    <tableColumn id="40" name="Cell 37" totalsRowFunction="sum" dataDxfId="2911" totalsRowDxfId="1477" dataCellStyle="Normal 14 2"/>
    <tableColumn id="41" name="Cell 38" totalsRowFunction="sum" dataDxfId="2910" totalsRowDxfId="1476" dataCellStyle="Normal 14 2"/>
    <tableColumn id="42" name="Cell 39" totalsRowFunction="sum" dataDxfId="2909" totalsRowDxfId="1475" dataCellStyle="Normal 14 2"/>
    <tableColumn id="43" name="Cell 40" totalsRowFunction="sum" dataDxfId="2908" totalsRowDxfId="1474" dataCellStyle="Normal 14 2"/>
    <tableColumn id="44" name="Cell 41" totalsRowFunction="sum" dataDxfId="2907" totalsRowDxfId="1473" dataCellStyle="Normal 14 2"/>
    <tableColumn id="45" name="Cell 42" totalsRowFunction="sum" dataDxfId="2906" totalsRowDxfId="1472" dataCellStyle="Normal 14 2"/>
    <tableColumn id="46" name="Cell 43" totalsRowFunction="sum" dataDxfId="2905" totalsRowDxfId="1471" dataCellStyle="Normal 14 2"/>
    <tableColumn id="47" name="Cell 44" totalsRowFunction="sum" dataDxfId="2904" totalsRowDxfId="1470" dataCellStyle="Normal 14 2"/>
    <tableColumn id="48" name="Cell 45" totalsRowFunction="sum" dataDxfId="2903" totalsRowDxfId="1469" dataCellStyle="Normal 14 2"/>
    <tableColumn id="49" name="Cell 46" totalsRowFunction="sum" dataDxfId="2902" totalsRowDxfId="1468" dataCellStyle="Normal 14 2"/>
    <tableColumn id="50" name="Cell 47" totalsRowFunction="sum" dataDxfId="2901" totalsRowDxfId="1467" dataCellStyle="Normal 14 2"/>
    <tableColumn id="51" name="Cell 48" totalsRowFunction="sum" dataDxfId="2900" totalsRowDxfId="1466" dataCellStyle="Normal 14 2"/>
    <tableColumn id="52" name="Cell 49" totalsRowFunction="sum" dataDxfId="2899" totalsRowDxfId="1465" dataCellStyle="Normal 14 2"/>
    <tableColumn id="53" name="Cell 50" totalsRowFunction="sum" dataDxfId="2898" totalsRowDxfId="1464" dataCellStyle="Normal 14 2"/>
    <tableColumn id="54" name="Cell 51" totalsRowFunction="sum" dataDxfId="2897" totalsRowDxfId="1463" dataCellStyle="Normal 14 2"/>
    <tableColumn id="55" name="Cell 52" totalsRowFunction="sum" dataDxfId="2896" totalsRowDxfId="1462" dataCellStyle="Normal 14 2"/>
    <tableColumn id="56" name="Cell 53" totalsRowFunction="sum" dataDxfId="2895" totalsRowDxfId="1461" dataCellStyle="Normal 14 2"/>
    <tableColumn id="57" name="Cell 54" totalsRowFunction="sum" dataDxfId="2894" totalsRowDxfId="1460" dataCellStyle="Normal 14 2"/>
    <tableColumn id="58" name="Cell 55" totalsRowFunction="sum" dataDxfId="2893" totalsRowDxfId="1459" dataCellStyle="Normal 14 2"/>
    <tableColumn id="59" name="Cell 56" totalsRowFunction="sum" dataDxfId="2892" totalsRowDxfId="1458" dataCellStyle="Normal 14 2"/>
    <tableColumn id="60" name="Cell 57" totalsRowFunction="sum" dataDxfId="2891" totalsRowDxfId="1457" dataCellStyle="Normal 14 2"/>
    <tableColumn id="61" name="Cell 58" totalsRowFunction="sum" dataDxfId="2890" totalsRowDxfId="1456" dataCellStyle="Normal 14 2"/>
    <tableColumn id="62" name="Cell 59" totalsRowFunction="sum" dataDxfId="2889" totalsRowDxfId="1455" dataCellStyle="Normal 14 2"/>
    <tableColumn id="63" name="Cell 60" totalsRowFunction="sum" dataDxfId="2888" totalsRowDxfId="1454" dataCellStyle="Normal 14 2"/>
    <tableColumn id="64" name="Cell 61" totalsRowFunction="sum" dataDxfId="2887" totalsRowDxfId="1453" dataCellStyle="Normal 14 2"/>
    <tableColumn id="65" name="Cell 62" totalsRowFunction="sum" dataDxfId="2886" totalsRowDxfId="1452" dataCellStyle="Normal 14 2"/>
    <tableColumn id="66" name="Cell 63" totalsRowFunction="sum" dataDxfId="2885" totalsRowDxfId="1451" dataCellStyle="Normal 14 2"/>
    <tableColumn id="67" name="Cell 64" totalsRowFunction="sum" dataDxfId="2884" totalsRowDxfId="1450" dataCellStyle="Normal 14 2"/>
    <tableColumn id="68" name="Cell 65" totalsRowFunction="sum" dataDxfId="2883" totalsRowDxfId="1449" dataCellStyle="Normal 14 2"/>
    <tableColumn id="69" name="Cell 66" totalsRowFunction="sum" dataDxfId="2882" totalsRowDxfId="1448" dataCellStyle="Normal 14 2"/>
    <tableColumn id="70" name="Cell 67" totalsRowFunction="sum" dataDxfId="2881" totalsRowDxfId="1447" dataCellStyle="Normal 14 2"/>
    <tableColumn id="71" name="Cell 68" totalsRowFunction="sum" dataDxfId="2880" totalsRowDxfId="1446" dataCellStyle="Normal 14 2"/>
    <tableColumn id="72" name="Cell 69" totalsRowFunction="sum" dataDxfId="2879" totalsRowDxfId="1445" dataCellStyle="Normal 14 2"/>
    <tableColumn id="73" name="Cell 70" totalsRowFunction="sum" dataDxfId="2878" totalsRowDxfId="1444" dataCellStyle="Normal 14 2"/>
    <tableColumn id="74" name="Cell 71" totalsRowFunction="sum" dataDxfId="2877" totalsRowDxfId="1443" dataCellStyle="Normal 14 2"/>
    <tableColumn id="75" name="Cell 72" totalsRowFunction="sum" dataDxfId="2876" totalsRowDxfId="1442" dataCellStyle="Normal 14 2"/>
    <tableColumn id="76" name="Cell 73" totalsRowFunction="sum" dataDxfId="2875" totalsRowDxfId="1441" dataCellStyle="Normal 14 2"/>
    <tableColumn id="77" name="Cell 74" totalsRowFunction="sum" dataDxfId="2874" totalsRowDxfId="1440" dataCellStyle="Normal 14 2"/>
    <tableColumn id="78" name="Cell 75" totalsRowFunction="sum" dataDxfId="2873" totalsRowDxfId="1439" dataCellStyle="Normal 14 2"/>
    <tableColumn id="79" name="Cell 76" totalsRowFunction="sum" dataDxfId="2872" totalsRowDxfId="1438" dataCellStyle="Normal 14 2"/>
    <tableColumn id="80" name="Cell 77" totalsRowFunction="sum" dataDxfId="2871" totalsRowDxfId="1437" dataCellStyle="Normal 14 2"/>
    <tableColumn id="81" name="Cell 78" totalsRowFunction="sum" dataDxfId="2870" totalsRowDxfId="1436" dataCellStyle="Normal 14 2"/>
    <tableColumn id="82" name="Cell 79" totalsRowFunction="sum" dataDxfId="2869" totalsRowDxfId="1435" dataCellStyle="Normal 14 2"/>
    <tableColumn id="83" name="Cell 80" totalsRowFunction="sum" dataDxfId="2868" totalsRowDxfId="1434" dataCellStyle="Normal 14 2"/>
    <tableColumn id="84" name="Cell 81" totalsRowFunction="sum" dataDxfId="2867" totalsRowDxfId="1433" dataCellStyle="Normal 14 2"/>
    <tableColumn id="85" name="Cell 82" totalsRowFunction="sum" dataDxfId="2866" totalsRowDxfId="1432" dataCellStyle="Normal 14 2"/>
    <tableColumn id="86" name="Cell 83" totalsRowFunction="sum" dataDxfId="2865" totalsRowDxfId="1431" dataCellStyle="Normal 14 2"/>
    <tableColumn id="87" name="Cell 84" totalsRowFunction="sum" dataDxfId="2864" totalsRowDxfId="1430" dataCellStyle="Normal 14 2"/>
    <tableColumn id="88" name="Cell 85" totalsRowFunction="sum" dataDxfId="2863" totalsRowDxfId="1429" dataCellStyle="Normal 14 2"/>
    <tableColumn id="89" name="Cell 86" totalsRowFunction="sum" dataDxfId="2862" totalsRowDxfId="1428" dataCellStyle="Normal 14 2"/>
    <tableColumn id="90" name="Cell 87" totalsRowFunction="sum" dataDxfId="2861" totalsRowDxfId="1427" dataCellStyle="Normal 14 2"/>
    <tableColumn id="91" name="Cell 88" totalsRowFunction="sum" dataDxfId="2860" totalsRowDxfId="1426" dataCellStyle="Normal 14 2"/>
    <tableColumn id="92" name="Cell 89" totalsRowFunction="sum" dataDxfId="2859" totalsRowDxfId="1425" dataCellStyle="Normal 14 2"/>
    <tableColumn id="93" name="Cell 90" totalsRowFunction="sum" dataDxfId="2858" totalsRowDxfId="1424" dataCellStyle="Normal 14 2"/>
    <tableColumn id="94" name="Cell 91" totalsRowFunction="sum" dataDxfId="2857" totalsRowDxfId="1423" dataCellStyle="Normal 14 2"/>
    <tableColumn id="95" name="Cell 92" totalsRowFunction="sum" dataDxfId="2856" totalsRowDxfId="1422" dataCellStyle="Normal 14 2"/>
    <tableColumn id="96" name="Cell 93" totalsRowFunction="sum" dataDxfId="2855" totalsRowDxfId="1421" dataCellStyle="Normal 14 2"/>
    <tableColumn id="97" name="Cell 94" totalsRowFunction="sum" dataDxfId="2854" totalsRowDxfId="1420" dataCellStyle="Normal 14 2"/>
    <tableColumn id="98" name="Cell 95" totalsRowFunction="sum" dataDxfId="2853" totalsRowDxfId="1419" dataCellStyle="Normal 14 2"/>
    <tableColumn id="99" name="Cell 96" totalsRowFunction="sum" dataDxfId="2852" totalsRowDxfId="1418" dataCellStyle="Normal 14 2"/>
    <tableColumn id="100" name="Cell 97" totalsRowFunction="sum" dataDxfId="2851" totalsRowDxfId="1417" dataCellStyle="Normal 14 2"/>
    <tableColumn id="101" name="Cell 98" totalsRowFunction="sum" dataDxfId="2850" totalsRowDxfId="1416" dataCellStyle="Normal 14 2"/>
    <tableColumn id="102" name="Cell 99" totalsRowFunction="sum" dataDxfId="2849" totalsRowDxfId="1415" dataCellStyle="Normal 14 2"/>
    <tableColumn id="103" name="Cell 100" totalsRowFunction="sum" dataDxfId="2848" totalsRowDxfId="1414" dataCellStyle="Normal 14 2"/>
    <tableColumn id="104" name="Cell 101" totalsRowFunction="sum" dataDxfId="2847" totalsRowDxfId="1413" dataCellStyle="Normal 14 2"/>
    <tableColumn id="105" name="Cell 102" totalsRowFunction="sum" dataDxfId="2846" totalsRowDxfId="1412" dataCellStyle="Normal 14 2"/>
    <tableColumn id="106" name="Cell 103" totalsRowFunction="sum" dataDxfId="2845" totalsRowDxfId="1411" dataCellStyle="Normal 14 2"/>
    <tableColumn id="107" name="Cell 104" totalsRowFunction="sum" dataDxfId="2844" totalsRowDxfId="1410" dataCellStyle="Normal 14 2"/>
    <tableColumn id="108" name="Cell 105" totalsRowFunction="sum" dataDxfId="2843" totalsRowDxfId="1409" dataCellStyle="Normal 14 2"/>
    <tableColumn id="109" name="Cell 106" totalsRowFunction="sum" dataDxfId="2842" totalsRowDxfId="1408" dataCellStyle="Normal 14 2"/>
    <tableColumn id="110" name="Cell 107" totalsRowFunction="sum" dataDxfId="2841" totalsRowDxfId="1407" dataCellStyle="Normal 14 2"/>
    <tableColumn id="111" name="Cell 108" totalsRowFunction="sum" dataDxfId="2840" totalsRowDxfId="1406" dataCellStyle="Normal 14 2"/>
    <tableColumn id="112" name="Cell 109" totalsRowFunction="sum" dataDxfId="2839" totalsRowDxfId="1405" dataCellStyle="Normal 14 2"/>
    <tableColumn id="113" name="Cell 110" totalsRowFunction="sum" dataDxfId="2838" totalsRowDxfId="1404" dataCellStyle="Normal 14 2"/>
    <tableColumn id="114" name="Cell 111" totalsRowFunction="sum" dataDxfId="2837" totalsRowDxfId="1403" dataCellStyle="Normal 14 2"/>
    <tableColumn id="115" name="Cell 112" totalsRowFunction="sum" dataDxfId="2836" totalsRowDxfId="1402" dataCellStyle="Normal 14 2"/>
    <tableColumn id="116" name="Cell 113" totalsRowFunction="sum" dataDxfId="2835" totalsRowDxfId="1401" dataCellStyle="Normal 14 2"/>
    <tableColumn id="117" name="Cell 114" totalsRowFunction="sum" dataDxfId="2834" totalsRowDxfId="1400" dataCellStyle="Normal 14 2"/>
    <tableColumn id="118" name="Cell 115" totalsRowFunction="sum" dataDxfId="2833" totalsRowDxfId="1399" dataCellStyle="Normal 14 2"/>
    <tableColumn id="119" name="Cell 116" totalsRowFunction="sum" dataDxfId="2832" totalsRowDxfId="1398" dataCellStyle="Normal 14 2"/>
    <tableColumn id="120" name="Cell 117" totalsRowFunction="sum" dataDxfId="2831" totalsRowDxfId="1397" dataCellStyle="Normal 14 2"/>
    <tableColumn id="121" name="Cell 118" totalsRowFunction="sum" dataDxfId="2830" totalsRowDxfId="1396" dataCellStyle="Normal 14 2"/>
    <tableColumn id="122" name="Cell 119" totalsRowFunction="sum" dataDxfId="2829" totalsRowDxfId="1395" dataCellStyle="Normal 14 2"/>
    <tableColumn id="123" name="Cell 120" totalsRowFunction="sum" dataDxfId="2828" totalsRowDxfId="1394" dataCellStyle="Normal 14 2"/>
    <tableColumn id="124" name="Cell 121" totalsRowFunction="sum" dataDxfId="2827" totalsRowDxfId="1393" dataCellStyle="Normal 14 2"/>
    <tableColumn id="125" name="Cell 122" totalsRowFunction="sum" dataDxfId="2826" totalsRowDxfId="1392" dataCellStyle="Normal 14 2"/>
    <tableColumn id="126" name="Cell 123" totalsRowFunction="sum" dataDxfId="2825" totalsRowDxfId="1391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All counties reporting."/>
    </ext>
  </extLst>
</table>
</file>

<file path=xl/tables/table3.xml><?xml version="1.0" encoding="utf-8"?>
<table xmlns="http://schemas.openxmlformats.org/spreadsheetml/2006/main" id="3" name="Aug16Data" displayName="Aug16Data" ref="A5:DT64" totalsRowCount="1" headerRowDxfId="1375" dataDxfId="1374" totalsRowDxfId="1246" headerRowBorderDxfId="1372" tableBorderDxfId="1373" totalsRowBorderDxfId="1371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totalsRowDxfId="1370" dataCellStyle="Normal 14 2"/>
    <tableColumn id="4" name="Cell 1" totalsRowFunction="sum" totalsRowDxfId="1369" dataCellStyle="Normal 14 2"/>
    <tableColumn id="5" name="Cell 2" totalsRowFunction="sum" totalsRowDxfId="1368" dataCellStyle="Normal 14 2"/>
    <tableColumn id="6" name="Cell 3" totalsRowFunction="sum" totalsRowDxfId="1367" dataCellStyle="Normal 14 2"/>
    <tableColumn id="7" name="Cell 4" totalsRowFunction="sum" totalsRowDxfId="1366" dataCellStyle="Normal 14 2"/>
    <tableColumn id="8" name="Cell 5" totalsRowFunction="sum" totalsRowDxfId="1365" dataCellStyle="Normal 14 2"/>
    <tableColumn id="9" name="Cell 6" totalsRowFunction="sum" totalsRowDxfId="1364" dataCellStyle="Normal 14 2"/>
    <tableColumn id="10" name="Cell 7" totalsRowFunction="sum" totalsRowDxfId="1363" dataCellStyle="Normal 14 2"/>
    <tableColumn id="11" name="Cell 8" totalsRowFunction="sum" totalsRowDxfId="1362" dataCellStyle="Normal 14 2"/>
    <tableColumn id="12" name="Cell 9" totalsRowFunction="sum" totalsRowDxfId="1361" dataCellStyle="Normal 14 2"/>
    <tableColumn id="13" name="Cell 10" totalsRowFunction="sum" totalsRowDxfId="1360" dataCellStyle="Normal 14 2"/>
    <tableColumn id="14" name="Cell 11" totalsRowFunction="sum" totalsRowDxfId="1359" dataCellStyle="Normal 14 2"/>
    <tableColumn id="15" name="Cell 12" totalsRowFunction="sum" totalsRowDxfId="1358" dataCellStyle="Normal 14 2"/>
    <tableColumn id="16" name="Cell 13" totalsRowFunction="sum" totalsRowDxfId="1357" dataCellStyle="Normal 14 2"/>
    <tableColumn id="17" name="Cell 14" totalsRowFunction="sum" totalsRowDxfId="1356" dataCellStyle="Normal 14 2"/>
    <tableColumn id="18" name="Cell 15" totalsRowFunction="sum" totalsRowDxfId="1355" dataCellStyle="Normal 14 2"/>
    <tableColumn id="19" name="Cell 16" totalsRowFunction="sum" totalsRowDxfId="1354" dataCellStyle="Normal 14 2"/>
    <tableColumn id="20" name="Cell 17" totalsRowFunction="sum" totalsRowDxfId="1353" dataCellStyle="Normal 14 2"/>
    <tableColumn id="21" name="Cell 18" totalsRowFunction="sum" totalsRowDxfId="1352" dataCellStyle="Normal 14 2"/>
    <tableColumn id="22" name="Cell 19" totalsRowFunction="sum" totalsRowDxfId="1351" dataCellStyle="Normal 14 2"/>
    <tableColumn id="23" name="Cell 20" totalsRowFunction="sum" totalsRowDxfId="1350" dataCellStyle="Normal 14 2"/>
    <tableColumn id="24" name="Cell 21" totalsRowFunction="sum" totalsRowDxfId="1349" dataCellStyle="Normal 14 2"/>
    <tableColumn id="25" name="Cell 22" totalsRowFunction="sum" totalsRowDxfId="1348" dataCellStyle="Normal 14 2"/>
    <tableColumn id="26" name="Cell 23" totalsRowFunction="sum" totalsRowDxfId="1347" dataCellStyle="Normal 14 2"/>
    <tableColumn id="27" name="Cell 24" totalsRowFunction="sum" totalsRowDxfId="1346" dataCellStyle="Normal 14 2"/>
    <tableColumn id="28" name="Cell 25" totalsRowFunction="sum" totalsRowDxfId="1345" dataCellStyle="Normal 14 2"/>
    <tableColumn id="29" name="Cell 26" totalsRowFunction="sum" totalsRowDxfId="1344" dataCellStyle="Normal 14 2"/>
    <tableColumn id="30" name="Cell 27" totalsRowFunction="sum" totalsRowDxfId="1343" dataCellStyle="Normal 14 2"/>
    <tableColumn id="31" name="Cell 28" totalsRowFunction="sum" totalsRowDxfId="1342" dataCellStyle="Normal 14 2"/>
    <tableColumn id="32" name="Cell 29" totalsRowFunction="sum" totalsRowDxfId="1341" dataCellStyle="Normal 14 2"/>
    <tableColumn id="33" name="Cell 30" totalsRowFunction="sum" totalsRowDxfId="1340" dataCellStyle="Normal 14 2"/>
    <tableColumn id="34" name="Cell 31" totalsRowFunction="sum" totalsRowDxfId="1339" dataCellStyle="Normal 14 2"/>
    <tableColumn id="35" name="Cell 32" totalsRowFunction="sum" totalsRowDxfId="1338" dataCellStyle="Normal 14 2"/>
    <tableColumn id="36" name="Cell 33" totalsRowFunction="sum" totalsRowDxfId="1337" dataCellStyle="Normal 14 2"/>
    <tableColumn id="37" name="Cell 34" totalsRowFunction="sum" totalsRowDxfId="1336" dataCellStyle="Normal 14 2"/>
    <tableColumn id="38" name="Cell 35" totalsRowFunction="sum" totalsRowDxfId="1335" dataCellStyle="Normal 14 2"/>
    <tableColumn id="39" name="Cell 36" totalsRowFunction="sum" totalsRowDxfId="1334" dataCellStyle="Normal 14 2"/>
    <tableColumn id="40" name="Cell 37" totalsRowFunction="sum" totalsRowDxfId="1333" dataCellStyle="Normal 14 2"/>
    <tableColumn id="41" name="Cell 38" totalsRowFunction="sum" totalsRowDxfId="1332" dataCellStyle="Normal 14 2"/>
    <tableColumn id="42" name="Cell 39" totalsRowFunction="sum" totalsRowDxfId="1331" dataCellStyle="Normal 14 2"/>
    <tableColumn id="43" name="Cell 40" totalsRowFunction="sum" totalsRowDxfId="1330" dataCellStyle="Normal 14 2"/>
    <tableColumn id="44" name="Cell 41" totalsRowFunction="sum" totalsRowDxfId="1329" dataCellStyle="Normal 14 2"/>
    <tableColumn id="45" name="Cell 42" totalsRowFunction="sum" totalsRowDxfId="1328" dataCellStyle="Normal 14 2"/>
    <tableColumn id="46" name="Cell 43" totalsRowFunction="sum" totalsRowDxfId="1327" dataCellStyle="Normal 14 2"/>
    <tableColumn id="47" name="Cell 44" totalsRowFunction="sum" totalsRowDxfId="1326" dataCellStyle="Normal 14 2"/>
    <tableColumn id="48" name="Cell 45" totalsRowFunction="sum" totalsRowDxfId="1325" dataCellStyle="Normal 14 2"/>
    <tableColumn id="49" name="Cell 46" totalsRowFunction="sum" totalsRowDxfId="1324" dataCellStyle="Normal 14 2"/>
    <tableColumn id="50" name="Cell 47" totalsRowFunction="sum" totalsRowDxfId="1323" dataCellStyle="Normal 14 2"/>
    <tableColumn id="51" name="Cell 48" totalsRowFunction="sum" totalsRowDxfId="1322" dataCellStyle="Normal 14 2"/>
    <tableColumn id="52" name="Cell 49" totalsRowFunction="sum" totalsRowDxfId="1321" dataCellStyle="Normal 14 2"/>
    <tableColumn id="53" name="Cell 50" totalsRowFunction="sum" totalsRowDxfId="1320" dataCellStyle="Normal 14 2"/>
    <tableColumn id="54" name="Cell 51" totalsRowFunction="sum" totalsRowDxfId="1319" dataCellStyle="Normal 14 2"/>
    <tableColumn id="55" name="Cell 52" totalsRowFunction="sum" totalsRowDxfId="1318" dataCellStyle="Normal 14 2"/>
    <tableColumn id="56" name="Cell 53" totalsRowFunction="sum" totalsRowDxfId="1317" dataCellStyle="Normal 14 2"/>
    <tableColumn id="57" name="Cell 54" totalsRowFunction="sum" totalsRowDxfId="1316" dataCellStyle="Normal 14 2"/>
    <tableColumn id="58" name="Cell 55" totalsRowFunction="sum" totalsRowDxfId="1315" dataCellStyle="Normal 14 2"/>
    <tableColumn id="59" name="Cell 56" totalsRowFunction="sum" totalsRowDxfId="1314" dataCellStyle="Normal 14 2"/>
    <tableColumn id="60" name="Cell 57" totalsRowFunction="sum" totalsRowDxfId="1313" dataCellStyle="Normal 14 2"/>
    <tableColumn id="61" name="Cell 58" totalsRowFunction="sum" totalsRowDxfId="1312" dataCellStyle="Normal 14 2"/>
    <tableColumn id="62" name="Cell 59" totalsRowFunction="sum" totalsRowDxfId="1311" dataCellStyle="Normal 14 2"/>
    <tableColumn id="63" name="Cell 60" totalsRowFunction="sum" totalsRowDxfId="1310" dataCellStyle="Normal 14 2"/>
    <tableColumn id="64" name="Cell 61" totalsRowFunction="sum" totalsRowDxfId="1309" dataCellStyle="Normal 14 2"/>
    <tableColumn id="65" name="Cell 62" totalsRowFunction="sum" totalsRowDxfId="1308" dataCellStyle="Normal 14 2"/>
    <tableColumn id="66" name="Cell 63" totalsRowFunction="sum" totalsRowDxfId="1307" dataCellStyle="Normal 14 2"/>
    <tableColumn id="67" name="Cell 64" totalsRowFunction="sum" totalsRowDxfId="1306" dataCellStyle="Normal 14 2"/>
    <tableColumn id="68" name="Cell 65" totalsRowFunction="sum" totalsRowDxfId="1305" dataCellStyle="Normal 14 2"/>
    <tableColumn id="69" name="Cell 66" totalsRowFunction="sum" totalsRowDxfId="1304" dataCellStyle="Normal 14 2"/>
    <tableColumn id="70" name="Cell 67" totalsRowFunction="sum" totalsRowDxfId="1303" dataCellStyle="Normal 14 2"/>
    <tableColumn id="71" name="Cell 68" totalsRowFunction="sum" totalsRowDxfId="1302" dataCellStyle="Normal 14 2"/>
    <tableColumn id="72" name="Cell 69" totalsRowFunction="sum" totalsRowDxfId="1301" dataCellStyle="Normal 14 2"/>
    <tableColumn id="73" name="Cell 70" totalsRowFunction="sum" totalsRowDxfId="1300" dataCellStyle="Normal 14 2"/>
    <tableColumn id="74" name="Cell 71" totalsRowFunction="sum" totalsRowDxfId="1299" dataCellStyle="Normal 14 2"/>
    <tableColumn id="75" name="Cell 72" totalsRowFunction="sum" totalsRowDxfId="1298" dataCellStyle="Normal 14 2"/>
    <tableColumn id="76" name="Cell 73" totalsRowFunction="sum" totalsRowDxfId="1297" dataCellStyle="Normal 14 2"/>
    <tableColumn id="77" name="Cell 74" totalsRowFunction="sum" totalsRowDxfId="1296" dataCellStyle="Normal 14 2"/>
    <tableColumn id="78" name="Cell 75" totalsRowFunction="sum" totalsRowDxfId="1295" dataCellStyle="Normal 14 2"/>
    <tableColumn id="79" name="Cell 76" totalsRowFunction="sum" totalsRowDxfId="1294" dataCellStyle="Normal 14 2"/>
    <tableColumn id="80" name="Cell 77" totalsRowFunction="sum" totalsRowDxfId="1293" dataCellStyle="Normal 14 2"/>
    <tableColumn id="81" name="Cell 78" totalsRowFunction="sum" totalsRowDxfId="1292" dataCellStyle="Normal 14 2"/>
    <tableColumn id="82" name="Cell 79" totalsRowFunction="sum" totalsRowDxfId="1291" dataCellStyle="Normal 14 2"/>
    <tableColumn id="83" name="Cell 80" totalsRowFunction="sum" totalsRowDxfId="1290" dataCellStyle="Normal 14 2"/>
    <tableColumn id="84" name="Cell 81" totalsRowFunction="sum" totalsRowDxfId="1289" dataCellStyle="Normal 14 2"/>
    <tableColumn id="85" name="Cell 82" totalsRowFunction="sum" totalsRowDxfId="1288" dataCellStyle="Normal 14 2"/>
    <tableColumn id="86" name="Cell 83" totalsRowFunction="sum" totalsRowDxfId="1287" dataCellStyle="Normal 14 2"/>
    <tableColumn id="87" name="Cell 84" totalsRowFunction="sum" totalsRowDxfId="1286" dataCellStyle="Normal 14 2"/>
    <tableColumn id="88" name="Cell 85" totalsRowFunction="sum" totalsRowDxfId="1285" dataCellStyle="Normal 14 2"/>
    <tableColumn id="89" name="Cell 86" totalsRowFunction="sum" totalsRowDxfId="1284" dataCellStyle="Normal 14 2"/>
    <tableColumn id="90" name="Cell 87" totalsRowFunction="sum" totalsRowDxfId="1283" dataCellStyle="Normal 14 2"/>
    <tableColumn id="91" name="Cell 88" totalsRowFunction="sum" totalsRowDxfId="1282" dataCellStyle="Normal 14 2"/>
    <tableColumn id="92" name="Cell 89" totalsRowFunction="sum" totalsRowDxfId="1281" dataCellStyle="Normal 14 2"/>
    <tableColumn id="93" name="Cell 90" totalsRowFunction="sum" totalsRowDxfId="1280" dataCellStyle="Normal 14 2"/>
    <tableColumn id="94" name="Cell 91" totalsRowFunction="sum" totalsRowDxfId="1279" dataCellStyle="Normal 14 2"/>
    <tableColumn id="95" name="Cell 92" totalsRowFunction="sum" totalsRowDxfId="1278" dataCellStyle="Normal 14 2"/>
    <tableColumn id="96" name="Cell 93" totalsRowFunction="sum" totalsRowDxfId="1277" dataCellStyle="Normal 14 2"/>
    <tableColumn id="97" name="Cell 94" totalsRowFunction="sum" totalsRowDxfId="1276" dataCellStyle="Normal 14 2"/>
    <tableColumn id="98" name="Cell 95" totalsRowFunction="sum" totalsRowDxfId="1275" dataCellStyle="Normal 14 2"/>
    <tableColumn id="99" name="Cell 96" totalsRowFunction="sum" totalsRowDxfId="1274" dataCellStyle="Normal 14 2"/>
    <tableColumn id="100" name="Cell 97" totalsRowFunction="sum" totalsRowDxfId="1273" dataCellStyle="Normal 14 2"/>
    <tableColumn id="101" name="Cell 98" totalsRowFunction="sum" totalsRowDxfId="1272" dataCellStyle="Normal 14 2"/>
    <tableColumn id="102" name="Cell 99" totalsRowFunction="sum" totalsRowDxfId="1271" dataCellStyle="Normal 14 2"/>
    <tableColumn id="103" name="Cell 100" totalsRowFunction="sum" totalsRowDxfId="1270" dataCellStyle="Normal 14 2"/>
    <tableColumn id="104" name="Cell 101" totalsRowFunction="sum" totalsRowDxfId="1269" dataCellStyle="Normal 14 2"/>
    <tableColumn id="105" name="Cell 102" totalsRowFunction="sum" totalsRowDxfId="1268" dataCellStyle="Normal 14 2"/>
    <tableColumn id="106" name="Cell 103" totalsRowFunction="sum" totalsRowDxfId="1267" dataCellStyle="Normal 14 2"/>
    <tableColumn id="107" name="Cell 104" totalsRowFunction="sum" totalsRowDxfId="1266" dataCellStyle="Normal 14 2"/>
    <tableColumn id="108" name="Cell 105" totalsRowFunction="sum" totalsRowDxfId="1265" dataCellStyle="Normal 14 2"/>
    <tableColumn id="109" name="Cell 106" totalsRowFunction="sum" totalsRowDxfId="1264" dataCellStyle="Normal 14 2"/>
    <tableColumn id="110" name="Cell 107" totalsRowFunction="sum" totalsRowDxfId="1263" dataCellStyle="Normal 14 2"/>
    <tableColumn id="111" name="Cell 108" totalsRowFunction="sum" totalsRowDxfId="1262" dataCellStyle="Normal 14 2"/>
    <tableColumn id="112" name="Cell 109" totalsRowFunction="sum" totalsRowDxfId="1261" dataCellStyle="Normal 14 2"/>
    <tableColumn id="113" name="Cell 110" totalsRowFunction="sum" totalsRowDxfId="1260" dataCellStyle="Normal 14 2"/>
    <tableColumn id="114" name="Cell 111" totalsRowFunction="sum" totalsRowDxfId="1259" dataCellStyle="Normal 14 2"/>
    <tableColumn id="115" name="Cell 112" totalsRowFunction="sum" totalsRowDxfId="1258" dataCellStyle="Normal 14 2"/>
    <tableColumn id="116" name="Cell 113" totalsRowFunction="sum" totalsRowDxfId="1257" dataCellStyle="Normal 14 2"/>
    <tableColumn id="117" name="Cell 114" totalsRowFunction="sum" totalsRowDxfId="1256" dataCellStyle="Normal 14 2"/>
    <tableColumn id="118" name="Cell 115" totalsRowFunction="sum" totalsRowDxfId="1255" dataCellStyle="Normal 14 2"/>
    <tableColumn id="119" name="Cell 116" totalsRowFunction="sum" totalsRowDxfId="1254" dataCellStyle="Normal 14 2"/>
    <tableColumn id="120" name="Cell 117" totalsRowFunction="sum" totalsRowDxfId="1253" dataCellStyle="Normal 14 2"/>
    <tableColumn id="121" name="Cell 118" totalsRowFunction="sum" totalsRowDxfId="1252" dataCellStyle="Normal 14 2"/>
    <tableColumn id="122" name="Cell 119" totalsRowFunction="sum" totalsRowDxfId="1251" dataCellStyle="Normal 14 2"/>
    <tableColumn id="123" name="Cell 120" totalsRowFunction="sum" totalsRowDxfId="1250" dataCellStyle="Normal 14 2"/>
    <tableColumn id="124" name="Cell 121" totalsRowFunction="sum" totalsRowDxfId="1249" dataCellStyle="Normal 14 2"/>
    <tableColumn id="125" name="Cell 122" totalsRowFunction="sum" totalsRowDxfId="1248" dataCellStyle="Normal 14 2"/>
    <tableColumn id="126" name="Cell 123" totalsRowFunction="sum" totalsRowDxfId="1247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All counties reporting."/>
    </ext>
  </extLst>
</table>
</file>

<file path=xl/tables/table4.xml><?xml version="1.0" encoding="utf-8"?>
<table xmlns="http://schemas.openxmlformats.org/spreadsheetml/2006/main" id="4" name="Sep16Data" displayName="Sep16Data" ref="A5:DT64" totalsRowCount="1" headerRowDxfId="2824" dataDxfId="2823" totalsRowDxfId="1121" headerRowBorderDxfId="2821" tableBorderDxfId="2822" totalsRowBorderDxfId="2820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2819" totalsRowDxfId="1245" dataCellStyle="Normal 14 2"/>
    <tableColumn id="4" name="Cell 1" totalsRowFunction="sum" dataDxfId="2818" totalsRowDxfId="1244" dataCellStyle="Normal 14 2"/>
    <tableColumn id="5" name="Cell 2" totalsRowFunction="sum" dataDxfId="2817" totalsRowDxfId="1243" dataCellStyle="Normal 14 2"/>
    <tableColumn id="6" name="Cell 3" totalsRowFunction="sum" dataDxfId="2816" totalsRowDxfId="1242" dataCellStyle="Normal 14 2"/>
    <tableColumn id="7" name="Cell 4" totalsRowFunction="sum" dataDxfId="2815" totalsRowDxfId="1241" dataCellStyle="Normal 14 2"/>
    <tableColumn id="8" name="Cell 5" totalsRowFunction="sum" dataDxfId="2814" totalsRowDxfId="1240" dataCellStyle="Normal 14 2"/>
    <tableColumn id="9" name="Cell 6" totalsRowFunction="sum" dataDxfId="2813" totalsRowDxfId="1239" dataCellStyle="Normal 14 2"/>
    <tableColumn id="10" name="Cell 7" totalsRowFunction="sum" dataDxfId="2812" totalsRowDxfId="1238" dataCellStyle="Normal 14 2"/>
    <tableColumn id="11" name="Cell 8" totalsRowFunction="sum" dataDxfId="2811" totalsRowDxfId="1237" dataCellStyle="Normal 14 2"/>
    <tableColumn id="12" name="Cell 9" totalsRowFunction="sum" dataDxfId="2810" totalsRowDxfId="1236" dataCellStyle="Normal 14 2"/>
    <tableColumn id="13" name="Cell 10" totalsRowFunction="sum" dataDxfId="2809" totalsRowDxfId="1235" dataCellStyle="Normal 14 2"/>
    <tableColumn id="14" name="Cell 11" totalsRowFunction="sum" dataDxfId="2808" totalsRowDxfId="1234" dataCellStyle="Normal 14 2"/>
    <tableColumn id="15" name="Cell 12" totalsRowFunction="sum" dataDxfId="2807" totalsRowDxfId="1233" dataCellStyle="Normal 14 2"/>
    <tableColumn id="16" name="Cell 13" totalsRowFunction="sum" dataDxfId="2806" totalsRowDxfId="1232" dataCellStyle="Normal 14 2"/>
    <tableColumn id="17" name="Cell 14" totalsRowFunction="sum" dataDxfId="2805" totalsRowDxfId="1231" dataCellStyle="Normal 14 2"/>
    <tableColumn id="18" name="Cell 15" totalsRowFunction="sum" dataDxfId="2804" totalsRowDxfId="1230" dataCellStyle="Normal 14 2"/>
    <tableColumn id="19" name="Cell 16" totalsRowFunction="sum" dataDxfId="2803" totalsRowDxfId="1229" dataCellStyle="Normal 14 2"/>
    <tableColumn id="20" name="Cell 17" totalsRowFunction="sum" dataDxfId="2802" totalsRowDxfId="1228" dataCellStyle="Normal 14 2"/>
    <tableColumn id="21" name="Cell 18" totalsRowFunction="sum" dataDxfId="2801" totalsRowDxfId="1227" dataCellStyle="Normal 14 2"/>
    <tableColumn id="22" name="Cell 19" totalsRowFunction="sum" dataDxfId="2800" totalsRowDxfId="1226" dataCellStyle="Normal 14 2"/>
    <tableColumn id="23" name="Cell 20" totalsRowFunction="sum" dataDxfId="2799" totalsRowDxfId="1225" dataCellStyle="Normal 14 2"/>
    <tableColumn id="24" name="Cell 21" totalsRowFunction="sum" dataDxfId="2798" totalsRowDxfId="1224" dataCellStyle="Normal 14 2"/>
    <tableColumn id="25" name="Cell 22" totalsRowFunction="sum" dataDxfId="2797" totalsRowDxfId="1223" dataCellStyle="Normal 14 2"/>
    <tableColumn id="26" name="Cell 23" totalsRowFunction="sum" dataDxfId="2796" totalsRowDxfId="1222" dataCellStyle="Normal 14 2"/>
    <tableColumn id="27" name="Cell 24" totalsRowFunction="sum" dataDxfId="2795" totalsRowDxfId="1221" dataCellStyle="Normal 14 2"/>
    <tableColumn id="28" name="Cell 25" totalsRowFunction="sum" dataDxfId="2794" totalsRowDxfId="1220" dataCellStyle="Normal 14 2"/>
    <tableColumn id="29" name="Cell 26" totalsRowFunction="sum" dataDxfId="2793" totalsRowDxfId="1219" dataCellStyle="Normal 14 2"/>
    <tableColumn id="30" name="Cell 27" totalsRowFunction="sum" dataDxfId="2792" totalsRowDxfId="1218" dataCellStyle="Normal 14 2"/>
    <tableColumn id="31" name="Cell 28" totalsRowFunction="sum" dataDxfId="2791" totalsRowDxfId="1217" dataCellStyle="Normal 14 2"/>
    <tableColumn id="32" name="Cell 29" totalsRowFunction="sum" dataDxfId="2790" totalsRowDxfId="1216" dataCellStyle="Normal 14 2"/>
    <tableColumn id="33" name="Cell 30" totalsRowFunction="sum" dataDxfId="2789" totalsRowDxfId="1215" dataCellStyle="Normal 14 2"/>
    <tableColumn id="34" name="Cell 31" totalsRowFunction="sum" dataDxfId="2788" totalsRowDxfId="1214" dataCellStyle="Normal 14 2"/>
    <tableColumn id="35" name="Cell 32" totalsRowFunction="sum" dataDxfId="2787" totalsRowDxfId="1213" dataCellStyle="Normal 14 2"/>
    <tableColumn id="36" name="Cell 33" totalsRowFunction="sum" dataDxfId="2786" totalsRowDxfId="1212" dataCellStyle="Normal 14 2"/>
    <tableColumn id="37" name="Cell 34" totalsRowFunction="sum" dataDxfId="2785" totalsRowDxfId="1211" dataCellStyle="Normal 14 2"/>
    <tableColumn id="38" name="Cell 35" totalsRowFunction="sum" dataDxfId="2784" totalsRowDxfId="1210" dataCellStyle="Normal 14 2"/>
    <tableColumn id="39" name="Cell 36" totalsRowFunction="sum" dataDxfId="2783" totalsRowDxfId="1209" dataCellStyle="Normal 14 2"/>
    <tableColumn id="40" name="Cell 37" totalsRowFunction="sum" dataDxfId="2782" totalsRowDxfId="1208" dataCellStyle="Normal 14 2"/>
    <tableColumn id="41" name="Cell 38" totalsRowFunction="sum" dataDxfId="2781" totalsRowDxfId="1207" dataCellStyle="Normal 14 2"/>
    <tableColumn id="42" name="Cell 39" totalsRowFunction="sum" dataDxfId="2780" totalsRowDxfId="1206" dataCellStyle="Normal 14 2"/>
    <tableColumn id="43" name="Cell 40" totalsRowFunction="sum" dataDxfId="2779" totalsRowDxfId="1205" dataCellStyle="Normal 14 2"/>
    <tableColumn id="44" name="Cell 41" totalsRowFunction="sum" dataDxfId="2778" totalsRowDxfId="1204" dataCellStyle="Normal 14 2"/>
    <tableColumn id="45" name="Cell 42" totalsRowFunction="sum" dataDxfId="2777" totalsRowDxfId="1203" dataCellStyle="Normal 14 2"/>
    <tableColumn id="46" name="Cell 43" totalsRowFunction="sum" dataDxfId="2776" totalsRowDxfId="1202" dataCellStyle="Normal 14 2"/>
    <tableColumn id="47" name="Cell 44" totalsRowFunction="sum" dataDxfId="2775" totalsRowDxfId="1201" dataCellStyle="Normal 14 2"/>
    <tableColumn id="48" name="Cell 45" totalsRowFunction="sum" dataDxfId="2774" totalsRowDxfId="1200" dataCellStyle="Normal 14 2"/>
    <tableColumn id="49" name="Cell 46" totalsRowFunction="sum" dataDxfId="2773" totalsRowDxfId="1199" dataCellStyle="Normal 14 2"/>
    <tableColumn id="50" name="Cell 47" totalsRowFunction="sum" dataDxfId="2772" totalsRowDxfId="1198" dataCellStyle="Normal 14 2"/>
    <tableColumn id="51" name="Cell 48" totalsRowFunction="sum" dataDxfId="2771" totalsRowDxfId="1197" dataCellStyle="Normal 14 2"/>
    <tableColumn id="52" name="Cell 49" totalsRowFunction="sum" dataDxfId="2770" totalsRowDxfId="1196" dataCellStyle="Normal 14 2"/>
    <tableColumn id="53" name="Cell 50" totalsRowFunction="sum" dataDxfId="2769" totalsRowDxfId="1195" dataCellStyle="Normal 14 2"/>
    <tableColumn id="54" name="Cell 51" totalsRowFunction="sum" dataDxfId="2768" totalsRowDxfId="1194" dataCellStyle="Normal 14 2"/>
    <tableColumn id="55" name="Cell 52" totalsRowFunction="sum" dataDxfId="2767" totalsRowDxfId="1193" dataCellStyle="Normal 14 2"/>
    <tableColumn id="56" name="Cell 53" totalsRowFunction="sum" dataDxfId="2766" totalsRowDxfId="1192" dataCellStyle="Normal 14 2"/>
    <tableColumn id="57" name="Cell 54" totalsRowFunction="sum" dataDxfId="2765" totalsRowDxfId="1191" dataCellStyle="Normal 14 2"/>
    <tableColumn id="58" name="Cell 55" totalsRowFunction="sum" dataDxfId="2764" totalsRowDxfId="1190" dataCellStyle="Normal 14 2"/>
    <tableColumn id="59" name="Cell 56" totalsRowFunction="sum" dataDxfId="2763" totalsRowDxfId="1189" dataCellStyle="Normal 14 2"/>
    <tableColumn id="60" name="Cell 57" totalsRowFunction="sum" dataDxfId="2762" totalsRowDxfId="1188" dataCellStyle="Normal 14 2"/>
    <tableColumn id="61" name="Cell 58" totalsRowFunction="sum" dataDxfId="2761" totalsRowDxfId="1187" dataCellStyle="Normal 14 2"/>
    <tableColumn id="62" name="Cell 59" totalsRowFunction="sum" dataDxfId="2760" totalsRowDxfId="1186" dataCellStyle="Normal 14 2"/>
    <tableColumn id="63" name="Cell 60" totalsRowFunction="sum" dataDxfId="2759" totalsRowDxfId="1185" dataCellStyle="Normal 14 2"/>
    <tableColumn id="64" name="Cell 61" totalsRowFunction="sum" dataDxfId="2758" totalsRowDxfId="1184" dataCellStyle="Normal 14 2"/>
    <tableColumn id="65" name="Cell 62" totalsRowFunction="sum" dataDxfId="2757" totalsRowDxfId="1183" dataCellStyle="Normal 14 2"/>
    <tableColumn id="66" name="Cell 63" totalsRowFunction="sum" dataDxfId="2756" totalsRowDxfId="1182" dataCellStyle="Normal 14 2"/>
    <tableColumn id="67" name="Cell 64" totalsRowFunction="sum" dataDxfId="2755" totalsRowDxfId="1181" dataCellStyle="Normal 14 2"/>
    <tableColumn id="68" name="Cell 65" totalsRowFunction="sum" dataDxfId="2754" totalsRowDxfId="1180" dataCellStyle="Normal 14 2"/>
    <tableColumn id="69" name="Cell 66" totalsRowFunction="sum" dataDxfId="2753" totalsRowDxfId="1179" dataCellStyle="Normal 14 2"/>
    <tableColumn id="70" name="Cell 67" totalsRowFunction="sum" dataDxfId="2752" totalsRowDxfId="1178" dataCellStyle="Normal 14 2"/>
    <tableColumn id="71" name="Cell 68" totalsRowFunction="sum" dataDxfId="2751" totalsRowDxfId="1177" dataCellStyle="Normal 14 2"/>
    <tableColumn id="72" name="Cell 69" totalsRowFunction="sum" dataDxfId="2750" totalsRowDxfId="1176" dataCellStyle="Normal 14 2"/>
    <tableColumn id="73" name="Cell 70" totalsRowFunction="sum" dataDxfId="2749" totalsRowDxfId="1175" dataCellStyle="Normal 14 2"/>
    <tableColumn id="74" name="Cell 71" totalsRowFunction="sum" dataDxfId="2748" totalsRowDxfId="1174" dataCellStyle="Normal 14 2"/>
    <tableColumn id="75" name="Cell 72" totalsRowFunction="sum" dataDxfId="2747" totalsRowDxfId="1173" dataCellStyle="Normal 14 2"/>
    <tableColumn id="76" name="Cell 73" totalsRowFunction="sum" dataDxfId="2746" totalsRowDxfId="1172" dataCellStyle="Normal 14 2"/>
    <tableColumn id="77" name="Cell 74" totalsRowFunction="sum" dataDxfId="2745" totalsRowDxfId="1171" dataCellStyle="Normal 14 2"/>
    <tableColumn id="78" name="Cell 75" totalsRowFunction="sum" dataDxfId="2744" totalsRowDxfId="1170" dataCellStyle="Normal 14 2"/>
    <tableColumn id="79" name="Cell 76" totalsRowFunction="sum" dataDxfId="2743" totalsRowDxfId="1169" dataCellStyle="Normal 14 2"/>
    <tableColumn id="80" name="Cell 77" totalsRowFunction="sum" dataDxfId="2742" totalsRowDxfId="1168" dataCellStyle="Normal 14 2"/>
    <tableColumn id="81" name="Cell 78" totalsRowFunction="sum" dataDxfId="2741" totalsRowDxfId="1167" dataCellStyle="Normal 14 2"/>
    <tableColumn id="82" name="Cell 79" totalsRowFunction="sum" dataDxfId="2740" totalsRowDxfId="1166" dataCellStyle="Normal 14 2"/>
    <tableColumn id="83" name="Cell 80" totalsRowFunction="sum" dataDxfId="2739" totalsRowDxfId="1165" dataCellStyle="Normal 14 2"/>
    <tableColumn id="84" name="Cell 81" totalsRowFunction="sum" dataDxfId="2738" totalsRowDxfId="1164" dataCellStyle="Normal 14 2"/>
    <tableColumn id="85" name="Cell 82" totalsRowFunction="sum" dataDxfId="2737" totalsRowDxfId="1163" dataCellStyle="Normal 14 2"/>
    <tableColumn id="86" name="Cell 83" totalsRowFunction="sum" dataDxfId="2736" totalsRowDxfId="1162" dataCellStyle="Normal 14 2"/>
    <tableColumn id="87" name="Cell 84" totalsRowFunction="sum" dataDxfId="2735" totalsRowDxfId="1161" dataCellStyle="Normal 14 2"/>
    <tableColumn id="88" name="Cell 85" totalsRowFunction="sum" dataDxfId="2734" totalsRowDxfId="1160" dataCellStyle="Normal 14 2"/>
    <tableColumn id="89" name="Cell 86" totalsRowFunction="sum" dataDxfId="2733" totalsRowDxfId="1159" dataCellStyle="Normal 14 2"/>
    <tableColumn id="90" name="Cell 87" totalsRowFunction="sum" dataDxfId="2732" totalsRowDxfId="1158" dataCellStyle="Normal 14 2"/>
    <tableColumn id="91" name="Cell 88" totalsRowFunction="sum" dataDxfId="2731" totalsRowDxfId="1157" dataCellStyle="Normal 14 2"/>
    <tableColumn id="92" name="Cell 89" totalsRowFunction="sum" dataDxfId="2730" totalsRowDxfId="1156" dataCellStyle="Normal 14 2"/>
    <tableColumn id="93" name="Cell 90" totalsRowFunction="sum" dataDxfId="2729" totalsRowDxfId="1155" dataCellStyle="Normal 14 2"/>
    <tableColumn id="94" name="Cell 91" totalsRowFunction="sum" dataDxfId="2728" totalsRowDxfId="1154" dataCellStyle="Normal 14 2"/>
    <tableColumn id="95" name="Cell 92" totalsRowFunction="sum" dataDxfId="2727" totalsRowDxfId="1153" dataCellStyle="Normal 14 2"/>
    <tableColumn id="96" name="Cell 93" totalsRowFunction="sum" dataDxfId="2726" totalsRowDxfId="1152" dataCellStyle="Normal 14 2"/>
    <tableColumn id="97" name="Cell 94" totalsRowFunction="sum" dataDxfId="2725" totalsRowDxfId="1151" dataCellStyle="Normal 14 2"/>
    <tableColumn id="98" name="Cell 95" totalsRowFunction="sum" dataDxfId="2724" totalsRowDxfId="1150" dataCellStyle="Normal 14 2"/>
    <tableColumn id="99" name="Cell 96" totalsRowFunction="sum" dataDxfId="2723" totalsRowDxfId="1149" dataCellStyle="Normal 14 2"/>
    <tableColumn id="100" name="Cell 97" totalsRowFunction="sum" dataDxfId="2722" totalsRowDxfId="1148" dataCellStyle="Normal 14 2"/>
    <tableColumn id="101" name="Cell 98" totalsRowFunction="sum" dataDxfId="2721" totalsRowDxfId="1147" dataCellStyle="Normal 14 2"/>
    <tableColumn id="102" name="Cell 99" totalsRowFunction="sum" dataDxfId="2720" totalsRowDxfId="1146" dataCellStyle="Normal 14 2"/>
    <tableColumn id="103" name="Cell 100" totalsRowFunction="sum" dataDxfId="2719" totalsRowDxfId="1145" dataCellStyle="Normal 14 2"/>
    <tableColumn id="104" name="Cell 101" totalsRowFunction="sum" dataDxfId="2718" totalsRowDxfId="1144" dataCellStyle="Normal 14 2"/>
    <tableColumn id="105" name="Cell 102" totalsRowFunction="sum" dataDxfId="2717" totalsRowDxfId="1143" dataCellStyle="Normal 14 2"/>
    <tableColumn id="106" name="Cell 103" totalsRowFunction="sum" dataDxfId="2716" totalsRowDxfId="1142" dataCellStyle="Normal 14 2"/>
    <tableColumn id="107" name="Cell 104" totalsRowFunction="sum" dataDxfId="2715" totalsRowDxfId="1141" dataCellStyle="Normal 14 2"/>
    <tableColumn id="108" name="Cell 105" totalsRowFunction="sum" dataDxfId="2714" totalsRowDxfId="1140" dataCellStyle="Normal 14 2"/>
    <tableColumn id="109" name="Cell 106" totalsRowFunction="sum" dataDxfId="2713" totalsRowDxfId="1139" dataCellStyle="Normal 14 2"/>
    <tableColumn id="110" name="Cell 107" totalsRowFunction="sum" dataDxfId="2712" totalsRowDxfId="1138" dataCellStyle="Normal 14 2"/>
    <tableColumn id="111" name="Cell 108" totalsRowFunction="sum" dataDxfId="2711" totalsRowDxfId="1137" dataCellStyle="Normal 14 2"/>
    <tableColumn id="112" name="Cell 109" totalsRowFunction="sum" dataDxfId="2710" totalsRowDxfId="1136" dataCellStyle="Normal 14 2"/>
    <tableColumn id="113" name="Cell 110" totalsRowFunction="sum" dataDxfId="2709" totalsRowDxfId="1135" dataCellStyle="Normal 14 2"/>
    <tableColumn id="114" name="Cell 111" totalsRowFunction="sum" dataDxfId="2708" totalsRowDxfId="1134" dataCellStyle="Normal 14 2"/>
    <tableColumn id="115" name="Cell 112" totalsRowFunction="sum" dataDxfId="2707" totalsRowDxfId="1133" dataCellStyle="Normal 14 2"/>
    <tableColumn id="116" name="Cell 113" totalsRowFunction="sum" dataDxfId="2706" totalsRowDxfId="1132" dataCellStyle="Normal 14 2"/>
    <tableColumn id="117" name="Cell 114" totalsRowFunction="sum" dataDxfId="2705" totalsRowDxfId="1131" dataCellStyle="Normal 14 2"/>
    <tableColumn id="118" name="Cell 115" totalsRowFunction="sum" dataDxfId="2704" totalsRowDxfId="1130" dataCellStyle="Normal 14 2"/>
    <tableColumn id="119" name="Cell 116" totalsRowFunction="sum" dataDxfId="2703" totalsRowDxfId="1129" dataCellStyle="Normal 14 2"/>
    <tableColumn id="120" name="Cell 117" totalsRowFunction="sum" dataDxfId="2702" totalsRowDxfId="1128" dataCellStyle="Normal 14 2"/>
    <tableColumn id="121" name="Cell 118" totalsRowFunction="sum" dataDxfId="2701" totalsRowDxfId="1127" dataCellStyle="Normal 14 2"/>
    <tableColumn id="122" name="Cell 119" totalsRowFunction="sum" dataDxfId="2700" totalsRowDxfId="1126" dataCellStyle="Normal 14 2"/>
    <tableColumn id="123" name="Cell 120" totalsRowFunction="sum" dataDxfId="2699" totalsRowDxfId="1125" dataCellStyle="Normal 14 2"/>
    <tableColumn id="124" name="Cell 121" totalsRowFunction="sum" dataDxfId="2698" totalsRowDxfId="1124" dataCellStyle="Normal 14 2"/>
    <tableColumn id="125" name="Cell 122" totalsRowFunction="sum" dataDxfId="2697" totalsRowDxfId="1123" dataCellStyle="Normal 14 2"/>
    <tableColumn id="126" name="Cell 123" totalsRowFunction="sum" dataDxfId="2696" totalsRowDxfId="1122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County Revising:  Amador"/>
    </ext>
  </extLst>
</table>
</file>

<file path=xl/tables/table5.xml><?xml version="1.0" encoding="utf-8"?>
<table xmlns="http://schemas.openxmlformats.org/spreadsheetml/2006/main" id="5" name="Oct16Data" displayName="Oct16Data" ref="A5:DT64" totalsRowCount="1" headerRowDxfId="2695" dataDxfId="2694" totalsRowDxfId="996" headerRowBorderDxfId="2692" tableBorderDxfId="2693" totalsRowBorderDxfId="2691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2690" totalsRowDxfId="1120" dataCellStyle="Normal 14 2"/>
    <tableColumn id="4" name="Cell 1" totalsRowFunction="sum" dataDxfId="2689" totalsRowDxfId="1119" dataCellStyle="Normal 14 2"/>
    <tableColumn id="5" name="Cell 2" totalsRowFunction="sum" dataDxfId="2688" totalsRowDxfId="1118" dataCellStyle="Normal 14 2"/>
    <tableColumn id="6" name="Cell 3" totalsRowFunction="sum" dataDxfId="2687" totalsRowDxfId="1117" dataCellStyle="Normal 14 2"/>
    <tableColumn id="7" name="Cell 4" totalsRowFunction="sum" dataDxfId="2686" totalsRowDxfId="1116" dataCellStyle="Normal 14 2"/>
    <tableColumn id="8" name="Cell 5" totalsRowFunction="sum" dataDxfId="2685" totalsRowDxfId="1115" dataCellStyle="Normal 14 2"/>
    <tableColumn id="9" name="Cell 6" totalsRowFunction="sum" dataDxfId="2684" totalsRowDxfId="1114" dataCellStyle="Normal 14 2"/>
    <tableColumn id="10" name="Cell 7" totalsRowFunction="sum" dataDxfId="2683" totalsRowDxfId="1113" dataCellStyle="Normal 14 2"/>
    <tableColumn id="11" name="Cell 8" totalsRowFunction="sum" dataDxfId="2682" totalsRowDxfId="1112" dataCellStyle="Normal 14 2"/>
    <tableColumn id="12" name="Cell 9" totalsRowFunction="sum" dataDxfId="2681" totalsRowDxfId="1111" dataCellStyle="Normal 14 2"/>
    <tableColumn id="13" name="Cell 10" totalsRowFunction="sum" dataDxfId="2680" totalsRowDxfId="1110" dataCellStyle="Normal 14 2"/>
    <tableColumn id="14" name="Cell 11" totalsRowFunction="sum" dataDxfId="2679" totalsRowDxfId="1109" dataCellStyle="Normal 14 2"/>
    <tableColumn id="15" name="Cell 12" totalsRowFunction="sum" dataDxfId="2678" totalsRowDxfId="1108" dataCellStyle="Normal 14 2"/>
    <tableColumn id="16" name="Cell 13" totalsRowFunction="sum" dataDxfId="2677" totalsRowDxfId="1107" dataCellStyle="Normal 14 2"/>
    <tableColumn id="17" name="Cell 14" totalsRowFunction="sum" dataDxfId="2676" totalsRowDxfId="1106" dataCellStyle="Normal 14 2"/>
    <tableColumn id="18" name="Cell 15" totalsRowFunction="sum" dataDxfId="2675" totalsRowDxfId="1105" dataCellStyle="Normal 14 2"/>
    <tableColumn id="19" name="Cell 16" totalsRowFunction="sum" dataDxfId="2674" totalsRowDxfId="1104" dataCellStyle="Normal 14 2"/>
    <tableColumn id="20" name="Cell 17" totalsRowFunction="sum" dataDxfId="2673" totalsRowDxfId="1103" dataCellStyle="Normal 14 2"/>
    <tableColumn id="21" name="Cell 18" totalsRowFunction="sum" dataDxfId="2672" totalsRowDxfId="1102" dataCellStyle="Normal 14 2"/>
    <tableColumn id="22" name="Cell 19" totalsRowFunction="sum" dataDxfId="2671" totalsRowDxfId="1101" dataCellStyle="Normal 14 2"/>
    <tableColumn id="23" name="Cell 20" totalsRowFunction="sum" dataDxfId="2670" totalsRowDxfId="1100" dataCellStyle="Normal 14 2"/>
    <tableColumn id="24" name="Cell 21" totalsRowFunction="sum" dataDxfId="2669" totalsRowDxfId="1099" dataCellStyle="Normal 14 2"/>
    <tableColumn id="25" name="Cell 22" totalsRowFunction="sum" dataDxfId="2668" totalsRowDxfId="1098" dataCellStyle="Normal 14 2"/>
    <tableColumn id="26" name="Cell 23" totalsRowFunction="sum" dataDxfId="2667" totalsRowDxfId="1097" dataCellStyle="Normal 14 2"/>
    <tableColumn id="27" name="Cell 24" totalsRowFunction="sum" dataDxfId="2666" totalsRowDxfId="1096" dataCellStyle="Normal 14 2"/>
    <tableColumn id="28" name="Cell 25" totalsRowFunction="sum" dataDxfId="2665" totalsRowDxfId="1095" dataCellStyle="Normal 14 2"/>
    <tableColumn id="29" name="Cell 26" totalsRowFunction="sum" dataDxfId="2664" totalsRowDxfId="1094" dataCellStyle="Normal 14 2"/>
    <tableColumn id="30" name="Cell 27" totalsRowFunction="sum" dataDxfId="2663" totalsRowDxfId="1093" dataCellStyle="Normal 14 2"/>
    <tableColumn id="31" name="Cell 28" totalsRowFunction="sum" dataDxfId="2662" totalsRowDxfId="1092" dataCellStyle="Normal 14 2"/>
    <tableColumn id="32" name="Cell 29" totalsRowFunction="sum" dataDxfId="2661" totalsRowDxfId="1091" dataCellStyle="Normal 14 2"/>
    <tableColumn id="33" name="Cell 30" totalsRowFunction="sum" dataDxfId="2660" totalsRowDxfId="1090" dataCellStyle="Normal 14 2"/>
    <tableColumn id="34" name="Cell 31" totalsRowFunction="sum" dataDxfId="2659" totalsRowDxfId="1089" dataCellStyle="Normal 14 2"/>
    <tableColumn id="35" name="Cell 32" totalsRowFunction="sum" dataDxfId="2658" totalsRowDxfId="1088" dataCellStyle="Normal 14 2"/>
    <tableColumn id="36" name="Cell 33" totalsRowFunction="sum" dataDxfId="2657" totalsRowDxfId="1087" dataCellStyle="Normal 14 2"/>
    <tableColumn id="37" name="Cell 34" totalsRowFunction="sum" dataDxfId="2656" totalsRowDxfId="1086" dataCellStyle="Normal 14 2"/>
    <tableColumn id="38" name="Cell 35" totalsRowFunction="sum" dataDxfId="2655" totalsRowDxfId="1085" dataCellStyle="Normal 14 2"/>
    <tableColumn id="39" name="Cell 36" totalsRowFunction="sum" dataDxfId="2654" totalsRowDxfId="1084" dataCellStyle="Normal 14 2"/>
    <tableColumn id="40" name="Cell 37" totalsRowFunction="sum" dataDxfId="2653" totalsRowDxfId="1083" dataCellStyle="Normal 14 2"/>
    <tableColumn id="41" name="Cell 38" totalsRowFunction="sum" dataDxfId="2652" totalsRowDxfId="1082" dataCellStyle="Normal 14 2"/>
    <tableColumn id="42" name="Cell 39" totalsRowFunction="sum" dataDxfId="2651" totalsRowDxfId="1081" dataCellStyle="Normal 14 2"/>
    <tableColumn id="43" name="Cell 40" totalsRowFunction="sum" dataDxfId="2650" totalsRowDxfId="1080" dataCellStyle="Normal 14 2"/>
    <tableColumn id="44" name="Cell 41" totalsRowFunction="sum" dataDxfId="2649" totalsRowDxfId="1079" dataCellStyle="Normal 14 2"/>
    <tableColumn id="45" name="Cell 42" totalsRowFunction="sum" dataDxfId="2648" totalsRowDxfId="1078" dataCellStyle="Normal 14 2"/>
    <tableColumn id="46" name="Cell 43" totalsRowFunction="sum" dataDxfId="2647" totalsRowDxfId="1077" dataCellStyle="Normal 14 2"/>
    <tableColumn id="47" name="Cell 44" totalsRowFunction="sum" dataDxfId="2646" totalsRowDxfId="1076" dataCellStyle="Normal 14 2"/>
    <tableColumn id="48" name="Cell 45" totalsRowFunction="sum" dataDxfId="2645" totalsRowDxfId="1075" dataCellStyle="Normal 14 2"/>
    <tableColumn id="49" name="Cell 46" totalsRowFunction="sum" dataDxfId="2644" totalsRowDxfId="1074" dataCellStyle="Normal 14 2"/>
    <tableColumn id="50" name="Cell 47" totalsRowFunction="sum" dataDxfId="2643" totalsRowDxfId="1073" dataCellStyle="Normal 14 2"/>
    <tableColumn id="51" name="Cell 48" totalsRowFunction="sum" dataDxfId="2642" totalsRowDxfId="1072" dataCellStyle="Normal 14 2"/>
    <tableColumn id="52" name="Cell 49" totalsRowFunction="sum" dataDxfId="2641" totalsRowDxfId="1071" dataCellStyle="Normal 14 2"/>
    <tableColumn id="53" name="Cell 50" totalsRowFunction="sum" dataDxfId="2640" totalsRowDxfId="1070" dataCellStyle="Normal 14 2"/>
    <tableColumn id="54" name="Cell 51" totalsRowFunction="sum" dataDxfId="2639" totalsRowDxfId="1069" dataCellStyle="Normal 14 2"/>
    <tableColumn id="55" name="Cell 52" totalsRowFunction="sum" dataDxfId="2638" totalsRowDxfId="1068" dataCellStyle="Normal 14 2"/>
    <tableColumn id="56" name="Cell 53" totalsRowFunction="sum" dataDxfId="2637" totalsRowDxfId="1067" dataCellStyle="Normal 14 2"/>
    <tableColumn id="57" name="Cell 54" totalsRowFunction="sum" dataDxfId="2636" totalsRowDxfId="1066" dataCellStyle="Normal 14 2"/>
    <tableColumn id="58" name="Cell 55" totalsRowFunction="sum" dataDxfId="2635" totalsRowDxfId="1065" dataCellStyle="Normal 14 2"/>
    <tableColumn id="59" name="Cell 56" totalsRowFunction="sum" dataDxfId="2634" totalsRowDxfId="1064" dataCellStyle="Normal 14 2"/>
    <tableColumn id="60" name="Cell 57" totalsRowFunction="sum" dataDxfId="2633" totalsRowDxfId="1063" dataCellStyle="Normal 14 2"/>
    <tableColumn id="61" name="Cell 58" totalsRowFunction="sum" dataDxfId="2632" totalsRowDxfId="1062" dataCellStyle="Normal 14 2"/>
    <tableColumn id="62" name="Cell 59" totalsRowFunction="sum" dataDxfId="2631" totalsRowDxfId="1061" dataCellStyle="Normal 14 2"/>
    <tableColumn id="63" name="Cell 60" totalsRowFunction="sum" dataDxfId="2630" totalsRowDxfId="1060" dataCellStyle="Normal 14 2"/>
    <tableColumn id="64" name="Cell 61" totalsRowFunction="sum" dataDxfId="2629" totalsRowDxfId="1059" dataCellStyle="Normal 14 2"/>
    <tableColumn id="65" name="Cell 62" totalsRowFunction="sum" dataDxfId="2628" totalsRowDxfId="1058" dataCellStyle="Normal 14 2"/>
    <tableColumn id="66" name="Cell 63" totalsRowFunction="sum" dataDxfId="2627" totalsRowDxfId="1057" dataCellStyle="Normal 14 2"/>
    <tableColumn id="67" name="Cell 64" totalsRowFunction="sum" dataDxfId="2626" totalsRowDxfId="1056" dataCellStyle="Normal 14 2"/>
    <tableColumn id="68" name="Cell 65" totalsRowFunction="sum" dataDxfId="2625" totalsRowDxfId="1055" dataCellStyle="Normal 14 2"/>
    <tableColumn id="69" name="Cell 66" totalsRowFunction="sum" dataDxfId="2624" totalsRowDxfId="1054" dataCellStyle="Normal 14 2"/>
    <tableColumn id="70" name="Cell 67" totalsRowFunction="sum" dataDxfId="2623" totalsRowDxfId="1053" dataCellStyle="Normal 14 2"/>
    <tableColumn id="71" name="Cell 68" totalsRowFunction="sum" dataDxfId="2622" totalsRowDxfId="1052" dataCellStyle="Normal 14 2"/>
    <tableColumn id="72" name="Cell 69" totalsRowFunction="sum" dataDxfId="2621" totalsRowDxfId="1051" dataCellStyle="Normal 14 2"/>
    <tableColumn id="73" name="Cell 70" totalsRowFunction="sum" dataDxfId="2620" totalsRowDxfId="1050" dataCellStyle="Normal 14 2"/>
    <tableColumn id="74" name="Cell 71" totalsRowFunction="sum" dataDxfId="2619" totalsRowDxfId="1049" dataCellStyle="Normal 14 2"/>
    <tableColumn id="75" name="Cell 72" totalsRowFunction="sum" dataDxfId="2618" totalsRowDxfId="1048" dataCellStyle="Normal 14 2"/>
    <tableColumn id="76" name="Cell 73" totalsRowFunction="sum" dataDxfId="2617" totalsRowDxfId="1047" dataCellStyle="Normal 14 2"/>
    <tableColumn id="77" name="Cell 74" totalsRowFunction="sum" dataDxfId="2616" totalsRowDxfId="1046" dataCellStyle="Normal 14 2"/>
    <tableColumn id="78" name="Cell 75" totalsRowFunction="sum" dataDxfId="2615" totalsRowDxfId="1045" dataCellStyle="Normal 14 2"/>
    <tableColumn id="79" name="Cell 76" totalsRowFunction="sum" dataDxfId="2614" totalsRowDxfId="1044" dataCellStyle="Normal 14 2"/>
    <tableColumn id="80" name="Cell 77" totalsRowFunction="sum" dataDxfId="2613" totalsRowDxfId="1043" dataCellStyle="Normal 14 2"/>
    <tableColumn id="81" name="Cell 78" totalsRowFunction="sum" dataDxfId="2612" totalsRowDxfId="1042" dataCellStyle="Normal 14 2"/>
    <tableColumn id="82" name="Cell 79" totalsRowFunction="sum" dataDxfId="2611" totalsRowDxfId="1041" dataCellStyle="Normal 14 2"/>
    <tableColumn id="83" name="Cell 80" totalsRowFunction="sum" dataDxfId="2610" totalsRowDxfId="1040" dataCellStyle="Normal 14 2"/>
    <tableColumn id="84" name="Cell 81" totalsRowFunction="sum" dataDxfId="2609" totalsRowDxfId="1039" dataCellStyle="Normal 14 2"/>
    <tableColumn id="85" name="Cell 82" totalsRowFunction="sum" dataDxfId="2608" totalsRowDxfId="1038" dataCellStyle="Normal 14 2"/>
    <tableColumn id="86" name="Cell 83" totalsRowFunction="sum" dataDxfId="2607" totalsRowDxfId="1037" dataCellStyle="Normal 14 2"/>
    <tableColumn id="87" name="Cell 84" totalsRowFunction="sum" dataDxfId="2606" totalsRowDxfId="1036" dataCellStyle="Normal 14 2"/>
    <tableColumn id="88" name="Cell 85" totalsRowFunction="sum" dataDxfId="2605" totalsRowDxfId="1035" dataCellStyle="Normal 14 2"/>
    <tableColumn id="89" name="Cell 86" totalsRowFunction="sum" dataDxfId="2604" totalsRowDxfId="1034" dataCellStyle="Normal 14 2"/>
    <tableColumn id="90" name="Cell 87" totalsRowFunction="sum" dataDxfId="2603" totalsRowDxfId="1033" dataCellStyle="Normal 14 2"/>
    <tableColumn id="91" name="Cell 88" totalsRowFunction="sum" dataDxfId="2602" totalsRowDxfId="1032" dataCellStyle="Normal 14 2"/>
    <tableColumn id="92" name="Cell 89" totalsRowFunction="sum" dataDxfId="2601" totalsRowDxfId="1031" dataCellStyle="Normal 14 2"/>
    <tableColumn id="93" name="Cell 90" totalsRowFunction="sum" dataDxfId="2600" totalsRowDxfId="1030" dataCellStyle="Normal 14 2"/>
    <tableColumn id="94" name="Cell 91" totalsRowFunction="sum" dataDxfId="2599" totalsRowDxfId="1029" dataCellStyle="Normal 14 2"/>
    <tableColumn id="95" name="Cell 92" totalsRowFunction="sum" dataDxfId="2598" totalsRowDxfId="1028" dataCellStyle="Normal 14 2"/>
    <tableColumn id="96" name="Cell 93" totalsRowFunction="sum" dataDxfId="2597" totalsRowDxfId="1027" dataCellStyle="Normal 14 2"/>
    <tableColumn id="97" name="Cell 94" totalsRowFunction="sum" dataDxfId="2596" totalsRowDxfId="1026" dataCellStyle="Normal 14 2"/>
    <tableColumn id="98" name="Cell 95" totalsRowFunction="sum" dataDxfId="2595" totalsRowDxfId="1025" dataCellStyle="Normal 14 2"/>
    <tableColumn id="99" name="Cell 96" totalsRowFunction="sum" dataDxfId="2594" totalsRowDxfId="1024" dataCellStyle="Normal 14 2"/>
    <tableColumn id="100" name="Cell 97" totalsRowFunction="sum" dataDxfId="2593" totalsRowDxfId="1023" dataCellStyle="Normal 14 2"/>
    <tableColumn id="101" name="Cell 98" totalsRowFunction="sum" dataDxfId="2592" totalsRowDxfId="1022" dataCellStyle="Normal 14 2"/>
    <tableColumn id="102" name="Cell 99" totalsRowFunction="sum" dataDxfId="2591" totalsRowDxfId="1021" dataCellStyle="Normal 14 2"/>
    <tableColumn id="103" name="Cell 100" totalsRowFunction="sum" dataDxfId="2590" totalsRowDxfId="1020" dataCellStyle="Normal 14 2"/>
    <tableColumn id="104" name="Cell 101" totalsRowFunction="sum" dataDxfId="2589" totalsRowDxfId="1019" dataCellStyle="Normal 14 2"/>
    <tableColumn id="105" name="Cell 102" totalsRowFunction="sum" dataDxfId="2588" totalsRowDxfId="1018" dataCellStyle="Normal 14 2"/>
    <tableColumn id="106" name="Cell 103" totalsRowFunction="sum" dataDxfId="2587" totalsRowDxfId="1017" dataCellStyle="Normal 14 2"/>
    <tableColumn id="107" name="Cell 104" totalsRowFunction="sum" dataDxfId="2586" totalsRowDxfId="1016" dataCellStyle="Normal 14 2"/>
    <tableColumn id="108" name="Cell 105" totalsRowFunction="sum" dataDxfId="2585" totalsRowDxfId="1015" dataCellStyle="Normal 14 2"/>
    <tableColumn id="109" name="Cell 106" totalsRowFunction="sum" dataDxfId="2584" totalsRowDxfId="1014" dataCellStyle="Normal 14 2"/>
    <tableColumn id="110" name="Cell 107" totalsRowFunction="sum" dataDxfId="2583" totalsRowDxfId="1013" dataCellStyle="Normal 14 2"/>
    <tableColumn id="111" name="Cell 108" totalsRowFunction="sum" dataDxfId="2582" totalsRowDxfId="1012" dataCellStyle="Normal 14 2"/>
    <tableColumn id="112" name="Cell 109" totalsRowFunction="sum" dataDxfId="2581" totalsRowDxfId="1011" dataCellStyle="Normal 14 2"/>
    <tableColumn id="113" name="Cell 110" totalsRowFunction="sum" dataDxfId="2580" totalsRowDxfId="1010" dataCellStyle="Normal 14 2"/>
    <tableColumn id="114" name="Cell 111" totalsRowFunction="sum" dataDxfId="2579" totalsRowDxfId="1009" dataCellStyle="Normal 14 2"/>
    <tableColumn id="115" name="Cell 112" totalsRowFunction="sum" dataDxfId="2578" totalsRowDxfId="1008" dataCellStyle="Normal 14 2"/>
    <tableColumn id="116" name="Cell 113" totalsRowFunction="sum" dataDxfId="2577" totalsRowDxfId="1007" dataCellStyle="Normal 14 2"/>
    <tableColumn id="117" name="Cell 114" totalsRowFunction="sum" dataDxfId="2576" totalsRowDxfId="1006" dataCellStyle="Normal 14 2"/>
    <tableColumn id="118" name="Cell 115" totalsRowFunction="sum" dataDxfId="2575" totalsRowDxfId="1005" dataCellStyle="Normal 14 2"/>
    <tableColumn id="119" name="Cell 116" totalsRowFunction="sum" dataDxfId="2574" totalsRowDxfId="1004" dataCellStyle="Normal 14 2"/>
    <tableColumn id="120" name="Cell 117" totalsRowFunction="sum" dataDxfId="2573" totalsRowDxfId="1003" dataCellStyle="Normal 14 2"/>
    <tableColumn id="121" name="Cell 118" totalsRowFunction="sum" dataDxfId="2572" totalsRowDxfId="1002" dataCellStyle="Normal 14 2"/>
    <tableColumn id="122" name="Cell 119" totalsRowFunction="sum" dataDxfId="2571" totalsRowDxfId="1001" dataCellStyle="Normal 14 2"/>
    <tableColumn id="123" name="Cell 120" totalsRowFunction="sum" dataDxfId="2570" totalsRowDxfId="1000" dataCellStyle="Normal 14 2"/>
    <tableColumn id="124" name="Cell 121" totalsRowFunction="sum" dataDxfId="2569" totalsRowDxfId="999" dataCellStyle="Normal 14 2"/>
    <tableColumn id="125" name="Cell 122" totalsRowFunction="sum" dataDxfId="2568" totalsRowDxfId="998" dataCellStyle="Normal 14 2"/>
    <tableColumn id="126" name="Cell 123" totalsRowFunction="sum" dataDxfId="2567" totalsRowDxfId="997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All counties reporting."/>
    </ext>
  </extLst>
</table>
</file>

<file path=xl/tables/table6.xml><?xml version="1.0" encoding="utf-8"?>
<table xmlns="http://schemas.openxmlformats.org/spreadsheetml/2006/main" id="6" name="Nov16Data" displayName="Nov16Data" ref="A5:DT64" totalsRowCount="1" headerRowDxfId="2566" dataDxfId="2565" totalsRowDxfId="871" headerRowBorderDxfId="2563" tableBorderDxfId="2564" totalsRowBorderDxfId="2562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2561" totalsRowDxfId="995" dataCellStyle="Normal 14 2"/>
    <tableColumn id="4" name="Cell 1" totalsRowFunction="sum" dataDxfId="2560" totalsRowDxfId="994" dataCellStyle="Normal 14 2"/>
    <tableColumn id="5" name="Cell 2" totalsRowFunction="sum" dataDxfId="2559" totalsRowDxfId="993" dataCellStyle="Normal 14 2"/>
    <tableColumn id="6" name="Cell 3" totalsRowFunction="sum" dataDxfId="2558" totalsRowDxfId="992" dataCellStyle="Normal 14 2"/>
    <tableColumn id="7" name="Cell 4" totalsRowFunction="sum" dataDxfId="2557" totalsRowDxfId="991" dataCellStyle="Normal 14 2"/>
    <tableColumn id="8" name="Cell 5" totalsRowFunction="sum" dataDxfId="2556" totalsRowDxfId="990" dataCellStyle="Normal 14 2"/>
    <tableColumn id="9" name="Cell 6" totalsRowFunction="sum" dataDxfId="2555" totalsRowDxfId="989" dataCellStyle="Normal 14 2"/>
    <tableColumn id="10" name="Cell 7" totalsRowFunction="sum" dataDxfId="2554" totalsRowDxfId="988" dataCellStyle="Normal 14 2"/>
    <tableColumn id="11" name="Cell 8" totalsRowFunction="sum" dataDxfId="2553" totalsRowDxfId="987" dataCellStyle="Normal 14 2"/>
    <tableColumn id="12" name="Cell 9" totalsRowFunction="sum" dataDxfId="2552" totalsRowDxfId="986" dataCellStyle="Normal 14 2"/>
    <tableColumn id="13" name="Cell 10" totalsRowFunction="sum" dataDxfId="2551" totalsRowDxfId="985" dataCellStyle="Normal 14 2"/>
    <tableColumn id="14" name="Cell 11" totalsRowFunction="sum" dataDxfId="2550" totalsRowDxfId="984" dataCellStyle="Normal 14 2"/>
    <tableColumn id="15" name="Cell 12" totalsRowFunction="sum" dataDxfId="2549" totalsRowDxfId="983" dataCellStyle="Normal 14 2"/>
    <tableColumn id="16" name="Cell 13" totalsRowFunction="sum" dataDxfId="2548" totalsRowDxfId="982" dataCellStyle="Normal 14 2"/>
    <tableColumn id="17" name="Cell 14" totalsRowFunction="sum" dataDxfId="2547" totalsRowDxfId="981" dataCellStyle="Normal 14 2"/>
    <tableColumn id="18" name="Cell 15" totalsRowFunction="sum" dataDxfId="2546" totalsRowDxfId="980" dataCellStyle="Normal 14 2"/>
    <tableColumn id="19" name="Cell 16" totalsRowFunction="sum" dataDxfId="2545" totalsRowDxfId="979" dataCellStyle="Normal 14 2"/>
    <tableColumn id="20" name="Cell 17" totalsRowFunction="sum" dataDxfId="2544" totalsRowDxfId="978" dataCellStyle="Normal 14 2"/>
    <tableColumn id="21" name="Cell 18" totalsRowFunction="sum" dataDxfId="2543" totalsRowDxfId="977" dataCellStyle="Normal 14 2"/>
    <tableColumn id="22" name="Cell 19" totalsRowFunction="sum" dataDxfId="2542" totalsRowDxfId="976" dataCellStyle="Normal 14 2"/>
    <tableColumn id="23" name="Cell 20" totalsRowFunction="sum" dataDxfId="2541" totalsRowDxfId="975" dataCellStyle="Normal 14 2"/>
    <tableColumn id="24" name="Cell 21" totalsRowFunction="sum" dataDxfId="2540" totalsRowDxfId="974" dataCellStyle="Normal 14 2"/>
    <tableColumn id="25" name="Cell 22" totalsRowFunction="sum" dataDxfId="2539" totalsRowDxfId="973" dataCellStyle="Normal 14 2"/>
    <tableColumn id="26" name="Cell 23" totalsRowFunction="sum" dataDxfId="2538" totalsRowDxfId="972" dataCellStyle="Normal 14 2"/>
    <tableColumn id="27" name="Cell 24" totalsRowFunction="sum" dataDxfId="2537" totalsRowDxfId="971" dataCellStyle="Normal 14 2"/>
    <tableColumn id="28" name="Cell 25" totalsRowFunction="sum" dataDxfId="2536" totalsRowDxfId="970" dataCellStyle="Normal 14 2"/>
    <tableColumn id="29" name="Cell 26" totalsRowFunction="sum" dataDxfId="2535" totalsRowDxfId="969" dataCellStyle="Normal 14 2"/>
    <tableColumn id="30" name="Cell 27" totalsRowFunction="sum" dataDxfId="2534" totalsRowDxfId="968" dataCellStyle="Normal 14 2"/>
    <tableColumn id="31" name="Cell 28" totalsRowFunction="sum" dataDxfId="2533" totalsRowDxfId="967" dataCellStyle="Normal 14 2"/>
    <tableColumn id="32" name="Cell 29" totalsRowFunction="sum" dataDxfId="2532" totalsRowDxfId="966" dataCellStyle="Normal 14 2"/>
    <tableColumn id="33" name="Cell 30" totalsRowFunction="sum" dataDxfId="2531" totalsRowDxfId="965" dataCellStyle="Normal 14 2"/>
    <tableColumn id="34" name="Cell 31" totalsRowFunction="sum" dataDxfId="2530" totalsRowDxfId="964" dataCellStyle="Normal 14 2"/>
    <tableColumn id="35" name="Cell 32" totalsRowFunction="sum" dataDxfId="2529" totalsRowDxfId="963" dataCellStyle="Normal 14 2"/>
    <tableColumn id="36" name="Cell 33" totalsRowFunction="sum" dataDxfId="2528" totalsRowDxfId="962" dataCellStyle="Normal 14 2"/>
    <tableColumn id="37" name="Cell 34" totalsRowFunction="sum" dataDxfId="2527" totalsRowDxfId="961" dataCellStyle="Normal 14 2"/>
    <tableColumn id="38" name="Cell 35" totalsRowFunction="sum" dataDxfId="2526" totalsRowDxfId="960" dataCellStyle="Normal 14 2"/>
    <tableColumn id="39" name="Cell 36" totalsRowFunction="sum" dataDxfId="2525" totalsRowDxfId="959" dataCellStyle="Normal 14 2"/>
    <tableColumn id="40" name="Cell 37" totalsRowFunction="sum" dataDxfId="2524" totalsRowDxfId="958" dataCellStyle="Normal 14 2"/>
    <tableColumn id="41" name="Cell 38" totalsRowFunction="sum" dataDxfId="2523" totalsRowDxfId="957" dataCellStyle="Normal 14 2"/>
    <tableColumn id="42" name="Cell 39" totalsRowFunction="sum" dataDxfId="2522" totalsRowDxfId="956" dataCellStyle="Normal 14 2"/>
    <tableColumn id="43" name="Cell 40" totalsRowFunction="sum" dataDxfId="2521" totalsRowDxfId="955" dataCellStyle="Normal 14 2"/>
    <tableColumn id="44" name="Cell 41" totalsRowFunction="sum" dataDxfId="2520" totalsRowDxfId="954" dataCellStyle="Normal 14 2"/>
    <tableColumn id="45" name="Cell 42" totalsRowFunction="sum" dataDxfId="2519" totalsRowDxfId="953" dataCellStyle="Normal 14 2"/>
    <tableColumn id="46" name="Cell 43" totalsRowFunction="sum" dataDxfId="2518" totalsRowDxfId="952" dataCellStyle="Normal 14 2"/>
    <tableColumn id="47" name="Cell 44" totalsRowFunction="sum" dataDxfId="2517" totalsRowDxfId="951" dataCellStyle="Normal 14 2"/>
    <tableColumn id="48" name="Cell 45" totalsRowFunction="sum" dataDxfId="2516" totalsRowDxfId="950" dataCellStyle="Normal 14 2"/>
    <tableColumn id="49" name="Cell 46" totalsRowFunction="sum" dataDxfId="2515" totalsRowDxfId="949" dataCellStyle="Normal 14 2"/>
    <tableColumn id="50" name="Cell 47" totalsRowFunction="sum" dataDxfId="2514" totalsRowDxfId="948" dataCellStyle="Normal 14 2"/>
    <tableColumn id="51" name="Cell 48" totalsRowFunction="sum" dataDxfId="2513" totalsRowDxfId="947" dataCellStyle="Normal 14 2"/>
    <tableColumn id="52" name="Cell 49" totalsRowFunction="sum" dataDxfId="2512" totalsRowDxfId="946" dataCellStyle="Normal 14 2"/>
    <tableColumn id="53" name="Cell 50" totalsRowFunction="sum" dataDxfId="2511" totalsRowDxfId="945" dataCellStyle="Normal 14 2"/>
    <tableColumn id="54" name="Cell 51" totalsRowFunction="sum" dataDxfId="2510" totalsRowDxfId="944" dataCellStyle="Normal 14 2"/>
    <tableColumn id="55" name="Cell 52" totalsRowFunction="sum" dataDxfId="2509" totalsRowDxfId="943" dataCellStyle="Normal 14 2"/>
    <tableColumn id="56" name="Cell 53" totalsRowFunction="sum" dataDxfId="2508" totalsRowDxfId="942" dataCellStyle="Normal 14 2"/>
    <tableColumn id="57" name="Cell 54" totalsRowFunction="sum" dataDxfId="2507" totalsRowDxfId="941" dataCellStyle="Normal 14 2"/>
    <tableColumn id="58" name="Cell 55" totalsRowFunction="sum" dataDxfId="2506" totalsRowDxfId="940" dataCellStyle="Normal 14 2"/>
    <tableColumn id="59" name="Cell 56" totalsRowFunction="sum" dataDxfId="2505" totalsRowDxfId="939" dataCellStyle="Normal 14 2"/>
    <tableColumn id="60" name="Cell 57" totalsRowFunction="sum" dataDxfId="2504" totalsRowDxfId="938" dataCellStyle="Normal 14 2"/>
    <tableColumn id="61" name="Cell 58" totalsRowFunction="sum" dataDxfId="2503" totalsRowDxfId="937" dataCellStyle="Normal 14 2"/>
    <tableColumn id="62" name="Cell 59" totalsRowFunction="sum" dataDxfId="2502" totalsRowDxfId="936" dataCellStyle="Normal 14 2"/>
    <tableColumn id="63" name="Cell 60" totalsRowFunction="sum" dataDxfId="2501" totalsRowDxfId="935" dataCellStyle="Normal 14 2"/>
    <tableColumn id="64" name="Cell 61" totalsRowFunction="sum" dataDxfId="2500" totalsRowDxfId="934" dataCellStyle="Normal 14 2"/>
    <tableColumn id="65" name="Cell 62" totalsRowFunction="sum" dataDxfId="2499" totalsRowDxfId="933" dataCellStyle="Normal 14 2"/>
    <tableColumn id="66" name="Cell 63" totalsRowFunction="sum" dataDxfId="2498" totalsRowDxfId="932" dataCellStyle="Normal 14 2"/>
    <tableColumn id="67" name="Cell 64" totalsRowFunction="sum" dataDxfId="2497" totalsRowDxfId="931" dataCellStyle="Normal 14 2"/>
    <tableColumn id="68" name="Cell 65" totalsRowFunction="sum" dataDxfId="2496" totalsRowDxfId="930" dataCellStyle="Normal 14 2"/>
    <tableColumn id="69" name="Cell 66" totalsRowFunction="sum" dataDxfId="2495" totalsRowDxfId="929" dataCellStyle="Normal 14 2"/>
    <tableColumn id="70" name="Cell 67" totalsRowFunction="sum" dataDxfId="2494" totalsRowDxfId="928" dataCellStyle="Normal 14 2"/>
    <tableColumn id="71" name="Cell 68" totalsRowFunction="sum" dataDxfId="2493" totalsRowDxfId="927" dataCellStyle="Normal 14 2"/>
    <tableColumn id="72" name="Cell 69" totalsRowFunction="sum" dataDxfId="2492" totalsRowDxfId="926" dataCellStyle="Normal 14 2"/>
    <tableColumn id="73" name="Cell 70" totalsRowFunction="sum" dataDxfId="2491" totalsRowDxfId="925" dataCellStyle="Normal 14 2"/>
    <tableColumn id="74" name="Cell 71" totalsRowFunction="sum" dataDxfId="2490" totalsRowDxfId="924" dataCellStyle="Normal 14 2"/>
    <tableColumn id="75" name="Cell 72" totalsRowFunction="sum" dataDxfId="2489" totalsRowDxfId="923" dataCellStyle="Normal 14 2"/>
    <tableColumn id="76" name="Cell 73" totalsRowFunction="sum" dataDxfId="2488" totalsRowDxfId="922" dataCellStyle="Normal 14 2"/>
    <tableColumn id="77" name="Cell 74" totalsRowFunction="sum" dataDxfId="2487" totalsRowDxfId="921" dataCellStyle="Normal 14 2"/>
    <tableColumn id="78" name="Cell 75" totalsRowFunction="sum" dataDxfId="2486" totalsRowDxfId="920" dataCellStyle="Normal 14 2"/>
    <tableColumn id="79" name="Cell 76" totalsRowFunction="sum" dataDxfId="2485" totalsRowDxfId="919" dataCellStyle="Normal 14 2"/>
    <tableColumn id="80" name="Cell 77" totalsRowFunction="sum" dataDxfId="2484" totalsRowDxfId="918" dataCellStyle="Normal 14 2"/>
    <tableColumn id="81" name="Cell 78" totalsRowFunction="sum" dataDxfId="2483" totalsRowDxfId="917" dataCellStyle="Normal 14 2"/>
    <tableColumn id="82" name="Cell 79" totalsRowFunction="sum" dataDxfId="2482" totalsRowDxfId="916" dataCellStyle="Normal 14 2"/>
    <tableColumn id="83" name="Cell 80" totalsRowFunction="sum" dataDxfId="2481" totalsRowDxfId="915" dataCellStyle="Normal 14 2"/>
    <tableColumn id="84" name="Cell 81" totalsRowFunction="sum" dataDxfId="2480" totalsRowDxfId="914" dataCellStyle="Normal 14 2"/>
    <tableColumn id="85" name="Cell 82" totalsRowFunction="sum" dataDxfId="2479" totalsRowDxfId="913" dataCellStyle="Normal 14 2"/>
    <tableColumn id="86" name="Cell 83" totalsRowFunction="sum" dataDxfId="2478" totalsRowDxfId="912" dataCellStyle="Normal 14 2"/>
    <tableColumn id="87" name="Cell 84" totalsRowFunction="sum" dataDxfId="2477" totalsRowDxfId="911" dataCellStyle="Normal 14 2"/>
    <tableColumn id="88" name="Cell 85" totalsRowFunction="sum" dataDxfId="2476" totalsRowDxfId="910" dataCellStyle="Normal 14 2"/>
    <tableColumn id="89" name="Cell 86" totalsRowFunction="sum" dataDxfId="2475" totalsRowDxfId="909" dataCellStyle="Normal 14 2"/>
    <tableColumn id="90" name="Cell 87" totalsRowFunction="sum" dataDxfId="2474" totalsRowDxfId="908" dataCellStyle="Normal 14 2"/>
    <tableColumn id="91" name="Cell 88" totalsRowFunction="sum" dataDxfId="2473" totalsRowDxfId="907" dataCellStyle="Normal 14 2"/>
    <tableColumn id="92" name="Cell 89" totalsRowFunction="sum" dataDxfId="2472" totalsRowDxfId="906" dataCellStyle="Normal 14 2"/>
    <tableColumn id="93" name="Cell 90" totalsRowFunction="sum" dataDxfId="2471" totalsRowDxfId="905" dataCellStyle="Normal 14 2"/>
    <tableColumn id="94" name="Cell 91" totalsRowFunction="sum" dataDxfId="2470" totalsRowDxfId="904" dataCellStyle="Normal 14 2"/>
    <tableColumn id="95" name="Cell 92" totalsRowFunction="sum" dataDxfId="2469" totalsRowDxfId="903" dataCellStyle="Normal 14 2"/>
    <tableColumn id="96" name="Cell 93" totalsRowFunction="sum" dataDxfId="2468" totalsRowDxfId="902" dataCellStyle="Normal 14 2"/>
    <tableColumn id="97" name="Cell 94" totalsRowFunction="sum" dataDxfId="2467" totalsRowDxfId="901" dataCellStyle="Normal 14 2"/>
    <tableColumn id="98" name="Cell 95" totalsRowFunction="sum" dataDxfId="2466" totalsRowDxfId="900" dataCellStyle="Normal 14 2"/>
    <tableColumn id="99" name="Cell 96" totalsRowFunction="sum" dataDxfId="2465" totalsRowDxfId="899" dataCellStyle="Normal 14 2"/>
    <tableColumn id="100" name="Cell 97" totalsRowFunction="sum" dataDxfId="2464" totalsRowDxfId="898" dataCellStyle="Normal 14 2"/>
    <tableColumn id="101" name="Cell 98" totalsRowFunction="sum" dataDxfId="2463" totalsRowDxfId="897" dataCellStyle="Normal 14 2"/>
    <tableColumn id="102" name="Cell 99" totalsRowFunction="sum" dataDxfId="2462" totalsRowDxfId="896" dataCellStyle="Normal 14 2"/>
    <tableColumn id="103" name="Cell 100" totalsRowFunction="sum" dataDxfId="2461" totalsRowDxfId="895" dataCellStyle="Normal 14 2"/>
    <tableColumn id="104" name="Cell 101" totalsRowFunction="sum" dataDxfId="2460" totalsRowDxfId="894" dataCellStyle="Normal 14 2"/>
    <tableColumn id="105" name="Cell 102" totalsRowFunction="sum" dataDxfId="2459" totalsRowDxfId="893" dataCellStyle="Normal 14 2"/>
    <tableColumn id="106" name="Cell 103" totalsRowFunction="sum" dataDxfId="2458" totalsRowDxfId="892" dataCellStyle="Normal 14 2"/>
    <tableColumn id="107" name="Cell 104" totalsRowFunction="sum" dataDxfId="2457" totalsRowDxfId="891" dataCellStyle="Normal 14 2"/>
    <tableColumn id="108" name="Cell 105" totalsRowFunction="sum" dataDxfId="2456" totalsRowDxfId="890" dataCellStyle="Normal 14 2"/>
    <tableColumn id="109" name="Cell 106" totalsRowFunction="sum" dataDxfId="2455" totalsRowDxfId="889" dataCellStyle="Normal 14 2"/>
    <tableColumn id="110" name="Cell 107" totalsRowFunction="sum" dataDxfId="2454" totalsRowDxfId="888" dataCellStyle="Normal 14 2"/>
    <tableColumn id="111" name="Cell 108" totalsRowFunction="sum" dataDxfId="2453" totalsRowDxfId="887" dataCellStyle="Normal 14 2"/>
    <tableColumn id="112" name="Cell 109" totalsRowFunction="sum" dataDxfId="2452" totalsRowDxfId="886" dataCellStyle="Normal 14 2"/>
    <tableColumn id="113" name="Cell 110" totalsRowFunction="sum" dataDxfId="2451" totalsRowDxfId="885" dataCellStyle="Normal 14 2"/>
    <tableColumn id="114" name="Cell 111" totalsRowFunction="sum" dataDxfId="2450" totalsRowDxfId="884" dataCellStyle="Normal 14 2"/>
    <tableColumn id="115" name="Cell 112" totalsRowFunction="sum" dataDxfId="2449" totalsRowDxfId="883" dataCellStyle="Normal 14 2"/>
    <tableColumn id="116" name="Cell 113" totalsRowFunction="sum" dataDxfId="2448" totalsRowDxfId="882" dataCellStyle="Normal 14 2"/>
    <tableColumn id="117" name="Cell 114" totalsRowFunction="sum" dataDxfId="2447" totalsRowDxfId="881" dataCellStyle="Normal 14 2"/>
    <tableColumn id="118" name="Cell 115" totalsRowFunction="sum" dataDxfId="2446" totalsRowDxfId="880" dataCellStyle="Normal 14 2"/>
    <tableColumn id="119" name="Cell 116" totalsRowFunction="sum" dataDxfId="2445" totalsRowDxfId="879" dataCellStyle="Normal 14 2"/>
    <tableColumn id="120" name="Cell 117" totalsRowFunction="sum" dataDxfId="2444" totalsRowDxfId="878" dataCellStyle="Normal 14 2"/>
    <tableColumn id="121" name="Cell 118" totalsRowFunction="sum" dataDxfId="2443" totalsRowDxfId="877" dataCellStyle="Normal 14 2"/>
    <tableColumn id="122" name="Cell 119" totalsRowFunction="sum" dataDxfId="2442" totalsRowDxfId="876" dataCellStyle="Normal 14 2"/>
    <tableColumn id="123" name="Cell 120" totalsRowFunction="sum" dataDxfId="2441" totalsRowDxfId="875" dataCellStyle="Normal 14 2"/>
    <tableColumn id="124" name="Cell 121" totalsRowFunction="sum" dataDxfId="2440" totalsRowDxfId="874" dataCellStyle="Normal 14 2"/>
    <tableColumn id="125" name="Cell 122" totalsRowFunction="sum" dataDxfId="2439" totalsRowDxfId="873" dataCellStyle="Normal 14 2"/>
    <tableColumn id="126" name="Cell 123" totalsRowFunction="sum" dataDxfId="2438" totalsRowDxfId="872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All counties reporting."/>
    </ext>
  </extLst>
</table>
</file>

<file path=xl/tables/table7.xml><?xml version="1.0" encoding="utf-8"?>
<table xmlns="http://schemas.openxmlformats.org/spreadsheetml/2006/main" id="7" name="Dec16Data" displayName="Dec16Data" ref="A5:DT64" totalsRowCount="1" headerRowDxfId="2437" dataDxfId="2436" totalsRowDxfId="746" headerRowBorderDxfId="2434" tableBorderDxfId="2435" totalsRowBorderDxfId="2433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2432" totalsRowDxfId="870" dataCellStyle="Normal 14 2"/>
    <tableColumn id="4" name="Cell 1" totalsRowFunction="sum" dataDxfId="2431" totalsRowDxfId="869" dataCellStyle="Normal 14 2"/>
    <tableColumn id="5" name="Cell 2" totalsRowFunction="sum" dataDxfId="2430" totalsRowDxfId="868" dataCellStyle="Normal 14 2"/>
    <tableColumn id="6" name="Cell 3" totalsRowFunction="sum" dataDxfId="2429" totalsRowDxfId="867" dataCellStyle="Normal 14 2"/>
    <tableColumn id="7" name="Cell 4" totalsRowFunction="sum" dataDxfId="2428" totalsRowDxfId="866" dataCellStyle="Normal 14 2"/>
    <tableColumn id="8" name="Cell 5" totalsRowFunction="sum" dataDxfId="2427" totalsRowDxfId="865" dataCellStyle="Normal 14 2"/>
    <tableColumn id="9" name="Cell 6" totalsRowFunction="sum" dataDxfId="2426" totalsRowDxfId="864" dataCellStyle="Normal 14 2"/>
    <tableColumn id="10" name="Cell 7" totalsRowFunction="sum" dataDxfId="2425" totalsRowDxfId="863" dataCellStyle="Normal 14 2"/>
    <tableColumn id="11" name="Cell 8" totalsRowFunction="sum" dataDxfId="2424" totalsRowDxfId="862" dataCellStyle="Normal 14 2"/>
    <tableColumn id="12" name="Cell 9" totalsRowFunction="sum" dataDxfId="2423" totalsRowDxfId="861" dataCellStyle="Normal 14 2"/>
    <tableColumn id="13" name="Cell 10" totalsRowFunction="sum" dataDxfId="2422" totalsRowDxfId="860" dataCellStyle="Normal 14 2"/>
    <tableColumn id="14" name="Cell 11" totalsRowFunction="sum" dataDxfId="2421" totalsRowDxfId="859" dataCellStyle="Normal 14 2"/>
    <tableColumn id="15" name="Cell 12" totalsRowFunction="sum" dataDxfId="2420" totalsRowDxfId="858" dataCellStyle="Normal 14 2"/>
    <tableColumn id="16" name="Cell 13" totalsRowFunction="sum" dataDxfId="2419" totalsRowDxfId="857" dataCellStyle="Normal 14 2"/>
    <tableColumn id="17" name="Cell 14" totalsRowFunction="sum" dataDxfId="2418" totalsRowDxfId="856" dataCellStyle="Normal 14 2"/>
    <tableColumn id="18" name="Cell 15" totalsRowFunction="sum" dataDxfId="2417" totalsRowDxfId="855" dataCellStyle="Normal 14 2"/>
    <tableColumn id="19" name="Cell 16" totalsRowFunction="sum" dataDxfId="2416" totalsRowDxfId="854" dataCellStyle="Normal 14 2"/>
    <tableColumn id="20" name="Cell 17" totalsRowFunction="sum" dataDxfId="2415" totalsRowDxfId="853" dataCellStyle="Normal 14 2"/>
    <tableColumn id="21" name="Cell 18" totalsRowFunction="sum" dataDxfId="2414" totalsRowDxfId="852" dataCellStyle="Normal 14 2"/>
    <tableColumn id="22" name="Cell 19" totalsRowFunction="sum" dataDxfId="2413" totalsRowDxfId="851" dataCellStyle="Normal 14 2"/>
    <tableColumn id="23" name="Cell 20" totalsRowFunction="sum" dataDxfId="2412" totalsRowDxfId="850" dataCellStyle="Normal 14 2"/>
    <tableColumn id="24" name="Cell 21" totalsRowFunction="sum" dataDxfId="2411" totalsRowDxfId="849" dataCellStyle="Normal 14 2"/>
    <tableColumn id="25" name="Cell 22" totalsRowFunction="sum" dataDxfId="2410" totalsRowDxfId="848" dataCellStyle="Normal 14 2"/>
    <tableColumn id="26" name="Cell 23" totalsRowFunction="sum" dataDxfId="2409" totalsRowDxfId="847" dataCellStyle="Normal 14 2"/>
    <tableColumn id="27" name="Cell 24" totalsRowFunction="sum" dataDxfId="2408" totalsRowDxfId="846" dataCellStyle="Normal 14 2"/>
    <tableColumn id="28" name="Cell 25" totalsRowFunction="sum" dataDxfId="2407" totalsRowDxfId="845" dataCellStyle="Normal 14 2"/>
    <tableColumn id="29" name="Cell 26" totalsRowFunction="sum" dataDxfId="2406" totalsRowDxfId="844" dataCellStyle="Normal 14 2"/>
    <tableColumn id="30" name="Cell 27" totalsRowFunction="sum" dataDxfId="2405" totalsRowDxfId="843" dataCellStyle="Normal 14 2"/>
    <tableColumn id="31" name="Cell 28" totalsRowFunction="sum" dataDxfId="2404" totalsRowDxfId="842" dataCellStyle="Normal 14 2"/>
    <tableColumn id="32" name="Cell 29" totalsRowFunction="sum" dataDxfId="2403" totalsRowDxfId="841" dataCellStyle="Normal 14 2"/>
    <tableColumn id="33" name="Cell 30" totalsRowFunction="sum" dataDxfId="2402" totalsRowDxfId="840" dataCellStyle="Normal 14 2"/>
    <tableColumn id="34" name="Cell 31" totalsRowFunction="sum" dataDxfId="2401" totalsRowDxfId="839" dataCellStyle="Normal 14 2"/>
    <tableColumn id="35" name="Cell 32" totalsRowFunction="sum" dataDxfId="2400" totalsRowDxfId="838" dataCellStyle="Normal 14 2"/>
    <tableColumn id="36" name="Cell 33" totalsRowFunction="sum" dataDxfId="2399" totalsRowDxfId="837" dataCellStyle="Normal 14 2"/>
    <tableColumn id="37" name="Cell 34" totalsRowFunction="sum" dataDxfId="2398" totalsRowDxfId="836" dataCellStyle="Normal 14 2"/>
    <tableColumn id="38" name="Cell 35" totalsRowFunction="sum" dataDxfId="2397" totalsRowDxfId="835" dataCellStyle="Normal 14 2"/>
    <tableColumn id="39" name="Cell 36" totalsRowFunction="sum" dataDxfId="2396" totalsRowDxfId="834" dataCellStyle="Normal 14 2"/>
    <tableColumn id="40" name="Cell 37" totalsRowFunction="sum" dataDxfId="2395" totalsRowDxfId="833" dataCellStyle="Normal 14 2"/>
    <tableColumn id="41" name="Cell 38" totalsRowFunction="sum" dataDxfId="2394" totalsRowDxfId="832" dataCellStyle="Normal 14 2"/>
    <tableColumn id="42" name="Cell 39" totalsRowFunction="sum" dataDxfId="2393" totalsRowDxfId="831" dataCellStyle="Normal 14 2"/>
    <tableColumn id="43" name="Cell 40" totalsRowFunction="sum" dataDxfId="2392" totalsRowDxfId="830" dataCellStyle="Normal 14 2"/>
    <tableColumn id="44" name="Cell 41" totalsRowFunction="sum" dataDxfId="2391" totalsRowDxfId="829" dataCellStyle="Normal 14 2"/>
    <tableColumn id="45" name="Cell 42" totalsRowFunction="sum" dataDxfId="2390" totalsRowDxfId="828" dataCellStyle="Normal 14 2"/>
    <tableColumn id="46" name="Cell 43" totalsRowFunction="sum" dataDxfId="2389" totalsRowDxfId="827" dataCellStyle="Normal 14 2"/>
    <tableColumn id="47" name="Cell 44" totalsRowFunction="sum" dataDxfId="2388" totalsRowDxfId="826" dataCellStyle="Normal 14 2"/>
    <tableColumn id="48" name="Cell 45" totalsRowFunction="sum" dataDxfId="2387" totalsRowDxfId="825" dataCellStyle="Normal 14 2"/>
    <tableColumn id="49" name="Cell 46" totalsRowFunction="sum" dataDxfId="2386" totalsRowDxfId="824" dataCellStyle="Normal 14 2"/>
    <tableColumn id="50" name="Cell 47" totalsRowFunction="sum" dataDxfId="2385" totalsRowDxfId="823" dataCellStyle="Normal 14 2"/>
    <tableColumn id="51" name="Cell 48" totalsRowFunction="sum" dataDxfId="2384" totalsRowDxfId="822" dataCellStyle="Normal 14 2"/>
    <tableColumn id="52" name="Cell 49" totalsRowFunction="sum" dataDxfId="2383" totalsRowDxfId="821" dataCellStyle="Normal 14 2"/>
    <tableColumn id="53" name="Cell 50" totalsRowFunction="sum" dataDxfId="2382" totalsRowDxfId="820" dataCellStyle="Normal 14 2"/>
    <tableColumn id="54" name="Cell 51" totalsRowFunction="sum" dataDxfId="2381" totalsRowDxfId="819" dataCellStyle="Normal 14 2"/>
    <tableColumn id="55" name="Cell 52" totalsRowFunction="sum" dataDxfId="2380" totalsRowDxfId="818" dataCellStyle="Normal 14 2"/>
    <tableColumn id="56" name="Cell 53" totalsRowFunction="sum" dataDxfId="2379" totalsRowDxfId="817" dataCellStyle="Normal 14 2"/>
    <tableColumn id="57" name="Cell 54" totalsRowFunction="sum" dataDxfId="2378" totalsRowDxfId="816" dataCellStyle="Normal 14 2"/>
    <tableColumn id="58" name="Cell 55" totalsRowFunction="sum" dataDxfId="2377" totalsRowDxfId="815" dataCellStyle="Normal 14 2"/>
    <tableColumn id="59" name="Cell 56" totalsRowFunction="sum" dataDxfId="2376" totalsRowDxfId="814" dataCellStyle="Normal 14 2"/>
    <tableColumn id="60" name="Cell 57" totalsRowFunction="sum" dataDxfId="2375" totalsRowDxfId="813" dataCellStyle="Normal 14 2"/>
    <tableColumn id="61" name="Cell 58" totalsRowFunction="sum" dataDxfId="2374" totalsRowDxfId="812" dataCellStyle="Normal 14 2"/>
    <tableColumn id="62" name="Cell 59" totalsRowFunction="sum" dataDxfId="2373" totalsRowDxfId="811" dataCellStyle="Normal 14 2"/>
    <tableColumn id="63" name="Cell 60" totalsRowFunction="sum" dataDxfId="2372" totalsRowDxfId="810" dataCellStyle="Normal 14 2"/>
    <tableColumn id="64" name="Cell 61" totalsRowFunction="sum" dataDxfId="2371" totalsRowDxfId="809" dataCellStyle="Normal 14 2"/>
    <tableColumn id="65" name="Cell 62" totalsRowFunction="sum" dataDxfId="2370" totalsRowDxfId="808" dataCellStyle="Normal 14 2"/>
    <tableColumn id="66" name="Cell 63" totalsRowFunction="sum" dataDxfId="2369" totalsRowDxfId="807" dataCellStyle="Normal 14 2"/>
    <tableColumn id="67" name="Cell 64" totalsRowFunction="sum" dataDxfId="2368" totalsRowDxfId="806" dataCellStyle="Normal 14 2"/>
    <tableColumn id="68" name="Cell 65" totalsRowFunction="sum" dataDxfId="2367" totalsRowDxfId="805" dataCellStyle="Normal 14 2"/>
    <tableColumn id="69" name="Cell 66" totalsRowFunction="sum" dataDxfId="2366" totalsRowDxfId="804" dataCellStyle="Normal 14 2"/>
    <tableColumn id="70" name="Cell 67" totalsRowFunction="sum" dataDxfId="2365" totalsRowDxfId="803" dataCellStyle="Normal 14 2"/>
    <tableColumn id="71" name="Cell 68" totalsRowFunction="sum" dataDxfId="2364" totalsRowDxfId="802" dataCellStyle="Normal 14 2"/>
    <tableColumn id="72" name="Cell 69" totalsRowFunction="sum" dataDxfId="2363" totalsRowDxfId="801" dataCellStyle="Normal 14 2"/>
    <tableColumn id="73" name="Cell 70" totalsRowFunction="sum" dataDxfId="2362" totalsRowDxfId="800" dataCellStyle="Normal 14 2"/>
    <tableColumn id="74" name="Cell 71" totalsRowFunction="sum" dataDxfId="2361" totalsRowDxfId="799" dataCellStyle="Normal 14 2"/>
    <tableColumn id="75" name="Cell 72" totalsRowFunction="sum" dataDxfId="2360" totalsRowDxfId="798" dataCellStyle="Normal 14 2"/>
    <tableColumn id="76" name="Cell 73" totalsRowFunction="sum" dataDxfId="2359" totalsRowDxfId="797" dataCellStyle="Normal 14 2"/>
    <tableColumn id="77" name="Cell 74" totalsRowFunction="sum" dataDxfId="2358" totalsRowDxfId="796" dataCellStyle="Normal 14 2"/>
    <tableColumn id="78" name="Cell 75" totalsRowFunction="sum" dataDxfId="2357" totalsRowDxfId="795" dataCellStyle="Normal 14 2"/>
    <tableColumn id="79" name="Cell 76" totalsRowFunction="sum" dataDxfId="2356" totalsRowDxfId="794" dataCellStyle="Normal 14 2"/>
    <tableColumn id="80" name="Cell 77" totalsRowFunction="sum" dataDxfId="2355" totalsRowDxfId="793" dataCellStyle="Normal 14 2"/>
    <tableColumn id="81" name="Cell 78" totalsRowFunction="sum" dataDxfId="2354" totalsRowDxfId="792" dataCellStyle="Normal 14 2"/>
    <tableColumn id="82" name="Cell 79" totalsRowFunction="sum" dataDxfId="2353" totalsRowDxfId="791" dataCellStyle="Normal 14 2"/>
    <tableColumn id="83" name="Cell 80" totalsRowFunction="sum" dataDxfId="2352" totalsRowDxfId="790" dataCellStyle="Normal 14 2"/>
    <tableColumn id="84" name="Cell 81" totalsRowFunction="sum" dataDxfId="2351" totalsRowDxfId="789" dataCellStyle="Normal 14 2"/>
    <tableColumn id="85" name="Cell 82" totalsRowFunction="sum" dataDxfId="2350" totalsRowDxfId="788" dataCellStyle="Normal 14 2"/>
    <tableColumn id="86" name="Cell 83" totalsRowFunction="sum" dataDxfId="2349" totalsRowDxfId="787" dataCellStyle="Normal 14 2"/>
    <tableColumn id="87" name="Cell 84" totalsRowFunction="sum" dataDxfId="2348" totalsRowDxfId="786" dataCellStyle="Normal 14 2"/>
    <tableColumn id="88" name="Cell 85" totalsRowFunction="sum" dataDxfId="2347" totalsRowDxfId="785" dataCellStyle="Normal 14 2"/>
    <tableColumn id="89" name="Cell 86" totalsRowFunction="sum" dataDxfId="2346" totalsRowDxfId="784" dataCellStyle="Normal 14 2"/>
    <tableColumn id="90" name="Cell 87" totalsRowFunction="sum" dataDxfId="2345" totalsRowDxfId="783" dataCellStyle="Normal 14 2"/>
    <tableColumn id="91" name="Cell 88" totalsRowFunction="sum" dataDxfId="2344" totalsRowDxfId="782" dataCellStyle="Normal 14 2"/>
    <tableColumn id="92" name="Cell 89" totalsRowFunction="sum" dataDxfId="2343" totalsRowDxfId="781" dataCellStyle="Normal 14 2"/>
    <tableColumn id="93" name="Cell 90" totalsRowFunction="sum" dataDxfId="2342" totalsRowDxfId="780" dataCellStyle="Normal 14 2"/>
    <tableColumn id="94" name="Cell 91" totalsRowFunction="sum" dataDxfId="2341" totalsRowDxfId="779" dataCellStyle="Normal 14 2"/>
    <tableColumn id="95" name="Cell 92" totalsRowFunction="sum" dataDxfId="2340" totalsRowDxfId="778" dataCellStyle="Normal 14 2"/>
    <tableColumn id="96" name="Cell 93" totalsRowFunction="sum" dataDxfId="2339" totalsRowDxfId="777" dataCellStyle="Normal 14 2"/>
    <tableColumn id="97" name="Cell 94" totalsRowFunction="sum" dataDxfId="2338" totalsRowDxfId="776" dataCellStyle="Normal 14 2"/>
    <tableColumn id="98" name="Cell 95" totalsRowFunction="sum" dataDxfId="2337" totalsRowDxfId="775" dataCellStyle="Normal 14 2"/>
    <tableColumn id="99" name="Cell 96" totalsRowFunction="sum" dataDxfId="2336" totalsRowDxfId="774" dataCellStyle="Normal 14 2"/>
    <tableColumn id="100" name="Cell 97" totalsRowFunction="sum" dataDxfId="2335" totalsRowDxfId="773" dataCellStyle="Normal 14 2"/>
    <tableColumn id="101" name="Cell 98" totalsRowFunction="sum" dataDxfId="2334" totalsRowDxfId="772" dataCellStyle="Normal 14 2"/>
    <tableColumn id="102" name="Cell 99" totalsRowFunction="sum" dataDxfId="2333" totalsRowDxfId="771" dataCellStyle="Normal 14 2"/>
    <tableColumn id="103" name="Cell 100" totalsRowFunction="sum" dataDxfId="2332" totalsRowDxfId="770" dataCellStyle="Normal 14 2"/>
    <tableColumn id="104" name="Cell 101" totalsRowFunction="sum" dataDxfId="2331" totalsRowDxfId="769" dataCellStyle="Normal 14 2"/>
    <tableColumn id="105" name="Cell 102" totalsRowFunction="sum" dataDxfId="2330" totalsRowDxfId="768" dataCellStyle="Normal 14 2"/>
    <tableColumn id="106" name="Cell 103" totalsRowFunction="sum" dataDxfId="2329" totalsRowDxfId="767" dataCellStyle="Normal 14 2"/>
    <tableColumn id="107" name="Cell 104" totalsRowFunction="sum" dataDxfId="2328" totalsRowDxfId="766" dataCellStyle="Normal 14 2"/>
    <tableColumn id="108" name="Cell 105" totalsRowFunction="sum" dataDxfId="2327" totalsRowDxfId="765" dataCellStyle="Normal 14 2"/>
    <tableColumn id="109" name="Cell 106" totalsRowFunction="sum" dataDxfId="2326" totalsRowDxfId="764" dataCellStyle="Normal 14 2"/>
    <tableColumn id="110" name="Cell 107" totalsRowFunction="sum" dataDxfId="2325" totalsRowDxfId="763" dataCellStyle="Normal 14 2"/>
    <tableColumn id="111" name="Cell 108" totalsRowFunction="sum" dataDxfId="2324" totalsRowDxfId="762" dataCellStyle="Normal 14 2"/>
    <tableColumn id="112" name="Cell 109" totalsRowFunction="sum" dataDxfId="2323" totalsRowDxfId="761" dataCellStyle="Normal 14 2"/>
    <tableColumn id="113" name="Cell 110" totalsRowFunction="sum" dataDxfId="2322" totalsRowDxfId="760" dataCellStyle="Normal 14 2"/>
    <tableColumn id="114" name="Cell 111" totalsRowFunction="sum" dataDxfId="2321" totalsRowDxfId="759" dataCellStyle="Normal 14 2"/>
    <tableColumn id="115" name="Cell 112" totalsRowFunction="sum" dataDxfId="2320" totalsRowDxfId="758" dataCellStyle="Normal 14 2"/>
    <tableColumn id="116" name="Cell 113" totalsRowFunction="sum" dataDxfId="2319" totalsRowDxfId="757" dataCellStyle="Normal 14 2"/>
    <tableColumn id="117" name="Cell 114" totalsRowFunction="sum" dataDxfId="2318" totalsRowDxfId="756" dataCellStyle="Normal 14 2"/>
    <tableColumn id="118" name="Cell 115" totalsRowFunction="sum" dataDxfId="2317" totalsRowDxfId="755" dataCellStyle="Normal 14 2"/>
    <tableColumn id="119" name="Cell 116" totalsRowFunction="sum" dataDxfId="2316" totalsRowDxfId="754" dataCellStyle="Normal 14 2"/>
    <tableColumn id="120" name="Cell 117" totalsRowFunction="sum" dataDxfId="2315" totalsRowDxfId="753" dataCellStyle="Normal 14 2"/>
    <tableColumn id="121" name="Cell 118" totalsRowFunction="sum" dataDxfId="2314" totalsRowDxfId="752" dataCellStyle="Normal 14 2"/>
    <tableColumn id="122" name="Cell 119" totalsRowFunction="sum" dataDxfId="2313" totalsRowDxfId="751" dataCellStyle="Normal 14 2"/>
    <tableColumn id="123" name="Cell 120" totalsRowFunction="sum" dataDxfId="2312" totalsRowDxfId="750" dataCellStyle="Normal 14 2"/>
    <tableColumn id="124" name="Cell 121" totalsRowFunction="sum" dataDxfId="2311" totalsRowDxfId="749" dataCellStyle="Normal 14 2"/>
    <tableColumn id="125" name="Cell 122" totalsRowFunction="sum" dataDxfId="2310" totalsRowDxfId="748" dataCellStyle="Normal 14 2"/>
    <tableColumn id="126" name="Cell 123" totalsRowFunction="sum" dataDxfId="2309" totalsRowDxfId="747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All counties reporting."/>
    </ext>
  </extLst>
</table>
</file>

<file path=xl/tables/table8.xml><?xml version="1.0" encoding="utf-8"?>
<table xmlns="http://schemas.openxmlformats.org/spreadsheetml/2006/main" id="8" name="Jan17Data" displayName="Jan17Data" ref="A5:DT64" totalsRowCount="1" headerRowDxfId="2308" dataDxfId="2307" totalsRowDxfId="621" headerRowBorderDxfId="2305" tableBorderDxfId="2306" totalsRowBorderDxfId="2304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2303" totalsRowDxfId="745" dataCellStyle="Normal 14 2"/>
    <tableColumn id="4" name="Cell 1" totalsRowFunction="sum" dataDxfId="2302" totalsRowDxfId="744" dataCellStyle="Normal 14 2"/>
    <tableColumn id="5" name="Cell 2" totalsRowFunction="sum" dataDxfId="2301" totalsRowDxfId="743" dataCellStyle="Normal 14 2"/>
    <tableColumn id="6" name="Cell 3" totalsRowFunction="sum" dataDxfId="2300" totalsRowDxfId="742" dataCellStyle="Normal 14 2"/>
    <tableColumn id="7" name="Cell 4" totalsRowFunction="sum" dataDxfId="2299" totalsRowDxfId="741" dataCellStyle="Normal 14 2"/>
    <tableColumn id="8" name="Cell 5" totalsRowFunction="sum" dataDxfId="2298" totalsRowDxfId="740" dataCellStyle="Normal 14 2"/>
    <tableColumn id="9" name="Cell 6" totalsRowFunction="sum" dataDxfId="2297" totalsRowDxfId="739" dataCellStyle="Normal 14 2"/>
    <tableColumn id="10" name="Cell 7" totalsRowFunction="sum" dataDxfId="2296" totalsRowDxfId="738" dataCellStyle="Normal 14 2"/>
    <tableColumn id="11" name="Cell 8" totalsRowFunction="sum" dataDxfId="2295" totalsRowDxfId="737" dataCellStyle="Normal 14 2"/>
    <tableColumn id="12" name="Cell 9" totalsRowFunction="sum" dataDxfId="2294" totalsRowDxfId="736" dataCellStyle="Normal 14 2"/>
    <tableColumn id="13" name="Cell 10" totalsRowFunction="sum" dataDxfId="2293" totalsRowDxfId="735" dataCellStyle="Normal 14 2"/>
    <tableColumn id="14" name="Cell 11" totalsRowFunction="sum" dataDxfId="2292" totalsRowDxfId="734" dataCellStyle="Normal 14 2"/>
    <tableColumn id="15" name="Cell 12" totalsRowFunction="sum" dataDxfId="2291" totalsRowDxfId="733" dataCellStyle="Normal 14 2"/>
    <tableColumn id="16" name="Cell 13" totalsRowFunction="sum" dataDxfId="2290" totalsRowDxfId="732" dataCellStyle="Normal 14 2"/>
    <tableColumn id="17" name="Cell 14" totalsRowFunction="sum" dataDxfId="2289" totalsRowDxfId="731" dataCellStyle="Normal 14 2"/>
    <tableColumn id="18" name="Cell 15" totalsRowFunction="sum" dataDxfId="2288" totalsRowDxfId="730" dataCellStyle="Normal 14 2"/>
    <tableColumn id="19" name="Cell 16" totalsRowFunction="sum" dataDxfId="2287" totalsRowDxfId="729" dataCellStyle="Normal 14 2"/>
    <tableColumn id="20" name="Cell 17" totalsRowFunction="sum" dataDxfId="2286" totalsRowDxfId="728" dataCellStyle="Normal 14 2"/>
    <tableColumn id="21" name="Cell 18" totalsRowFunction="sum" dataDxfId="2285" totalsRowDxfId="727" dataCellStyle="Normal 14 2"/>
    <tableColumn id="22" name="Cell 19" totalsRowFunction="sum" dataDxfId="2284" totalsRowDxfId="726" dataCellStyle="Normal 14 2"/>
    <tableColumn id="23" name="Cell 20" totalsRowFunction="sum" dataDxfId="2283" totalsRowDxfId="725" dataCellStyle="Normal 14 2"/>
    <tableColumn id="24" name="Cell 21" totalsRowFunction="sum" dataDxfId="2282" totalsRowDxfId="724" dataCellStyle="Normal 14 2"/>
    <tableColumn id="25" name="Cell 22" totalsRowFunction="sum" dataDxfId="2281" totalsRowDxfId="723" dataCellStyle="Normal 14 2"/>
    <tableColumn id="26" name="Cell 23" totalsRowFunction="sum" dataDxfId="2280" totalsRowDxfId="722" dataCellStyle="Normal 14 2"/>
    <tableColumn id="27" name="Cell 24" totalsRowFunction="sum" dataDxfId="2279" totalsRowDxfId="721" dataCellStyle="Normal 14 2"/>
    <tableColumn id="28" name="Cell 25" totalsRowFunction="sum" dataDxfId="2278" totalsRowDxfId="720" dataCellStyle="Normal 14 2"/>
    <tableColumn id="29" name="Cell 26" totalsRowFunction="sum" dataDxfId="2277" totalsRowDxfId="719" dataCellStyle="Normal 14 2"/>
    <tableColumn id="30" name="Cell 27" totalsRowFunction="sum" dataDxfId="2276" totalsRowDxfId="718" dataCellStyle="Normal 14 2"/>
    <tableColumn id="31" name="Cell 28" totalsRowFunction="sum" dataDxfId="2275" totalsRowDxfId="717" dataCellStyle="Normal 14 2"/>
    <tableColumn id="32" name="Cell 29" totalsRowFunction="sum" dataDxfId="2274" totalsRowDxfId="716" dataCellStyle="Normal 14 2"/>
    <tableColumn id="33" name="Cell 30" totalsRowFunction="sum" dataDxfId="2273" totalsRowDxfId="715" dataCellStyle="Normal 14 2"/>
    <tableColumn id="34" name="Cell 31" totalsRowFunction="sum" dataDxfId="2272" totalsRowDxfId="714" dataCellStyle="Normal 14 2"/>
    <tableColumn id="35" name="Cell 32" totalsRowFunction="sum" dataDxfId="2271" totalsRowDxfId="713" dataCellStyle="Normal 14 2"/>
    <tableColumn id="36" name="Cell 33" totalsRowFunction="sum" dataDxfId="2270" totalsRowDxfId="712" dataCellStyle="Normal 14 2"/>
    <tableColumn id="37" name="Cell 34" totalsRowFunction="sum" dataDxfId="2269" totalsRowDxfId="711" dataCellStyle="Normal 14 2"/>
    <tableColumn id="38" name="Cell 35" totalsRowFunction="sum" dataDxfId="2268" totalsRowDxfId="710" dataCellStyle="Normal 14 2"/>
    <tableColumn id="39" name="Cell 36" totalsRowFunction="sum" dataDxfId="2267" totalsRowDxfId="709" dataCellStyle="Normal 14 2"/>
    <tableColumn id="40" name="Cell 37" totalsRowFunction="sum" dataDxfId="2266" totalsRowDxfId="708" dataCellStyle="Normal 14 2"/>
    <tableColumn id="41" name="Cell 38" totalsRowFunction="sum" dataDxfId="2265" totalsRowDxfId="707" dataCellStyle="Normal 14 2"/>
    <tableColumn id="42" name="Cell 39" totalsRowFunction="sum" dataDxfId="2264" totalsRowDxfId="706" dataCellStyle="Normal 14 2"/>
    <tableColumn id="43" name="Cell 40" totalsRowFunction="sum" dataDxfId="2263" totalsRowDxfId="705" dataCellStyle="Normal 14 2"/>
    <tableColumn id="44" name="Cell 41" totalsRowFunction="sum" dataDxfId="2262" totalsRowDxfId="704" dataCellStyle="Normal 14 2"/>
    <tableColumn id="45" name="Cell 42" totalsRowFunction="sum" dataDxfId="2261" totalsRowDxfId="703" dataCellStyle="Normal 14 2"/>
    <tableColumn id="46" name="Cell 43" totalsRowFunction="sum" dataDxfId="2260" totalsRowDxfId="702" dataCellStyle="Normal 14 2"/>
    <tableColumn id="47" name="Cell 44" totalsRowFunction="sum" dataDxfId="2259" totalsRowDxfId="701" dataCellStyle="Normal 14 2"/>
    <tableColumn id="48" name="Cell 45" totalsRowFunction="sum" dataDxfId="2258" totalsRowDxfId="700" dataCellStyle="Normal 14 2"/>
    <tableColumn id="49" name="Cell 46" totalsRowFunction="sum" dataDxfId="2257" totalsRowDxfId="699" dataCellStyle="Normal 14 2"/>
    <tableColumn id="50" name="Cell 47" totalsRowFunction="sum" dataDxfId="2256" totalsRowDxfId="698" dataCellStyle="Normal 14 2"/>
    <tableColumn id="51" name="Cell 48" totalsRowFunction="sum" dataDxfId="2255" totalsRowDxfId="697" dataCellStyle="Normal 14 2"/>
    <tableColumn id="52" name="Cell 49" totalsRowFunction="sum" dataDxfId="2254" totalsRowDxfId="696" dataCellStyle="Normal 14 2"/>
    <tableColumn id="53" name="Cell 50" totalsRowFunction="sum" dataDxfId="2253" totalsRowDxfId="695" dataCellStyle="Normal 14 2"/>
    <tableColumn id="54" name="Cell 51" totalsRowFunction="sum" dataDxfId="2252" totalsRowDxfId="694" dataCellStyle="Normal 14 2"/>
    <tableColumn id="55" name="Cell 52" totalsRowFunction="sum" dataDxfId="2251" totalsRowDxfId="693" dataCellStyle="Normal 14 2"/>
    <tableColumn id="56" name="Cell 53" totalsRowFunction="sum" dataDxfId="2250" totalsRowDxfId="692" dataCellStyle="Normal 14 2"/>
    <tableColumn id="57" name="Cell 54" totalsRowFunction="sum" dataDxfId="2249" totalsRowDxfId="691" dataCellStyle="Normal 14 2"/>
    <tableColumn id="58" name="Cell 55" totalsRowFunction="sum" dataDxfId="2248" totalsRowDxfId="690" dataCellStyle="Normal 14 2"/>
    <tableColumn id="59" name="Cell 56" totalsRowFunction="sum" dataDxfId="2247" totalsRowDxfId="689" dataCellStyle="Normal 14 2"/>
    <tableColumn id="60" name="Cell 57" totalsRowFunction="sum" dataDxfId="2246" totalsRowDxfId="688" dataCellStyle="Normal 14 2"/>
    <tableColumn id="61" name="Cell 58" totalsRowFunction="sum" dataDxfId="2245" totalsRowDxfId="687" dataCellStyle="Normal 14 2"/>
    <tableColumn id="62" name="Cell 59" totalsRowFunction="sum" dataDxfId="2244" totalsRowDxfId="686" dataCellStyle="Normal 14 2"/>
    <tableColumn id="63" name="Cell 60" totalsRowFunction="sum" dataDxfId="2243" totalsRowDxfId="685" dataCellStyle="Normal 14 2"/>
    <tableColumn id="64" name="Cell 61" totalsRowFunction="sum" dataDxfId="2242" totalsRowDxfId="684" dataCellStyle="Normal 14 2"/>
    <tableColumn id="65" name="Cell 62" totalsRowFunction="sum" dataDxfId="2241" totalsRowDxfId="683" dataCellStyle="Normal 14 2"/>
    <tableColumn id="66" name="Cell 63" totalsRowFunction="sum" dataDxfId="2240" totalsRowDxfId="682" dataCellStyle="Normal 14 2"/>
    <tableColumn id="67" name="Cell 64" totalsRowFunction="sum" dataDxfId="2239" totalsRowDxfId="681" dataCellStyle="Normal 14 2"/>
    <tableColumn id="68" name="Cell 65" totalsRowFunction="sum" dataDxfId="2238" totalsRowDxfId="680" dataCellStyle="Normal 14 2"/>
    <tableColumn id="69" name="Cell 66" totalsRowFunction="sum" dataDxfId="2237" totalsRowDxfId="679" dataCellStyle="Normal 14 2"/>
    <tableColumn id="70" name="Cell 67" totalsRowFunction="sum" dataDxfId="2236" totalsRowDxfId="678" dataCellStyle="Normal 14 2"/>
    <tableColumn id="71" name="Cell 68" totalsRowFunction="sum" dataDxfId="2235" totalsRowDxfId="677" dataCellStyle="Normal 14 2"/>
    <tableColumn id="72" name="Cell 69" totalsRowFunction="sum" dataDxfId="2234" totalsRowDxfId="676" dataCellStyle="Normal 14 2"/>
    <tableColumn id="73" name="Cell 70" totalsRowFunction="sum" dataDxfId="2233" totalsRowDxfId="675" dataCellStyle="Normal 14 2"/>
    <tableColumn id="74" name="Cell 71" totalsRowFunction="sum" dataDxfId="2232" totalsRowDxfId="674" dataCellStyle="Normal 14 2"/>
    <tableColumn id="75" name="Cell 72" totalsRowFunction="sum" dataDxfId="2231" totalsRowDxfId="673" dataCellStyle="Normal 14 2"/>
    <tableColumn id="76" name="Cell 73" totalsRowFunction="sum" dataDxfId="2230" totalsRowDxfId="672" dataCellStyle="Normal 14 2"/>
    <tableColumn id="77" name="Cell 74" totalsRowFunction="sum" dataDxfId="2229" totalsRowDxfId="671" dataCellStyle="Normal 14 2"/>
    <tableColumn id="78" name="Cell 75" totalsRowFunction="sum" dataDxfId="2228" totalsRowDxfId="670" dataCellStyle="Normal 14 2"/>
    <tableColumn id="79" name="Cell 76" totalsRowFunction="sum" dataDxfId="2227" totalsRowDxfId="669" dataCellStyle="Normal 14 2"/>
    <tableColumn id="80" name="Cell 77" totalsRowFunction="sum" dataDxfId="2226" totalsRowDxfId="668" dataCellStyle="Normal 14 2"/>
    <tableColumn id="81" name="Cell 78" totalsRowFunction="sum" dataDxfId="2225" totalsRowDxfId="667" dataCellStyle="Normal 14 2"/>
    <tableColumn id="82" name="Cell 79" totalsRowFunction="sum" dataDxfId="2224" totalsRowDxfId="666" dataCellStyle="Normal 14 2"/>
    <tableColumn id="83" name="Cell 80" totalsRowFunction="sum" dataDxfId="2223" totalsRowDxfId="665" dataCellStyle="Normal 14 2"/>
    <tableColumn id="84" name="Cell 81" totalsRowFunction="sum" dataDxfId="2222" totalsRowDxfId="664" dataCellStyle="Normal 14 2"/>
    <tableColumn id="85" name="Cell 82" totalsRowFunction="sum" dataDxfId="2221" totalsRowDxfId="663" dataCellStyle="Normal 14 2"/>
    <tableColumn id="86" name="Cell 83" totalsRowFunction="sum" dataDxfId="2220" totalsRowDxfId="662" dataCellStyle="Normal 14 2"/>
    <tableColumn id="87" name="Cell 84" totalsRowFunction="sum" dataDxfId="2219" totalsRowDxfId="661" dataCellStyle="Normal 14 2"/>
    <tableColumn id="88" name="Cell 85" totalsRowFunction="sum" dataDxfId="2218" totalsRowDxfId="660" dataCellStyle="Normal 14 2"/>
    <tableColumn id="89" name="Cell 86" totalsRowFunction="sum" dataDxfId="2217" totalsRowDxfId="659" dataCellStyle="Normal 14 2"/>
    <tableColumn id="90" name="Cell 87" totalsRowFunction="sum" dataDxfId="2216" totalsRowDxfId="658" dataCellStyle="Normal 14 2"/>
    <tableColumn id="91" name="Cell 88" totalsRowFunction="sum" dataDxfId="2215" totalsRowDxfId="657" dataCellStyle="Normal 14 2"/>
    <tableColumn id="92" name="Cell 89" totalsRowFunction="sum" dataDxfId="2214" totalsRowDxfId="656" dataCellStyle="Normal 14 2"/>
    <tableColumn id="93" name="Cell 90" totalsRowFunction="sum" dataDxfId="2213" totalsRowDxfId="655" dataCellStyle="Normal 14 2"/>
    <tableColumn id="94" name="Cell 91" totalsRowFunction="sum" dataDxfId="2212" totalsRowDxfId="654" dataCellStyle="Normal 14 2"/>
    <tableColumn id="95" name="Cell 92" totalsRowFunction="sum" dataDxfId="2211" totalsRowDxfId="653" dataCellStyle="Normal 14 2"/>
    <tableColumn id="96" name="Cell 93" totalsRowFunction="sum" dataDxfId="2210" totalsRowDxfId="652" dataCellStyle="Normal 14 2"/>
    <tableColumn id="97" name="Cell 94" totalsRowFunction="sum" dataDxfId="2209" totalsRowDxfId="651" dataCellStyle="Normal 14 2"/>
    <tableColumn id="98" name="Cell 95" totalsRowFunction="sum" dataDxfId="2208" totalsRowDxfId="650" dataCellStyle="Normal 14 2"/>
    <tableColumn id="99" name="Cell 96" totalsRowFunction="sum" dataDxfId="2207" totalsRowDxfId="649" dataCellStyle="Normal 14 2"/>
    <tableColumn id="100" name="Cell 97" totalsRowFunction="sum" dataDxfId="2206" totalsRowDxfId="648" dataCellStyle="Normal 14 2"/>
    <tableColumn id="101" name="Cell 98" totalsRowFunction="sum" dataDxfId="2205" totalsRowDxfId="647" dataCellStyle="Normal 14 2"/>
    <tableColumn id="102" name="Cell 99" totalsRowFunction="sum" dataDxfId="2204" totalsRowDxfId="646" dataCellStyle="Normal 14 2"/>
    <tableColumn id="103" name="Cell 100" totalsRowFunction="sum" dataDxfId="2203" totalsRowDxfId="645" dataCellStyle="Normal 14 2"/>
    <tableColumn id="104" name="Cell 101" totalsRowFunction="sum" dataDxfId="2202" totalsRowDxfId="644" dataCellStyle="Normal 14 2"/>
    <tableColumn id="105" name="Cell 102" totalsRowFunction="sum" dataDxfId="2201" totalsRowDxfId="643" dataCellStyle="Normal 14 2"/>
    <tableColumn id="106" name="Cell 103" totalsRowFunction="sum" dataDxfId="2200" totalsRowDxfId="642" dataCellStyle="Normal 14 2"/>
    <tableColumn id="107" name="Cell 104" totalsRowFunction="sum" dataDxfId="2199" totalsRowDxfId="641" dataCellStyle="Normal 14 2"/>
    <tableColumn id="108" name="Cell 105" totalsRowFunction="sum" dataDxfId="2198" totalsRowDxfId="640" dataCellStyle="Normal 14 2"/>
    <tableColumn id="109" name="Cell 106" totalsRowFunction="sum" dataDxfId="2197" totalsRowDxfId="639" dataCellStyle="Normal 14 2"/>
    <tableColumn id="110" name="Cell 107" totalsRowFunction="sum" dataDxfId="2196" totalsRowDxfId="638" dataCellStyle="Normal 14 2"/>
    <tableColumn id="111" name="Cell 108" totalsRowFunction="sum" dataDxfId="2195" totalsRowDxfId="637" dataCellStyle="Normal 14 2"/>
    <tableColumn id="112" name="Cell 109" totalsRowFunction="sum" dataDxfId="2194" totalsRowDxfId="636" dataCellStyle="Normal 14 2"/>
    <tableColumn id="113" name="Cell 110" totalsRowFunction="sum" dataDxfId="2193" totalsRowDxfId="635" dataCellStyle="Normal 14 2"/>
    <tableColumn id="114" name="Cell 111" totalsRowFunction="sum" dataDxfId="2192" totalsRowDxfId="634" dataCellStyle="Normal 14 2"/>
    <tableColumn id="115" name="Cell 112" totalsRowFunction="sum" dataDxfId="2191" totalsRowDxfId="633" dataCellStyle="Normal 14 2"/>
    <tableColumn id="116" name="Cell 113" totalsRowFunction="sum" dataDxfId="2190" totalsRowDxfId="632" dataCellStyle="Normal 14 2"/>
    <tableColumn id="117" name="Cell 114" totalsRowFunction="sum" dataDxfId="2189" totalsRowDxfId="631" dataCellStyle="Normal 14 2"/>
    <tableColumn id="118" name="Cell 115" totalsRowFunction="sum" dataDxfId="2188" totalsRowDxfId="630" dataCellStyle="Normal 14 2"/>
    <tableColumn id="119" name="Cell 116" totalsRowFunction="sum" dataDxfId="2187" totalsRowDxfId="629" dataCellStyle="Normal 14 2"/>
    <tableColumn id="120" name="Cell 117" totalsRowFunction="sum" dataDxfId="2186" totalsRowDxfId="628" dataCellStyle="Normal 14 2"/>
    <tableColumn id="121" name="Cell 118" totalsRowFunction="sum" dataDxfId="2185" totalsRowDxfId="627" dataCellStyle="Normal 14 2"/>
    <tableColumn id="122" name="Cell 119" totalsRowFunction="sum" dataDxfId="2184" totalsRowDxfId="626" dataCellStyle="Normal 14 2"/>
    <tableColumn id="123" name="Cell 120" totalsRowFunction="sum" dataDxfId="2183" totalsRowDxfId="625" dataCellStyle="Normal 14 2"/>
    <tableColumn id="124" name="Cell 121" totalsRowFunction="sum" dataDxfId="2182" totalsRowDxfId="624" dataCellStyle="Normal 14 2"/>
    <tableColumn id="125" name="Cell 122" totalsRowFunction="sum" dataDxfId="2181" totalsRowDxfId="623" dataCellStyle="Normal 14 2"/>
    <tableColumn id="126" name="Cell 123" totalsRowFunction="sum" dataDxfId="2180" totalsRowDxfId="622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All counties reporting."/>
    </ext>
  </extLst>
</table>
</file>

<file path=xl/tables/table9.xml><?xml version="1.0" encoding="utf-8"?>
<table xmlns="http://schemas.openxmlformats.org/spreadsheetml/2006/main" id="9" name="Feb17Data" displayName="Feb17Data" ref="A5:DT64" totalsRowCount="1" headerRowDxfId="2179" dataDxfId="2178" headerRowBorderDxfId="2176" tableBorderDxfId="2177" totalsRowBorderDxfId="2175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2174" totalsRowDxfId="620" dataCellStyle="Normal 14 2"/>
    <tableColumn id="4" name="Cell 1" totalsRowFunction="sum" dataDxfId="2173" totalsRowDxfId="619" dataCellStyle="Normal 14 2"/>
    <tableColumn id="5" name="Cell 2" totalsRowFunction="sum" dataDxfId="2172" totalsRowDxfId="618" dataCellStyle="Normal 14 2"/>
    <tableColumn id="6" name="Cell 3" totalsRowFunction="sum" dataDxfId="2171" totalsRowDxfId="617" dataCellStyle="Normal 14 2"/>
    <tableColumn id="7" name="Cell 4" totalsRowFunction="sum" dataDxfId="2170" totalsRowDxfId="616" dataCellStyle="Normal 14 2"/>
    <tableColumn id="8" name="Cell 5" totalsRowFunction="sum" dataDxfId="2169" totalsRowDxfId="615" dataCellStyle="Normal 14 2"/>
    <tableColumn id="9" name="Cell 6" totalsRowFunction="sum" dataDxfId="2168" totalsRowDxfId="614" dataCellStyle="Normal 14 2"/>
    <tableColumn id="10" name="Cell 7" totalsRowFunction="sum" dataDxfId="2167" totalsRowDxfId="613" dataCellStyle="Normal 14 2"/>
    <tableColumn id="11" name="Cell 8" totalsRowFunction="sum" dataDxfId="2166" totalsRowDxfId="612" dataCellStyle="Normal 14 2"/>
    <tableColumn id="12" name="Cell 9" totalsRowFunction="sum" dataDxfId="2165" totalsRowDxfId="611" dataCellStyle="Normal 14 2"/>
    <tableColumn id="13" name="Cell 10" totalsRowFunction="sum" dataDxfId="2164" totalsRowDxfId="610" dataCellStyle="Normal 14 2"/>
    <tableColumn id="14" name="Cell 11" totalsRowFunction="sum" dataDxfId="2163" totalsRowDxfId="609" dataCellStyle="Normal 14 2"/>
    <tableColumn id="15" name="Cell 12" totalsRowFunction="sum" dataDxfId="2162" totalsRowDxfId="608" dataCellStyle="Normal 14 2"/>
    <tableColumn id="16" name="Cell 13" totalsRowFunction="sum" dataDxfId="2161" totalsRowDxfId="607" dataCellStyle="Normal 14 2"/>
    <tableColumn id="17" name="Cell 14" totalsRowFunction="sum" dataDxfId="2160" totalsRowDxfId="606" dataCellStyle="Normal 14 2"/>
    <tableColumn id="18" name="Cell 15" totalsRowFunction="sum" dataDxfId="2159" totalsRowDxfId="605" dataCellStyle="Normal 14 2"/>
    <tableColumn id="19" name="Cell 16" totalsRowFunction="sum" dataDxfId="2158" totalsRowDxfId="604" dataCellStyle="Normal 14 2"/>
    <tableColumn id="20" name="Cell 17" totalsRowFunction="sum" dataDxfId="2157" totalsRowDxfId="603" dataCellStyle="Normal 14 2"/>
    <tableColumn id="21" name="Cell 18" totalsRowFunction="sum" dataDxfId="2156" totalsRowDxfId="602" dataCellStyle="Normal 14 2"/>
    <tableColumn id="22" name="Cell 19" totalsRowFunction="sum" dataDxfId="2155" totalsRowDxfId="601" dataCellStyle="Normal 14 2"/>
    <tableColumn id="23" name="Cell 20" totalsRowFunction="sum" dataDxfId="2154" totalsRowDxfId="600" dataCellStyle="Normal 14 2"/>
    <tableColumn id="24" name="Cell 21" totalsRowFunction="sum" dataDxfId="2153" totalsRowDxfId="599" dataCellStyle="Normal 14 2"/>
    <tableColumn id="25" name="Cell 22" totalsRowFunction="sum" dataDxfId="2152" totalsRowDxfId="598" dataCellStyle="Normal 14 2"/>
    <tableColumn id="26" name="Cell 23" totalsRowFunction="sum" dataDxfId="2151" totalsRowDxfId="597" dataCellStyle="Normal 14 2"/>
    <tableColumn id="27" name="Cell 24" totalsRowFunction="sum" dataDxfId="2150" totalsRowDxfId="596" dataCellStyle="Normal 14 2"/>
    <tableColumn id="28" name="Cell 25" totalsRowFunction="sum" dataDxfId="2149" totalsRowDxfId="595" dataCellStyle="Normal 14 2"/>
    <tableColumn id="29" name="Cell 26" totalsRowFunction="sum" dataDxfId="2148" totalsRowDxfId="594" dataCellStyle="Normal 14 2"/>
    <tableColumn id="30" name="Cell 27" totalsRowFunction="sum" dataDxfId="2147" totalsRowDxfId="593" dataCellStyle="Normal 14 2"/>
    <tableColumn id="31" name="Cell 28" totalsRowFunction="sum" dataDxfId="2146" totalsRowDxfId="592" dataCellStyle="Normal 14 2"/>
    <tableColumn id="32" name="Cell 29" totalsRowFunction="sum" dataDxfId="2145" totalsRowDxfId="591" dataCellStyle="Normal 14 2"/>
    <tableColumn id="33" name="Cell 30" totalsRowFunction="sum" dataDxfId="2144" totalsRowDxfId="590" dataCellStyle="Normal 14 2"/>
    <tableColumn id="34" name="Cell 31" totalsRowFunction="sum" dataDxfId="2143" totalsRowDxfId="589" dataCellStyle="Normal 14 2"/>
    <tableColumn id="35" name="Cell 32" totalsRowFunction="sum" dataDxfId="2142" totalsRowDxfId="588" dataCellStyle="Normal 14 2"/>
    <tableColumn id="36" name="Cell 33" totalsRowFunction="sum" dataDxfId="2141" totalsRowDxfId="587" dataCellStyle="Normal 14 2"/>
    <tableColumn id="37" name="Cell 34" totalsRowFunction="sum" dataDxfId="2140" totalsRowDxfId="586" dataCellStyle="Normal 14 2"/>
    <tableColumn id="38" name="Cell 35" totalsRowFunction="sum" dataDxfId="2139" totalsRowDxfId="585" dataCellStyle="Normal 14 2"/>
    <tableColumn id="39" name="Cell 36" totalsRowFunction="sum" dataDxfId="2138" totalsRowDxfId="584" dataCellStyle="Normal 14 2"/>
    <tableColumn id="40" name="Cell 37" totalsRowFunction="sum" dataDxfId="2137" totalsRowDxfId="583" dataCellStyle="Normal 14 2"/>
    <tableColumn id="41" name="Cell 38" totalsRowFunction="sum" dataDxfId="2136" totalsRowDxfId="582" dataCellStyle="Normal 14 2"/>
    <tableColumn id="42" name="Cell 39" totalsRowFunction="sum" dataDxfId="2135" totalsRowDxfId="581" dataCellStyle="Normal 14 2"/>
    <tableColumn id="43" name="Cell 40" totalsRowFunction="sum" dataDxfId="2134" totalsRowDxfId="580" dataCellStyle="Normal 14 2"/>
    <tableColumn id="44" name="Cell 41" totalsRowFunction="sum" dataDxfId="2133" totalsRowDxfId="579" dataCellStyle="Normal 14 2"/>
    <tableColumn id="45" name="Cell 42" totalsRowFunction="sum" dataDxfId="2132" totalsRowDxfId="578" dataCellStyle="Normal 14 2"/>
    <tableColumn id="46" name="Cell 43" totalsRowFunction="sum" dataDxfId="2131" totalsRowDxfId="577" dataCellStyle="Normal 14 2"/>
    <tableColumn id="47" name="Cell 44" totalsRowFunction="sum" dataDxfId="2130" totalsRowDxfId="576" dataCellStyle="Normal 14 2"/>
    <tableColumn id="48" name="Cell 45" totalsRowFunction="sum" dataDxfId="2129" totalsRowDxfId="575" dataCellStyle="Normal 14 2"/>
    <tableColumn id="49" name="Cell 46" totalsRowFunction="sum" dataDxfId="2128" totalsRowDxfId="574" dataCellStyle="Normal 14 2"/>
    <tableColumn id="50" name="Cell 47" totalsRowFunction="sum" dataDxfId="2127" totalsRowDxfId="573" dataCellStyle="Normal 14 2"/>
    <tableColumn id="51" name="Cell 48" totalsRowFunction="sum" dataDxfId="2126" totalsRowDxfId="572" dataCellStyle="Normal 14 2"/>
    <tableColumn id="52" name="Cell 49" totalsRowFunction="sum" dataDxfId="2125" totalsRowDxfId="571" dataCellStyle="Normal 14 2"/>
    <tableColumn id="53" name="Cell 50" totalsRowFunction="sum" dataDxfId="2124" totalsRowDxfId="570" dataCellStyle="Normal 14 2"/>
    <tableColumn id="54" name="Cell 51" totalsRowFunction="sum" dataDxfId="2123" totalsRowDxfId="569" dataCellStyle="Normal 14 2"/>
    <tableColumn id="55" name="Cell 52" totalsRowFunction="sum" dataDxfId="2122" totalsRowDxfId="568" dataCellStyle="Normal 14 2"/>
    <tableColumn id="56" name="Cell 53" totalsRowFunction="sum" dataDxfId="2121" totalsRowDxfId="567" dataCellStyle="Normal 14 2"/>
    <tableColumn id="57" name="Cell 54" totalsRowFunction="sum" dataDxfId="2120" totalsRowDxfId="566" dataCellStyle="Normal 14 2"/>
    <tableColumn id="58" name="Cell 55" totalsRowFunction="sum" dataDxfId="2119" totalsRowDxfId="565" dataCellStyle="Normal 14 2"/>
    <tableColumn id="59" name="Cell 56" totalsRowFunction="sum" dataDxfId="2118" totalsRowDxfId="564" dataCellStyle="Normal 14 2"/>
    <tableColumn id="60" name="Cell 57" totalsRowFunction="sum" dataDxfId="2117" totalsRowDxfId="563" dataCellStyle="Normal 14 2"/>
    <tableColumn id="61" name="Cell 58" totalsRowFunction="sum" dataDxfId="2116" totalsRowDxfId="562" dataCellStyle="Normal 14 2"/>
    <tableColumn id="62" name="Cell 59" totalsRowFunction="sum" dataDxfId="2115" totalsRowDxfId="561" dataCellStyle="Normal 14 2"/>
    <tableColumn id="63" name="Cell 60" totalsRowFunction="sum" dataDxfId="2114" totalsRowDxfId="560" dataCellStyle="Normal 14 2"/>
    <tableColumn id="64" name="Cell 61" totalsRowFunction="sum" dataDxfId="2113" totalsRowDxfId="559" dataCellStyle="Normal 14 2"/>
    <tableColumn id="65" name="Cell 62" totalsRowFunction="sum" dataDxfId="2112" totalsRowDxfId="558" dataCellStyle="Normal 14 2"/>
    <tableColumn id="66" name="Cell 63" totalsRowFunction="sum" dataDxfId="2111" totalsRowDxfId="557" dataCellStyle="Normal 14 2"/>
    <tableColumn id="67" name="Cell 64" totalsRowFunction="sum" dataDxfId="2110" totalsRowDxfId="556" dataCellStyle="Normal 14 2"/>
    <tableColumn id="68" name="Cell 65" totalsRowFunction="sum" dataDxfId="2109" totalsRowDxfId="555" dataCellStyle="Normal 14 2"/>
    <tableColumn id="69" name="Cell 66" totalsRowFunction="sum" dataDxfId="2108" totalsRowDxfId="554" dataCellStyle="Normal 14 2"/>
    <tableColumn id="70" name="Cell 67" totalsRowFunction="sum" dataDxfId="2107" totalsRowDxfId="553" dataCellStyle="Normal 14 2"/>
    <tableColumn id="71" name="Cell 68" totalsRowFunction="sum" dataDxfId="2106" totalsRowDxfId="552" dataCellStyle="Normal 14 2"/>
    <tableColumn id="72" name="Cell 69" totalsRowFunction="sum" dataDxfId="2105" totalsRowDxfId="551" dataCellStyle="Normal 14 2"/>
    <tableColumn id="73" name="Cell 70" totalsRowFunction="sum" dataDxfId="2104" totalsRowDxfId="550" dataCellStyle="Normal 14 2"/>
    <tableColumn id="74" name="Cell 71" totalsRowFunction="sum" dataDxfId="2103" totalsRowDxfId="549" dataCellStyle="Normal 14 2"/>
    <tableColumn id="75" name="Cell 72" totalsRowFunction="sum" dataDxfId="2102" totalsRowDxfId="548" dataCellStyle="Normal 14 2"/>
    <tableColumn id="76" name="Cell 73" totalsRowFunction="sum" dataDxfId="2101" totalsRowDxfId="547" dataCellStyle="Normal 14 2"/>
    <tableColumn id="77" name="Cell 74" totalsRowFunction="sum" dataDxfId="2100" totalsRowDxfId="546" dataCellStyle="Normal 14 2"/>
    <tableColumn id="78" name="Cell 75" totalsRowFunction="sum" dataDxfId="2099" totalsRowDxfId="545" dataCellStyle="Normal 14 2"/>
    <tableColumn id="79" name="Cell 76" totalsRowFunction="sum" dataDxfId="2098" totalsRowDxfId="544" dataCellStyle="Normal 14 2"/>
    <tableColumn id="80" name="Cell 77" totalsRowFunction="sum" dataDxfId="2097" totalsRowDxfId="543" dataCellStyle="Normal 14 2"/>
    <tableColumn id="81" name="Cell 78" totalsRowFunction="sum" dataDxfId="2096" totalsRowDxfId="542" dataCellStyle="Normal 14 2"/>
    <tableColumn id="82" name="Cell 79" totalsRowFunction="sum" dataDxfId="2095" totalsRowDxfId="541" dataCellStyle="Normal 14 2"/>
    <tableColumn id="83" name="Cell 80" totalsRowFunction="sum" dataDxfId="2094" totalsRowDxfId="540" dataCellStyle="Normal 14 2"/>
    <tableColumn id="84" name="Cell 81" totalsRowFunction="sum" dataDxfId="2093" totalsRowDxfId="539" dataCellStyle="Normal 14 2"/>
    <tableColumn id="85" name="Cell 82" totalsRowFunction="sum" dataDxfId="2092" totalsRowDxfId="538" dataCellStyle="Normal 14 2"/>
    <tableColumn id="86" name="Cell 83" totalsRowFunction="sum" dataDxfId="2091" totalsRowDxfId="537" dataCellStyle="Normal 14 2"/>
    <tableColumn id="87" name="Cell 84" totalsRowFunction="sum" dataDxfId="2090" totalsRowDxfId="536" dataCellStyle="Normal 14 2"/>
    <tableColumn id="88" name="Cell 85" totalsRowFunction="sum" dataDxfId="2089" totalsRowDxfId="535" dataCellStyle="Normal 14 2"/>
    <tableColumn id="89" name="Cell 86" totalsRowFunction="sum" dataDxfId="2088" totalsRowDxfId="534" dataCellStyle="Normal 14 2"/>
    <tableColumn id="90" name="Cell 87" totalsRowFunction="sum" dataDxfId="2087" totalsRowDxfId="533" dataCellStyle="Normal 14 2"/>
    <tableColumn id="91" name="Cell 88" totalsRowFunction="sum" dataDxfId="2086" totalsRowDxfId="532" dataCellStyle="Normal 14 2"/>
    <tableColumn id="92" name="Cell 89" totalsRowFunction="sum" dataDxfId="2085" totalsRowDxfId="531" dataCellStyle="Normal 14 2"/>
    <tableColumn id="93" name="Cell 90" totalsRowFunction="sum" dataDxfId="2084" totalsRowDxfId="530" dataCellStyle="Normal 14 2"/>
    <tableColumn id="94" name="Cell 91" totalsRowFunction="sum" dataDxfId="2083" totalsRowDxfId="529" dataCellStyle="Normal 14 2"/>
    <tableColumn id="95" name="Cell 92" totalsRowFunction="sum" dataDxfId="2082" totalsRowDxfId="528" dataCellStyle="Normal 14 2"/>
    <tableColumn id="96" name="Cell 93" totalsRowFunction="sum" dataDxfId="2081" totalsRowDxfId="527" dataCellStyle="Normal 14 2"/>
    <tableColumn id="97" name="Cell 94" totalsRowFunction="sum" dataDxfId="2080" totalsRowDxfId="526" dataCellStyle="Normal 14 2"/>
    <tableColumn id="98" name="Cell 95" totalsRowFunction="sum" dataDxfId="2079" totalsRowDxfId="525" dataCellStyle="Normal 14 2"/>
    <tableColumn id="99" name="Cell 96" totalsRowFunction="sum" dataDxfId="2078" totalsRowDxfId="524" dataCellStyle="Normal 14 2"/>
    <tableColumn id="100" name="Cell 97" totalsRowFunction="sum" dataDxfId="2077" totalsRowDxfId="523" dataCellStyle="Normal 14 2"/>
    <tableColumn id="101" name="Cell 98" totalsRowFunction="sum" dataDxfId="2076" totalsRowDxfId="522" dataCellStyle="Normal 14 2"/>
    <tableColumn id="102" name="Cell 99" totalsRowFunction="sum" dataDxfId="2075" totalsRowDxfId="521" dataCellStyle="Normal 14 2"/>
    <tableColumn id="103" name="Cell 100" totalsRowFunction="sum" dataDxfId="2074" totalsRowDxfId="520" dataCellStyle="Normal 14 2"/>
    <tableColumn id="104" name="Cell 101" totalsRowFunction="sum" dataDxfId="2073" totalsRowDxfId="519" dataCellStyle="Normal 14 2"/>
    <tableColumn id="105" name="Cell 102" totalsRowFunction="sum" dataDxfId="2072" totalsRowDxfId="518" dataCellStyle="Normal 14 2"/>
    <tableColumn id="106" name="Cell 103" totalsRowFunction="sum" dataDxfId="2071" totalsRowDxfId="517" dataCellStyle="Normal 14 2"/>
    <tableColumn id="107" name="Cell 104" totalsRowFunction="sum" dataDxfId="2070" totalsRowDxfId="516" dataCellStyle="Normal 14 2"/>
    <tableColumn id="108" name="Cell 105" totalsRowFunction="sum" dataDxfId="2069" totalsRowDxfId="515" dataCellStyle="Normal 14 2"/>
    <tableColumn id="109" name="Cell 106" totalsRowFunction="sum" dataDxfId="2068" totalsRowDxfId="514" dataCellStyle="Normal 14 2"/>
    <tableColumn id="110" name="Cell 107" totalsRowFunction="sum" dataDxfId="2067" totalsRowDxfId="513" dataCellStyle="Normal 14 2"/>
    <tableColumn id="111" name="Cell 108" totalsRowFunction="sum" dataDxfId="2066" totalsRowDxfId="512" dataCellStyle="Normal 14 2"/>
    <tableColumn id="112" name="Cell 109" totalsRowFunction="sum" dataDxfId="2065" totalsRowDxfId="511" dataCellStyle="Normal 14 2"/>
    <tableColumn id="113" name="Cell 110" totalsRowFunction="sum" dataDxfId="2064" totalsRowDxfId="510" dataCellStyle="Normal 14 2"/>
    <tableColumn id="114" name="Cell 111" totalsRowFunction="sum" dataDxfId="2063" totalsRowDxfId="509" dataCellStyle="Normal 14 2"/>
    <tableColumn id="115" name="Cell 112" totalsRowFunction="sum" dataDxfId="2062" totalsRowDxfId="508" dataCellStyle="Normal 14 2"/>
    <tableColumn id="116" name="Cell 113" totalsRowFunction="sum" dataDxfId="2061" totalsRowDxfId="507" dataCellStyle="Normal 14 2"/>
    <tableColumn id="117" name="Cell 114" totalsRowFunction="sum" dataDxfId="2060" totalsRowDxfId="506" dataCellStyle="Normal 14 2"/>
    <tableColumn id="118" name="Cell 115" totalsRowFunction="sum" dataDxfId="2059" totalsRowDxfId="505" dataCellStyle="Normal 14 2"/>
    <tableColumn id="119" name="Cell 116" totalsRowFunction="sum" dataDxfId="2058" totalsRowDxfId="504" dataCellStyle="Normal 14 2"/>
    <tableColumn id="120" name="Cell 117" totalsRowFunction="sum" dataDxfId="2057" totalsRowDxfId="503" dataCellStyle="Normal 14 2"/>
    <tableColumn id="121" name="Cell 118" totalsRowFunction="sum" dataDxfId="2056" totalsRowDxfId="502" dataCellStyle="Normal 14 2"/>
    <tableColumn id="122" name="Cell 119" totalsRowFunction="sum" dataDxfId="2055" totalsRowDxfId="501" dataCellStyle="Normal 14 2"/>
    <tableColumn id="123" name="Cell 120" totalsRowFunction="sum" dataDxfId="2054" totalsRowDxfId="500" dataCellStyle="Normal 14 2"/>
    <tableColumn id="124" name="Cell 121" totalsRowFunction="sum" dataDxfId="2053" totalsRowDxfId="499" dataCellStyle="Normal 14 2"/>
    <tableColumn id="125" name="Cell 122" totalsRowFunction="sum" dataDxfId="2052" totalsRowDxfId="498" dataCellStyle="Normal 14 2"/>
    <tableColumn id="126" name="Cell 123" totalsRowFunction="sum" dataDxfId="2051" totalsRowDxfId="497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June 2017" altTextSummary="All counties reporting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G17"/>
  <sheetViews>
    <sheetView showGridLines="0" tabSelected="1" zoomScaleNormal="100" workbookViewId="0"/>
  </sheetViews>
  <sheetFormatPr defaultRowHeight="12.75"/>
  <cols>
    <col min="1" max="1" width="21.140625" style="2" bestFit="1" customWidth="1"/>
    <col min="2" max="2" width="22.5703125" style="2" customWidth="1"/>
    <col min="3" max="3" width="58" style="18" customWidth="1"/>
    <col min="4" max="254" width="9.140625" style="2"/>
    <col min="255" max="255" width="15.85546875" style="2" bestFit="1" customWidth="1"/>
    <col min="256" max="256" width="14.5703125" style="2" bestFit="1" customWidth="1"/>
    <col min="257" max="257" width="24" style="2" bestFit="1" customWidth="1"/>
    <col min="258" max="258" width="69.7109375" style="2" customWidth="1"/>
    <col min="259" max="259" width="12.140625" style="2" customWidth="1"/>
    <col min="260" max="510" width="9.140625" style="2"/>
    <col min="511" max="511" width="15.85546875" style="2" bestFit="1" customWidth="1"/>
    <col min="512" max="512" width="14.5703125" style="2" bestFit="1" customWidth="1"/>
    <col min="513" max="513" width="24" style="2" bestFit="1" customWidth="1"/>
    <col min="514" max="514" width="69.7109375" style="2" customWidth="1"/>
    <col min="515" max="515" width="12.140625" style="2" customWidth="1"/>
    <col min="516" max="766" width="9.140625" style="2"/>
    <col min="767" max="767" width="15.85546875" style="2" bestFit="1" customWidth="1"/>
    <col min="768" max="768" width="14.5703125" style="2" bestFit="1" customWidth="1"/>
    <col min="769" max="769" width="24" style="2" bestFit="1" customWidth="1"/>
    <col min="770" max="770" width="69.7109375" style="2" customWidth="1"/>
    <col min="771" max="771" width="12.140625" style="2" customWidth="1"/>
    <col min="772" max="1022" width="9.140625" style="2"/>
    <col min="1023" max="1023" width="15.85546875" style="2" bestFit="1" customWidth="1"/>
    <col min="1024" max="1024" width="14.5703125" style="2" bestFit="1" customWidth="1"/>
    <col min="1025" max="1025" width="24" style="2" bestFit="1" customWidth="1"/>
    <col min="1026" max="1026" width="69.7109375" style="2" customWidth="1"/>
    <col min="1027" max="1027" width="12.140625" style="2" customWidth="1"/>
    <col min="1028" max="1278" width="9.140625" style="2"/>
    <col min="1279" max="1279" width="15.85546875" style="2" bestFit="1" customWidth="1"/>
    <col min="1280" max="1280" width="14.5703125" style="2" bestFit="1" customWidth="1"/>
    <col min="1281" max="1281" width="24" style="2" bestFit="1" customWidth="1"/>
    <col min="1282" max="1282" width="69.7109375" style="2" customWidth="1"/>
    <col min="1283" max="1283" width="12.140625" style="2" customWidth="1"/>
    <col min="1284" max="1534" width="9.140625" style="2"/>
    <col min="1535" max="1535" width="15.85546875" style="2" bestFit="1" customWidth="1"/>
    <col min="1536" max="1536" width="14.5703125" style="2" bestFit="1" customWidth="1"/>
    <col min="1537" max="1537" width="24" style="2" bestFit="1" customWidth="1"/>
    <col min="1538" max="1538" width="69.7109375" style="2" customWidth="1"/>
    <col min="1539" max="1539" width="12.140625" style="2" customWidth="1"/>
    <col min="1540" max="1790" width="9.140625" style="2"/>
    <col min="1791" max="1791" width="15.85546875" style="2" bestFit="1" customWidth="1"/>
    <col min="1792" max="1792" width="14.5703125" style="2" bestFit="1" customWidth="1"/>
    <col min="1793" max="1793" width="24" style="2" bestFit="1" customWidth="1"/>
    <col min="1794" max="1794" width="69.7109375" style="2" customWidth="1"/>
    <col min="1795" max="1795" width="12.140625" style="2" customWidth="1"/>
    <col min="1796" max="2046" width="9.140625" style="2"/>
    <col min="2047" max="2047" width="15.85546875" style="2" bestFit="1" customWidth="1"/>
    <col min="2048" max="2048" width="14.5703125" style="2" bestFit="1" customWidth="1"/>
    <col min="2049" max="2049" width="24" style="2" bestFit="1" customWidth="1"/>
    <col min="2050" max="2050" width="69.7109375" style="2" customWidth="1"/>
    <col min="2051" max="2051" width="12.140625" style="2" customWidth="1"/>
    <col min="2052" max="2302" width="9.140625" style="2"/>
    <col min="2303" max="2303" width="15.85546875" style="2" bestFit="1" customWidth="1"/>
    <col min="2304" max="2304" width="14.5703125" style="2" bestFit="1" customWidth="1"/>
    <col min="2305" max="2305" width="24" style="2" bestFit="1" customWidth="1"/>
    <col min="2306" max="2306" width="69.7109375" style="2" customWidth="1"/>
    <col min="2307" max="2307" width="12.140625" style="2" customWidth="1"/>
    <col min="2308" max="2558" width="9.140625" style="2"/>
    <col min="2559" max="2559" width="15.85546875" style="2" bestFit="1" customWidth="1"/>
    <col min="2560" max="2560" width="14.5703125" style="2" bestFit="1" customWidth="1"/>
    <col min="2561" max="2561" width="24" style="2" bestFit="1" customWidth="1"/>
    <col min="2562" max="2562" width="69.7109375" style="2" customWidth="1"/>
    <col min="2563" max="2563" width="12.140625" style="2" customWidth="1"/>
    <col min="2564" max="2814" width="9.140625" style="2"/>
    <col min="2815" max="2815" width="15.85546875" style="2" bestFit="1" customWidth="1"/>
    <col min="2816" max="2816" width="14.5703125" style="2" bestFit="1" customWidth="1"/>
    <col min="2817" max="2817" width="24" style="2" bestFit="1" customWidth="1"/>
    <col min="2818" max="2818" width="69.7109375" style="2" customWidth="1"/>
    <col min="2819" max="2819" width="12.140625" style="2" customWidth="1"/>
    <col min="2820" max="3070" width="9.140625" style="2"/>
    <col min="3071" max="3071" width="15.85546875" style="2" bestFit="1" customWidth="1"/>
    <col min="3072" max="3072" width="14.5703125" style="2" bestFit="1" customWidth="1"/>
    <col min="3073" max="3073" width="24" style="2" bestFit="1" customWidth="1"/>
    <col min="3074" max="3074" width="69.7109375" style="2" customWidth="1"/>
    <col min="3075" max="3075" width="12.140625" style="2" customWidth="1"/>
    <col min="3076" max="3326" width="9.140625" style="2"/>
    <col min="3327" max="3327" width="15.85546875" style="2" bestFit="1" customWidth="1"/>
    <col min="3328" max="3328" width="14.5703125" style="2" bestFit="1" customWidth="1"/>
    <col min="3329" max="3329" width="24" style="2" bestFit="1" customWidth="1"/>
    <col min="3330" max="3330" width="69.7109375" style="2" customWidth="1"/>
    <col min="3331" max="3331" width="12.140625" style="2" customWidth="1"/>
    <col min="3332" max="3582" width="9.140625" style="2"/>
    <col min="3583" max="3583" width="15.85546875" style="2" bestFit="1" customWidth="1"/>
    <col min="3584" max="3584" width="14.5703125" style="2" bestFit="1" customWidth="1"/>
    <col min="3585" max="3585" width="24" style="2" bestFit="1" customWidth="1"/>
    <col min="3586" max="3586" width="69.7109375" style="2" customWidth="1"/>
    <col min="3587" max="3587" width="12.140625" style="2" customWidth="1"/>
    <col min="3588" max="3838" width="9.140625" style="2"/>
    <col min="3839" max="3839" width="15.85546875" style="2" bestFit="1" customWidth="1"/>
    <col min="3840" max="3840" width="14.5703125" style="2" bestFit="1" customWidth="1"/>
    <col min="3841" max="3841" width="24" style="2" bestFit="1" customWidth="1"/>
    <col min="3842" max="3842" width="69.7109375" style="2" customWidth="1"/>
    <col min="3843" max="3843" width="12.140625" style="2" customWidth="1"/>
    <col min="3844" max="4094" width="9.140625" style="2"/>
    <col min="4095" max="4095" width="15.85546875" style="2" bestFit="1" customWidth="1"/>
    <col min="4096" max="4096" width="14.5703125" style="2" bestFit="1" customWidth="1"/>
    <col min="4097" max="4097" width="24" style="2" bestFit="1" customWidth="1"/>
    <col min="4098" max="4098" width="69.7109375" style="2" customWidth="1"/>
    <col min="4099" max="4099" width="12.140625" style="2" customWidth="1"/>
    <col min="4100" max="4350" width="9.140625" style="2"/>
    <col min="4351" max="4351" width="15.85546875" style="2" bestFit="1" customWidth="1"/>
    <col min="4352" max="4352" width="14.5703125" style="2" bestFit="1" customWidth="1"/>
    <col min="4353" max="4353" width="24" style="2" bestFit="1" customWidth="1"/>
    <col min="4354" max="4354" width="69.7109375" style="2" customWidth="1"/>
    <col min="4355" max="4355" width="12.140625" style="2" customWidth="1"/>
    <col min="4356" max="4606" width="9.140625" style="2"/>
    <col min="4607" max="4607" width="15.85546875" style="2" bestFit="1" customWidth="1"/>
    <col min="4608" max="4608" width="14.5703125" style="2" bestFit="1" customWidth="1"/>
    <col min="4609" max="4609" width="24" style="2" bestFit="1" customWidth="1"/>
    <col min="4610" max="4610" width="69.7109375" style="2" customWidth="1"/>
    <col min="4611" max="4611" width="12.140625" style="2" customWidth="1"/>
    <col min="4612" max="4862" width="9.140625" style="2"/>
    <col min="4863" max="4863" width="15.85546875" style="2" bestFit="1" customWidth="1"/>
    <col min="4864" max="4864" width="14.5703125" style="2" bestFit="1" customWidth="1"/>
    <col min="4865" max="4865" width="24" style="2" bestFit="1" customWidth="1"/>
    <col min="4866" max="4866" width="69.7109375" style="2" customWidth="1"/>
    <col min="4867" max="4867" width="12.140625" style="2" customWidth="1"/>
    <col min="4868" max="5118" width="9.140625" style="2"/>
    <col min="5119" max="5119" width="15.85546875" style="2" bestFit="1" customWidth="1"/>
    <col min="5120" max="5120" width="14.5703125" style="2" bestFit="1" customWidth="1"/>
    <col min="5121" max="5121" width="24" style="2" bestFit="1" customWidth="1"/>
    <col min="5122" max="5122" width="69.7109375" style="2" customWidth="1"/>
    <col min="5123" max="5123" width="12.140625" style="2" customWidth="1"/>
    <col min="5124" max="5374" width="9.140625" style="2"/>
    <col min="5375" max="5375" width="15.85546875" style="2" bestFit="1" customWidth="1"/>
    <col min="5376" max="5376" width="14.5703125" style="2" bestFit="1" customWidth="1"/>
    <col min="5377" max="5377" width="24" style="2" bestFit="1" customWidth="1"/>
    <col min="5378" max="5378" width="69.7109375" style="2" customWidth="1"/>
    <col min="5379" max="5379" width="12.140625" style="2" customWidth="1"/>
    <col min="5380" max="5630" width="9.140625" style="2"/>
    <col min="5631" max="5631" width="15.85546875" style="2" bestFit="1" customWidth="1"/>
    <col min="5632" max="5632" width="14.5703125" style="2" bestFit="1" customWidth="1"/>
    <col min="5633" max="5633" width="24" style="2" bestFit="1" customWidth="1"/>
    <col min="5634" max="5634" width="69.7109375" style="2" customWidth="1"/>
    <col min="5635" max="5635" width="12.140625" style="2" customWidth="1"/>
    <col min="5636" max="5886" width="9.140625" style="2"/>
    <col min="5887" max="5887" width="15.85546875" style="2" bestFit="1" customWidth="1"/>
    <col min="5888" max="5888" width="14.5703125" style="2" bestFit="1" customWidth="1"/>
    <col min="5889" max="5889" width="24" style="2" bestFit="1" customWidth="1"/>
    <col min="5890" max="5890" width="69.7109375" style="2" customWidth="1"/>
    <col min="5891" max="5891" width="12.140625" style="2" customWidth="1"/>
    <col min="5892" max="6142" width="9.140625" style="2"/>
    <col min="6143" max="6143" width="15.85546875" style="2" bestFit="1" customWidth="1"/>
    <col min="6144" max="6144" width="14.5703125" style="2" bestFit="1" customWidth="1"/>
    <col min="6145" max="6145" width="24" style="2" bestFit="1" customWidth="1"/>
    <col min="6146" max="6146" width="69.7109375" style="2" customWidth="1"/>
    <col min="6147" max="6147" width="12.140625" style="2" customWidth="1"/>
    <col min="6148" max="6398" width="9.140625" style="2"/>
    <col min="6399" max="6399" width="15.85546875" style="2" bestFit="1" customWidth="1"/>
    <col min="6400" max="6400" width="14.5703125" style="2" bestFit="1" customWidth="1"/>
    <col min="6401" max="6401" width="24" style="2" bestFit="1" customWidth="1"/>
    <col min="6402" max="6402" width="69.7109375" style="2" customWidth="1"/>
    <col min="6403" max="6403" width="12.140625" style="2" customWidth="1"/>
    <col min="6404" max="6654" width="9.140625" style="2"/>
    <col min="6655" max="6655" width="15.85546875" style="2" bestFit="1" customWidth="1"/>
    <col min="6656" max="6656" width="14.5703125" style="2" bestFit="1" customWidth="1"/>
    <col min="6657" max="6657" width="24" style="2" bestFit="1" customWidth="1"/>
    <col min="6658" max="6658" width="69.7109375" style="2" customWidth="1"/>
    <col min="6659" max="6659" width="12.140625" style="2" customWidth="1"/>
    <col min="6660" max="6910" width="9.140625" style="2"/>
    <col min="6911" max="6911" width="15.85546875" style="2" bestFit="1" customWidth="1"/>
    <col min="6912" max="6912" width="14.5703125" style="2" bestFit="1" customWidth="1"/>
    <col min="6913" max="6913" width="24" style="2" bestFit="1" customWidth="1"/>
    <col min="6914" max="6914" width="69.7109375" style="2" customWidth="1"/>
    <col min="6915" max="6915" width="12.140625" style="2" customWidth="1"/>
    <col min="6916" max="7166" width="9.140625" style="2"/>
    <col min="7167" max="7167" width="15.85546875" style="2" bestFit="1" customWidth="1"/>
    <col min="7168" max="7168" width="14.5703125" style="2" bestFit="1" customWidth="1"/>
    <col min="7169" max="7169" width="24" style="2" bestFit="1" customWidth="1"/>
    <col min="7170" max="7170" width="69.7109375" style="2" customWidth="1"/>
    <col min="7171" max="7171" width="12.140625" style="2" customWidth="1"/>
    <col min="7172" max="7422" width="9.140625" style="2"/>
    <col min="7423" max="7423" width="15.85546875" style="2" bestFit="1" customWidth="1"/>
    <col min="7424" max="7424" width="14.5703125" style="2" bestFit="1" customWidth="1"/>
    <col min="7425" max="7425" width="24" style="2" bestFit="1" customWidth="1"/>
    <col min="7426" max="7426" width="69.7109375" style="2" customWidth="1"/>
    <col min="7427" max="7427" width="12.140625" style="2" customWidth="1"/>
    <col min="7428" max="7678" width="9.140625" style="2"/>
    <col min="7679" max="7679" width="15.85546875" style="2" bestFit="1" customWidth="1"/>
    <col min="7680" max="7680" width="14.5703125" style="2" bestFit="1" customWidth="1"/>
    <col min="7681" max="7681" width="24" style="2" bestFit="1" customWidth="1"/>
    <col min="7682" max="7682" width="69.7109375" style="2" customWidth="1"/>
    <col min="7683" max="7683" width="12.140625" style="2" customWidth="1"/>
    <col min="7684" max="7934" width="9.140625" style="2"/>
    <col min="7935" max="7935" width="15.85546875" style="2" bestFit="1" customWidth="1"/>
    <col min="7936" max="7936" width="14.5703125" style="2" bestFit="1" customWidth="1"/>
    <col min="7937" max="7937" width="24" style="2" bestFit="1" customWidth="1"/>
    <col min="7938" max="7938" width="69.7109375" style="2" customWidth="1"/>
    <col min="7939" max="7939" width="12.140625" style="2" customWidth="1"/>
    <col min="7940" max="8190" width="9.140625" style="2"/>
    <col min="8191" max="8191" width="15.85546875" style="2" bestFit="1" customWidth="1"/>
    <col min="8192" max="8192" width="14.5703125" style="2" bestFit="1" customWidth="1"/>
    <col min="8193" max="8193" width="24" style="2" bestFit="1" customWidth="1"/>
    <col min="8194" max="8194" width="69.7109375" style="2" customWidth="1"/>
    <col min="8195" max="8195" width="12.140625" style="2" customWidth="1"/>
    <col min="8196" max="8446" width="9.140625" style="2"/>
    <col min="8447" max="8447" width="15.85546875" style="2" bestFit="1" customWidth="1"/>
    <col min="8448" max="8448" width="14.5703125" style="2" bestFit="1" customWidth="1"/>
    <col min="8449" max="8449" width="24" style="2" bestFit="1" customWidth="1"/>
    <col min="8450" max="8450" width="69.7109375" style="2" customWidth="1"/>
    <col min="8451" max="8451" width="12.140625" style="2" customWidth="1"/>
    <col min="8452" max="8702" width="9.140625" style="2"/>
    <col min="8703" max="8703" width="15.85546875" style="2" bestFit="1" customWidth="1"/>
    <col min="8704" max="8704" width="14.5703125" style="2" bestFit="1" customWidth="1"/>
    <col min="8705" max="8705" width="24" style="2" bestFit="1" customWidth="1"/>
    <col min="8706" max="8706" width="69.7109375" style="2" customWidth="1"/>
    <col min="8707" max="8707" width="12.140625" style="2" customWidth="1"/>
    <col min="8708" max="8958" width="9.140625" style="2"/>
    <col min="8959" max="8959" width="15.85546875" style="2" bestFit="1" customWidth="1"/>
    <col min="8960" max="8960" width="14.5703125" style="2" bestFit="1" customWidth="1"/>
    <col min="8961" max="8961" width="24" style="2" bestFit="1" customWidth="1"/>
    <col min="8962" max="8962" width="69.7109375" style="2" customWidth="1"/>
    <col min="8963" max="8963" width="12.140625" style="2" customWidth="1"/>
    <col min="8964" max="9214" width="9.140625" style="2"/>
    <col min="9215" max="9215" width="15.85546875" style="2" bestFit="1" customWidth="1"/>
    <col min="9216" max="9216" width="14.5703125" style="2" bestFit="1" customWidth="1"/>
    <col min="9217" max="9217" width="24" style="2" bestFit="1" customWidth="1"/>
    <col min="9218" max="9218" width="69.7109375" style="2" customWidth="1"/>
    <col min="9219" max="9219" width="12.140625" style="2" customWidth="1"/>
    <col min="9220" max="9470" width="9.140625" style="2"/>
    <col min="9471" max="9471" width="15.85546875" style="2" bestFit="1" customWidth="1"/>
    <col min="9472" max="9472" width="14.5703125" style="2" bestFit="1" customWidth="1"/>
    <col min="9473" max="9473" width="24" style="2" bestFit="1" customWidth="1"/>
    <col min="9474" max="9474" width="69.7109375" style="2" customWidth="1"/>
    <col min="9475" max="9475" width="12.140625" style="2" customWidth="1"/>
    <col min="9476" max="9726" width="9.140625" style="2"/>
    <col min="9727" max="9727" width="15.85546875" style="2" bestFit="1" customWidth="1"/>
    <col min="9728" max="9728" width="14.5703125" style="2" bestFit="1" customWidth="1"/>
    <col min="9729" max="9729" width="24" style="2" bestFit="1" customWidth="1"/>
    <col min="9730" max="9730" width="69.7109375" style="2" customWidth="1"/>
    <col min="9731" max="9731" width="12.140625" style="2" customWidth="1"/>
    <col min="9732" max="9982" width="9.140625" style="2"/>
    <col min="9983" max="9983" width="15.85546875" style="2" bestFit="1" customWidth="1"/>
    <col min="9984" max="9984" width="14.5703125" style="2" bestFit="1" customWidth="1"/>
    <col min="9985" max="9985" width="24" style="2" bestFit="1" customWidth="1"/>
    <col min="9986" max="9986" width="69.7109375" style="2" customWidth="1"/>
    <col min="9987" max="9987" width="12.140625" style="2" customWidth="1"/>
    <col min="9988" max="10238" width="9.140625" style="2"/>
    <col min="10239" max="10239" width="15.85546875" style="2" bestFit="1" customWidth="1"/>
    <col min="10240" max="10240" width="14.5703125" style="2" bestFit="1" customWidth="1"/>
    <col min="10241" max="10241" width="24" style="2" bestFit="1" customWidth="1"/>
    <col min="10242" max="10242" width="69.7109375" style="2" customWidth="1"/>
    <col min="10243" max="10243" width="12.140625" style="2" customWidth="1"/>
    <col min="10244" max="10494" width="9.140625" style="2"/>
    <col min="10495" max="10495" width="15.85546875" style="2" bestFit="1" customWidth="1"/>
    <col min="10496" max="10496" width="14.5703125" style="2" bestFit="1" customWidth="1"/>
    <col min="10497" max="10497" width="24" style="2" bestFit="1" customWidth="1"/>
    <col min="10498" max="10498" width="69.7109375" style="2" customWidth="1"/>
    <col min="10499" max="10499" width="12.140625" style="2" customWidth="1"/>
    <col min="10500" max="10750" width="9.140625" style="2"/>
    <col min="10751" max="10751" width="15.85546875" style="2" bestFit="1" customWidth="1"/>
    <col min="10752" max="10752" width="14.5703125" style="2" bestFit="1" customWidth="1"/>
    <col min="10753" max="10753" width="24" style="2" bestFit="1" customWidth="1"/>
    <col min="10754" max="10754" width="69.7109375" style="2" customWidth="1"/>
    <col min="10755" max="10755" width="12.140625" style="2" customWidth="1"/>
    <col min="10756" max="11006" width="9.140625" style="2"/>
    <col min="11007" max="11007" width="15.85546875" style="2" bestFit="1" customWidth="1"/>
    <col min="11008" max="11008" width="14.5703125" style="2" bestFit="1" customWidth="1"/>
    <col min="11009" max="11009" width="24" style="2" bestFit="1" customWidth="1"/>
    <col min="11010" max="11010" width="69.7109375" style="2" customWidth="1"/>
    <col min="11011" max="11011" width="12.140625" style="2" customWidth="1"/>
    <col min="11012" max="11262" width="9.140625" style="2"/>
    <col min="11263" max="11263" width="15.85546875" style="2" bestFit="1" customWidth="1"/>
    <col min="11264" max="11264" width="14.5703125" style="2" bestFit="1" customWidth="1"/>
    <col min="11265" max="11265" width="24" style="2" bestFit="1" customWidth="1"/>
    <col min="11266" max="11266" width="69.7109375" style="2" customWidth="1"/>
    <col min="11267" max="11267" width="12.140625" style="2" customWidth="1"/>
    <col min="11268" max="11518" width="9.140625" style="2"/>
    <col min="11519" max="11519" width="15.85546875" style="2" bestFit="1" customWidth="1"/>
    <col min="11520" max="11520" width="14.5703125" style="2" bestFit="1" customWidth="1"/>
    <col min="11521" max="11521" width="24" style="2" bestFit="1" customWidth="1"/>
    <col min="11522" max="11522" width="69.7109375" style="2" customWidth="1"/>
    <col min="11523" max="11523" width="12.140625" style="2" customWidth="1"/>
    <col min="11524" max="11774" width="9.140625" style="2"/>
    <col min="11775" max="11775" width="15.85546875" style="2" bestFit="1" customWidth="1"/>
    <col min="11776" max="11776" width="14.5703125" style="2" bestFit="1" customWidth="1"/>
    <col min="11777" max="11777" width="24" style="2" bestFit="1" customWidth="1"/>
    <col min="11778" max="11778" width="69.7109375" style="2" customWidth="1"/>
    <col min="11779" max="11779" width="12.140625" style="2" customWidth="1"/>
    <col min="11780" max="12030" width="9.140625" style="2"/>
    <col min="12031" max="12031" width="15.85546875" style="2" bestFit="1" customWidth="1"/>
    <col min="12032" max="12032" width="14.5703125" style="2" bestFit="1" customWidth="1"/>
    <col min="12033" max="12033" width="24" style="2" bestFit="1" customWidth="1"/>
    <col min="12034" max="12034" width="69.7109375" style="2" customWidth="1"/>
    <col min="12035" max="12035" width="12.140625" style="2" customWidth="1"/>
    <col min="12036" max="12286" width="9.140625" style="2"/>
    <col min="12287" max="12287" width="15.85546875" style="2" bestFit="1" customWidth="1"/>
    <col min="12288" max="12288" width="14.5703125" style="2" bestFit="1" customWidth="1"/>
    <col min="12289" max="12289" width="24" style="2" bestFit="1" customWidth="1"/>
    <col min="12290" max="12290" width="69.7109375" style="2" customWidth="1"/>
    <col min="12291" max="12291" width="12.140625" style="2" customWidth="1"/>
    <col min="12292" max="12542" width="9.140625" style="2"/>
    <col min="12543" max="12543" width="15.85546875" style="2" bestFit="1" customWidth="1"/>
    <col min="12544" max="12544" width="14.5703125" style="2" bestFit="1" customWidth="1"/>
    <col min="12545" max="12545" width="24" style="2" bestFit="1" customWidth="1"/>
    <col min="12546" max="12546" width="69.7109375" style="2" customWidth="1"/>
    <col min="12547" max="12547" width="12.140625" style="2" customWidth="1"/>
    <col min="12548" max="12798" width="9.140625" style="2"/>
    <col min="12799" max="12799" width="15.85546875" style="2" bestFit="1" customWidth="1"/>
    <col min="12800" max="12800" width="14.5703125" style="2" bestFit="1" customWidth="1"/>
    <col min="12801" max="12801" width="24" style="2" bestFit="1" customWidth="1"/>
    <col min="12802" max="12802" width="69.7109375" style="2" customWidth="1"/>
    <col min="12803" max="12803" width="12.140625" style="2" customWidth="1"/>
    <col min="12804" max="13054" width="9.140625" style="2"/>
    <col min="13055" max="13055" width="15.85546875" style="2" bestFit="1" customWidth="1"/>
    <col min="13056" max="13056" width="14.5703125" style="2" bestFit="1" customWidth="1"/>
    <col min="13057" max="13057" width="24" style="2" bestFit="1" customWidth="1"/>
    <col min="13058" max="13058" width="69.7109375" style="2" customWidth="1"/>
    <col min="13059" max="13059" width="12.140625" style="2" customWidth="1"/>
    <col min="13060" max="13310" width="9.140625" style="2"/>
    <col min="13311" max="13311" width="15.85546875" style="2" bestFit="1" customWidth="1"/>
    <col min="13312" max="13312" width="14.5703125" style="2" bestFit="1" customWidth="1"/>
    <col min="13313" max="13313" width="24" style="2" bestFit="1" customWidth="1"/>
    <col min="13314" max="13314" width="69.7109375" style="2" customWidth="1"/>
    <col min="13315" max="13315" width="12.140625" style="2" customWidth="1"/>
    <col min="13316" max="13566" width="9.140625" style="2"/>
    <col min="13567" max="13567" width="15.85546875" style="2" bestFit="1" customWidth="1"/>
    <col min="13568" max="13568" width="14.5703125" style="2" bestFit="1" customWidth="1"/>
    <col min="13569" max="13569" width="24" style="2" bestFit="1" customWidth="1"/>
    <col min="13570" max="13570" width="69.7109375" style="2" customWidth="1"/>
    <col min="13571" max="13571" width="12.140625" style="2" customWidth="1"/>
    <col min="13572" max="13822" width="9.140625" style="2"/>
    <col min="13823" max="13823" width="15.85546875" style="2" bestFit="1" customWidth="1"/>
    <col min="13824" max="13824" width="14.5703125" style="2" bestFit="1" customWidth="1"/>
    <col min="13825" max="13825" width="24" style="2" bestFit="1" customWidth="1"/>
    <col min="13826" max="13826" width="69.7109375" style="2" customWidth="1"/>
    <col min="13827" max="13827" width="12.140625" style="2" customWidth="1"/>
    <col min="13828" max="14078" width="9.140625" style="2"/>
    <col min="14079" max="14079" width="15.85546875" style="2" bestFit="1" customWidth="1"/>
    <col min="14080" max="14080" width="14.5703125" style="2" bestFit="1" customWidth="1"/>
    <col min="14081" max="14081" width="24" style="2" bestFit="1" customWidth="1"/>
    <col min="14082" max="14082" width="69.7109375" style="2" customWidth="1"/>
    <col min="14083" max="14083" width="12.140625" style="2" customWidth="1"/>
    <col min="14084" max="14334" width="9.140625" style="2"/>
    <col min="14335" max="14335" width="15.85546875" style="2" bestFit="1" customWidth="1"/>
    <col min="14336" max="14336" width="14.5703125" style="2" bestFit="1" customWidth="1"/>
    <col min="14337" max="14337" width="24" style="2" bestFit="1" customWidth="1"/>
    <col min="14338" max="14338" width="69.7109375" style="2" customWidth="1"/>
    <col min="14339" max="14339" width="12.140625" style="2" customWidth="1"/>
    <col min="14340" max="14590" width="9.140625" style="2"/>
    <col min="14591" max="14591" width="15.85546875" style="2" bestFit="1" customWidth="1"/>
    <col min="14592" max="14592" width="14.5703125" style="2" bestFit="1" customWidth="1"/>
    <col min="14593" max="14593" width="24" style="2" bestFit="1" customWidth="1"/>
    <col min="14594" max="14594" width="69.7109375" style="2" customWidth="1"/>
    <col min="14595" max="14595" width="12.140625" style="2" customWidth="1"/>
    <col min="14596" max="14846" width="9.140625" style="2"/>
    <col min="14847" max="14847" width="15.85546875" style="2" bestFit="1" customWidth="1"/>
    <col min="14848" max="14848" width="14.5703125" style="2" bestFit="1" customWidth="1"/>
    <col min="14849" max="14849" width="24" style="2" bestFit="1" customWidth="1"/>
    <col min="14850" max="14850" width="69.7109375" style="2" customWidth="1"/>
    <col min="14851" max="14851" width="12.140625" style="2" customWidth="1"/>
    <col min="14852" max="15102" width="9.140625" style="2"/>
    <col min="15103" max="15103" width="15.85546875" style="2" bestFit="1" customWidth="1"/>
    <col min="15104" max="15104" width="14.5703125" style="2" bestFit="1" customWidth="1"/>
    <col min="15105" max="15105" width="24" style="2" bestFit="1" customWidth="1"/>
    <col min="15106" max="15106" width="69.7109375" style="2" customWidth="1"/>
    <col min="15107" max="15107" width="12.140625" style="2" customWidth="1"/>
    <col min="15108" max="15358" width="9.140625" style="2"/>
    <col min="15359" max="15359" width="15.85546875" style="2" bestFit="1" customWidth="1"/>
    <col min="15360" max="15360" width="14.5703125" style="2" bestFit="1" customWidth="1"/>
    <col min="15361" max="15361" width="24" style="2" bestFit="1" customWidth="1"/>
    <col min="15362" max="15362" width="69.7109375" style="2" customWidth="1"/>
    <col min="15363" max="15363" width="12.140625" style="2" customWidth="1"/>
    <col min="15364" max="15614" width="9.140625" style="2"/>
    <col min="15615" max="15615" width="15.85546875" style="2" bestFit="1" customWidth="1"/>
    <col min="15616" max="15616" width="14.5703125" style="2" bestFit="1" customWidth="1"/>
    <col min="15617" max="15617" width="24" style="2" bestFit="1" customWidth="1"/>
    <col min="15618" max="15618" width="69.7109375" style="2" customWidth="1"/>
    <col min="15619" max="15619" width="12.140625" style="2" customWidth="1"/>
    <col min="15620" max="15870" width="9.140625" style="2"/>
    <col min="15871" max="15871" width="15.85546875" style="2" bestFit="1" customWidth="1"/>
    <col min="15872" max="15872" width="14.5703125" style="2" bestFit="1" customWidth="1"/>
    <col min="15873" max="15873" width="24" style="2" bestFit="1" customWidth="1"/>
    <col min="15874" max="15874" width="69.7109375" style="2" customWidth="1"/>
    <col min="15875" max="15875" width="12.140625" style="2" customWidth="1"/>
    <col min="15876" max="16126" width="9.140625" style="2"/>
    <col min="16127" max="16127" width="15.85546875" style="2" bestFit="1" customWidth="1"/>
    <col min="16128" max="16128" width="14.5703125" style="2" bestFit="1" customWidth="1"/>
    <col min="16129" max="16129" width="24" style="2" bestFit="1" customWidth="1"/>
    <col min="16130" max="16130" width="69.7109375" style="2" customWidth="1"/>
    <col min="16131" max="16131" width="12.140625" style="2" customWidth="1"/>
    <col min="16132" max="16384" width="9.140625" style="2"/>
  </cols>
  <sheetData>
    <row r="1" spans="1:7" ht="12.75" customHeight="1">
      <c r="A1" s="202" t="s">
        <v>358</v>
      </c>
      <c r="B1" s="202"/>
      <c r="C1" s="202"/>
      <c r="D1" s="1"/>
      <c r="F1" s="3"/>
      <c r="G1" s="3"/>
    </row>
    <row r="2" spans="1:7" ht="33.75" customHeight="1">
      <c r="A2" s="4" t="s">
        <v>356</v>
      </c>
      <c r="B2" s="5"/>
      <c r="C2" s="6"/>
    </row>
    <row r="3" spans="1:7" ht="23.25" customHeight="1">
      <c r="A3" s="7" t="s">
        <v>357</v>
      </c>
      <c r="B3" s="8"/>
      <c r="C3" s="9"/>
    </row>
    <row r="4" spans="1:7" ht="27" customHeight="1" thickBot="1">
      <c r="A4" s="10" t="s">
        <v>1</v>
      </c>
      <c r="B4" s="11" t="s">
        <v>2</v>
      </c>
      <c r="C4" s="12" t="s">
        <v>3</v>
      </c>
    </row>
    <row r="5" spans="1:7" ht="39" customHeight="1" thickTop="1">
      <c r="A5" s="204" t="s">
        <v>8</v>
      </c>
      <c r="B5" s="206">
        <v>43145</v>
      </c>
      <c r="C5" s="13" t="s">
        <v>359</v>
      </c>
      <c r="E5" s="14"/>
      <c r="F5" s="15"/>
      <c r="G5" s="3"/>
    </row>
    <row r="6" spans="1:7" ht="39" customHeight="1">
      <c r="A6" s="204" t="s">
        <v>333</v>
      </c>
      <c r="B6" s="206">
        <v>43045</v>
      </c>
      <c r="C6" s="13" t="s">
        <v>360</v>
      </c>
      <c r="E6" s="14"/>
      <c r="F6" s="15"/>
      <c r="G6" s="3"/>
    </row>
    <row r="7" spans="1:7" ht="39" customHeight="1">
      <c r="A7" s="204" t="s">
        <v>335</v>
      </c>
      <c r="B7" s="206">
        <v>43145</v>
      </c>
      <c r="C7" s="13" t="s">
        <v>361</v>
      </c>
      <c r="E7" s="14"/>
      <c r="F7" s="15"/>
      <c r="G7" s="3"/>
    </row>
    <row r="8" spans="1:7" ht="39" customHeight="1">
      <c r="A8" s="204" t="s">
        <v>338</v>
      </c>
      <c r="B8" s="206">
        <v>43145</v>
      </c>
      <c r="C8" s="13" t="s">
        <v>362</v>
      </c>
      <c r="E8" s="14"/>
      <c r="F8" s="15"/>
      <c r="G8" s="3"/>
    </row>
    <row r="9" spans="1:7" ht="39" customHeight="1">
      <c r="A9" s="204" t="s">
        <v>340</v>
      </c>
      <c r="B9" s="206">
        <v>43145</v>
      </c>
      <c r="C9" s="13" t="s">
        <v>362</v>
      </c>
      <c r="E9" s="14"/>
      <c r="F9" s="15"/>
      <c r="G9" s="3"/>
    </row>
    <row r="10" spans="1:7" ht="39" customHeight="1">
      <c r="A10" s="204" t="s">
        <v>342</v>
      </c>
      <c r="B10" s="206">
        <v>43145</v>
      </c>
      <c r="C10" s="13" t="s">
        <v>362</v>
      </c>
      <c r="E10" s="14"/>
      <c r="F10" s="15"/>
      <c r="G10" s="3"/>
    </row>
    <row r="11" spans="1:7" ht="39" customHeight="1">
      <c r="A11" s="204" t="s">
        <v>344</v>
      </c>
      <c r="B11" s="206">
        <v>43145</v>
      </c>
      <c r="C11" s="13" t="s">
        <v>363</v>
      </c>
      <c r="E11" s="14"/>
      <c r="F11" s="15"/>
      <c r="G11" s="3"/>
    </row>
    <row r="12" spans="1:7" ht="39" customHeight="1">
      <c r="A12" s="204" t="s">
        <v>346</v>
      </c>
      <c r="B12" s="206">
        <v>43145</v>
      </c>
      <c r="C12" s="13" t="s">
        <v>363</v>
      </c>
      <c r="E12" s="14"/>
      <c r="F12" s="15"/>
      <c r="G12" s="3"/>
    </row>
    <row r="13" spans="1:7" ht="39" customHeight="1">
      <c r="A13" s="204" t="s">
        <v>348</v>
      </c>
      <c r="B13" s="206">
        <v>43145</v>
      </c>
      <c r="C13" s="13" t="s">
        <v>362</v>
      </c>
      <c r="E13" s="14"/>
      <c r="F13" s="15"/>
      <c r="G13" s="3"/>
    </row>
    <row r="14" spans="1:7" ht="39" customHeight="1">
      <c r="A14" s="204" t="s">
        <v>350</v>
      </c>
      <c r="B14" s="206">
        <v>43145</v>
      </c>
      <c r="C14" s="13" t="s">
        <v>362</v>
      </c>
      <c r="E14" s="14"/>
      <c r="F14" s="15"/>
      <c r="G14" s="3"/>
    </row>
    <row r="15" spans="1:7" ht="39" customHeight="1">
      <c r="A15" s="204" t="s">
        <v>353</v>
      </c>
      <c r="B15" s="206">
        <v>43145</v>
      </c>
      <c r="C15" s="13" t="s">
        <v>362</v>
      </c>
      <c r="E15" s="14"/>
      <c r="F15" s="15"/>
      <c r="G15" s="3"/>
    </row>
    <row r="16" spans="1:7" ht="39" customHeight="1">
      <c r="A16" s="205" t="s">
        <v>0</v>
      </c>
      <c r="B16" s="207">
        <v>43045</v>
      </c>
      <c r="C16" s="16" t="s">
        <v>364</v>
      </c>
      <c r="E16" s="14"/>
      <c r="F16" s="15"/>
      <c r="G16" s="3"/>
    </row>
    <row r="17" spans="1:3" ht="30" customHeight="1">
      <c r="A17" s="17"/>
      <c r="B17" s="17"/>
      <c r="C17" s="17"/>
    </row>
  </sheetData>
  <mergeCells count="2">
    <mergeCell ref="A2:C2"/>
    <mergeCell ref="A3:C3"/>
  </mergeCells>
  <conditionalFormatting sqref="B5:C16">
    <cfRule type="expression" dxfId="1522" priority="1">
      <formula>$B5=""</formula>
    </cfRule>
  </conditionalFormatting>
  <hyperlinks>
    <hyperlink ref="A5" location="'Jul16'!A1" display="July 2016"/>
    <hyperlink ref="A6" location="'Aug16'!A1" display="August 2016"/>
    <hyperlink ref="A7" location="'Sep16'!A1" display="September 2016"/>
    <hyperlink ref="A8" location="'Oct16'!A1" display="October 2016"/>
    <hyperlink ref="A9" location="'Nov16'!A1" display="November 2016"/>
    <hyperlink ref="A10" location="'Dec16'!A1" display="December 2016"/>
    <hyperlink ref="A11" location="'Jan17'!A1" display="January 2017"/>
    <hyperlink ref="A12" location="'Feb17'!A1" display="February 2017"/>
    <hyperlink ref="A13" location="'Mar17'!A1" display="March 2017"/>
    <hyperlink ref="A14" location="'Apr17'!A1" display="April 2017"/>
    <hyperlink ref="A15" location="'May17'!A1" display="May 2017"/>
    <hyperlink ref="A16" location="'Jun17'!A1" display="June 2017"/>
  </hyperlinks>
  <printOptions horizontalCentered="1" verticalCentered="1"/>
  <pageMargins left="0.25" right="0.25" top="0.5" bottom="0.5" header="0.25" footer="0.25"/>
  <pageSetup scale="94" orientation="landscape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340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128365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29423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129103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87335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216</v>
      </c>
      <c r="T13" s="63">
        <v>6</v>
      </c>
      <c r="U13" s="64">
        <v>1837</v>
      </c>
      <c r="V13" s="84">
        <v>7</v>
      </c>
      <c r="W13" s="85">
        <v>2053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34</v>
      </c>
      <c r="T14" s="88">
        <v>9</v>
      </c>
      <c r="U14" s="89">
        <v>36894</v>
      </c>
      <c r="V14" s="88">
        <v>10</v>
      </c>
      <c r="W14" s="90">
        <v>36928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28</v>
      </c>
      <c r="T15" s="71">
        <v>12</v>
      </c>
      <c r="U15" s="64">
        <v>19607</v>
      </c>
      <c r="V15" s="88">
        <v>13</v>
      </c>
      <c r="W15" s="90">
        <v>19635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6</v>
      </c>
      <c r="T16" s="71">
        <v>15</v>
      </c>
      <c r="U16" s="64">
        <v>17287</v>
      </c>
      <c r="V16" s="88">
        <v>16</v>
      </c>
      <c r="W16" s="90">
        <v>17293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12</v>
      </c>
      <c r="T17" s="71">
        <v>18</v>
      </c>
      <c r="U17" s="64">
        <v>2206</v>
      </c>
      <c r="V17" s="88">
        <v>19</v>
      </c>
      <c r="W17" s="90">
        <v>2218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0</v>
      </c>
      <c r="T18" s="82">
        <v>21</v>
      </c>
      <c r="U18" s="64">
        <v>4840</v>
      </c>
      <c r="V18" s="88">
        <v>22</v>
      </c>
      <c r="W18" s="90">
        <v>4840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4547</v>
      </c>
      <c r="T20" s="98">
        <v>24</v>
      </c>
      <c r="U20" s="89">
        <v>108256</v>
      </c>
      <c r="V20" s="84">
        <v>25</v>
      </c>
      <c r="W20" s="89">
        <v>112803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2954</v>
      </c>
      <c r="T21" s="76">
        <v>27</v>
      </c>
      <c r="U21" s="77">
        <v>46375</v>
      </c>
      <c r="V21" s="88">
        <v>28</v>
      </c>
      <c r="W21" s="77">
        <v>49329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2535</v>
      </c>
      <c r="T22" s="71">
        <v>30</v>
      </c>
      <c r="U22" s="64">
        <v>43075</v>
      </c>
      <c r="V22" s="88">
        <v>31</v>
      </c>
      <c r="W22" s="90">
        <v>45610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142</v>
      </c>
      <c r="T23" s="71">
        <v>33</v>
      </c>
      <c r="U23" s="64">
        <v>1735</v>
      </c>
      <c r="V23" s="88">
        <v>34</v>
      </c>
      <c r="W23" s="90">
        <v>1877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277</v>
      </c>
      <c r="T24" s="71">
        <v>36</v>
      </c>
      <c r="U24" s="64">
        <v>1565</v>
      </c>
      <c r="V24" s="88">
        <v>37</v>
      </c>
      <c r="W24" s="90">
        <v>1842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1593</v>
      </c>
      <c r="T25" s="82">
        <v>39</v>
      </c>
      <c r="U25" s="64">
        <v>61881</v>
      </c>
      <c r="V25" s="88">
        <v>40</v>
      </c>
      <c r="W25" s="90">
        <v>63474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244574</v>
      </c>
      <c r="T27" s="63">
        <v>42</v>
      </c>
      <c r="U27" s="64">
        <v>1624424</v>
      </c>
      <c r="V27" s="84">
        <v>43</v>
      </c>
      <c r="W27" s="85">
        <v>1868998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245742</v>
      </c>
      <c r="T28" s="71">
        <v>45</v>
      </c>
      <c r="U28" s="64">
        <v>1631469</v>
      </c>
      <c r="V28" s="88">
        <v>46</v>
      </c>
      <c r="W28" s="90">
        <v>1877211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-1168</v>
      </c>
      <c r="T29" s="76">
        <v>48</v>
      </c>
      <c r="U29" s="108">
        <v>-7045</v>
      </c>
      <c r="V29" s="88">
        <v>49</v>
      </c>
      <c r="W29" s="109">
        <v>-8213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12209</v>
      </c>
      <c r="T30" s="88">
        <v>51</v>
      </c>
      <c r="U30" s="110">
        <v>141280</v>
      </c>
      <c r="V30" s="88">
        <v>52</v>
      </c>
      <c r="W30" s="90">
        <v>153489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6101</v>
      </c>
      <c r="H33" s="122">
        <v>54</v>
      </c>
      <c r="I33" s="64">
        <v>130</v>
      </c>
      <c r="J33" s="122">
        <v>55</v>
      </c>
      <c r="K33" s="64">
        <v>21</v>
      </c>
      <c r="L33" s="122">
        <v>56</v>
      </c>
      <c r="M33" s="64">
        <v>79518</v>
      </c>
      <c r="N33" s="122">
        <v>57</v>
      </c>
      <c r="O33" s="64">
        <v>961</v>
      </c>
      <c r="P33" s="122">
        <v>58</v>
      </c>
      <c r="Q33" s="64">
        <v>604</v>
      </c>
      <c r="R33" s="76">
        <v>59</v>
      </c>
      <c r="S33" s="123">
        <v>6252</v>
      </c>
      <c r="T33" s="124">
        <v>60</v>
      </c>
      <c r="U33" s="123">
        <v>81083</v>
      </c>
      <c r="V33" s="88">
        <v>61</v>
      </c>
      <c r="W33" s="90">
        <v>87335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-2443</v>
      </c>
      <c r="T34" s="126">
        <v>63</v>
      </c>
      <c r="U34" s="64">
        <v>2443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432</v>
      </c>
      <c r="T35" s="126">
        <v>66</v>
      </c>
      <c r="U35" s="64">
        <v>2296</v>
      </c>
      <c r="V35" s="88">
        <v>67</v>
      </c>
      <c r="W35" s="90">
        <v>2728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1029</v>
      </c>
      <c r="T36" s="126">
        <v>69</v>
      </c>
      <c r="U36" s="64">
        <v>11589</v>
      </c>
      <c r="V36" s="88">
        <v>70</v>
      </c>
      <c r="W36" s="90">
        <v>12618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6939</v>
      </c>
      <c r="T37" s="126">
        <v>72</v>
      </c>
      <c r="U37" s="64">
        <v>43869</v>
      </c>
      <c r="V37" s="88">
        <v>73</v>
      </c>
      <c r="W37" s="90">
        <v>50808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256783</v>
      </c>
      <c r="T39" s="124">
        <v>75</v>
      </c>
      <c r="U39" s="123">
        <v>1765704</v>
      </c>
      <c r="V39" s="88">
        <v>76</v>
      </c>
      <c r="W39" s="90">
        <v>2022487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251678</v>
      </c>
      <c r="T40" s="132">
        <v>78</v>
      </c>
      <c r="U40" s="64">
        <v>1735886</v>
      </c>
      <c r="V40" s="88">
        <v>79</v>
      </c>
      <c r="W40" s="90">
        <v>1987564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4160716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2639</v>
      </c>
      <c r="P43" s="134">
        <v>82</v>
      </c>
      <c r="Q43" s="64">
        <v>29529</v>
      </c>
      <c r="R43" s="71">
        <v>83</v>
      </c>
      <c r="S43" s="64">
        <v>4763</v>
      </c>
      <c r="T43" s="71">
        <v>84</v>
      </c>
      <c r="U43" s="64">
        <v>19843</v>
      </c>
      <c r="V43" s="76">
        <v>85</v>
      </c>
      <c r="W43" s="135">
        <v>24606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12564</v>
      </c>
      <c r="P44" s="136">
        <v>87</v>
      </c>
      <c r="Q44" s="64">
        <v>1123</v>
      </c>
      <c r="R44" s="71">
        <v>88</v>
      </c>
      <c r="S44" s="64">
        <v>342</v>
      </c>
      <c r="T44" s="71">
        <v>89</v>
      </c>
      <c r="U44" s="64">
        <v>9975</v>
      </c>
      <c r="V44" s="76">
        <v>90</v>
      </c>
      <c r="W44" s="135">
        <v>10317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13227</v>
      </c>
      <c r="T45" s="71">
        <v>92</v>
      </c>
      <c r="U45" s="64">
        <v>150719</v>
      </c>
      <c r="V45" s="76">
        <v>93</v>
      </c>
      <c r="W45" s="135">
        <v>163946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106</v>
      </c>
      <c r="T46" s="71">
        <v>95</v>
      </c>
      <c r="U46" s="64">
        <v>830</v>
      </c>
      <c r="V46" s="76">
        <v>96</v>
      </c>
      <c r="W46" s="135">
        <v>936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243556</v>
      </c>
      <c r="T47" s="141">
        <v>98</v>
      </c>
      <c r="U47" s="143">
        <v>1614985</v>
      </c>
      <c r="V47" s="88">
        <v>99</v>
      </c>
      <c r="W47" s="90">
        <v>1858541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15338</v>
      </c>
      <c r="T49" s="144">
        <v>101</v>
      </c>
      <c r="U49" s="145">
        <v>73552</v>
      </c>
      <c r="V49" s="98">
        <v>102</v>
      </c>
      <c r="W49" s="146">
        <v>88890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14800</v>
      </c>
      <c r="H52" s="122">
        <v>104</v>
      </c>
      <c r="I52" s="64">
        <v>291</v>
      </c>
      <c r="J52" s="122">
        <v>105</v>
      </c>
      <c r="K52" s="64">
        <v>6</v>
      </c>
      <c r="L52" s="122">
        <v>106</v>
      </c>
      <c r="M52" s="64">
        <v>67556</v>
      </c>
      <c r="N52" s="122">
        <v>107</v>
      </c>
      <c r="O52" s="64">
        <v>994</v>
      </c>
      <c r="P52" s="122">
        <v>108</v>
      </c>
      <c r="Q52" s="64">
        <v>276</v>
      </c>
      <c r="R52" s="155">
        <v>109</v>
      </c>
      <c r="S52" s="156">
        <v>15097</v>
      </c>
      <c r="T52" s="155">
        <v>110</v>
      </c>
      <c r="U52" s="156">
        <v>68826</v>
      </c>
      <c r="V52" s="76">
        <v>111</v>
      </c>
      <c r="W52" s="135">
        <v>83923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233</v>
      </c>
      <c r="H53" s="122">
        <v>113</v>
      </c>
      <c r="I53" s="64">
        <v>7</v>
      </c>
      <c r="J53" s="122">
        <v>114</v>
      </c>
      <c r="K53" s="64">
        <v>1</v>
      </c>
      <c r="L53" s="122">
        <v>115</v>
      </c>
      <c r="M53" s="64">
        <v>4589</v>
      </c>
      <c r="N53" s="122">
        <v>116</v>
      </c>
      <c r="O53" s="64">
        <v>113</v>
      </c>
      <c r="P53" s="122">
        <v>117</v>
      </c>
      <c r="Q53" s="64">
        <v>24</v>
      </c>
      <c r="R53" s="155">
        <v>118</v>
      </c>
      <c r="S53" s="156">
        <v>241</v>
      </c>
      <c r="T53" s="155">
        <v>119</v>
      </c>
      <c r="U53" s="156">
        <v>4726</v>
      </c>
      <c r="V53" s="76">
        <v>120</v>
      </c>
      <c r="W53" s="135">
        <v>4967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19</v>
      </c>
      <c r="T54" s="162">
        <v>122</v>
      </c>
      <c r="U54" s="64">
        <v>118</v>
      </c>
      <c r="V54" s="76">
        <v>123</v>
      </c>
      <c r="W54" s="135">
        <v>137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362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26055402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341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340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1"/>
    </row>
    <row r="7" spans="1:129">
      <c r="A7" s="189" t="s">
        <v>272</v>
      </c>
      <c r="B7" s="190">
        <v>6</v>
      </c>
      <c r="C7" s="190">
        <v>0</v>
      </c>
      <c r="D7" s="190">
        <v>4</v>
      </c>
      <c r="E7" s="190">
        <v>4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4</v>
      </c>
      <c r="Z7" s="190">
        <v>4</v>
      </c>
      <c r="AA7" s="190">
        <v>0</v>
      </c>
      <c r="AB7" s="190">
        <v>3</v>
      </c>
      <c r="AC7" s="190">
        <v>3</v>
      </c>
      <c r="AD7" s="190">
        <v>0</v>
      </c>
      <c r="AE7" s="190">
        <v>1</v>
      </c>
      <c r="AF7" s="190">
        <v>1</v>
      </c>
      <c r="AG7" s="190">
        <v>0</v>
      </c>
      <c r="AH7" s="190">
        <v>1</v>
      </c>
      <c r="AI7" s="190">
        <v>1</v>
      </c>
      <c r="AJ7" s="190">
        <v>0</v>
      </c>
      <c r="AK7" s="190">
        <v>1</v>
      </c>
      <c r="AL7" s="190">
        <v>1</v>
      </c>
      <c r="AM7" s="190">
        <v>0</v>
      </c>
      <c r="AN7" s="190">
        <v>1</v>
      </c>
      <c r="AO7" s="190">
        <v>1</v>
      </c>
      <c r="AP7" s="190">
        <v>0</v>
      </c>
      <c r="AQ7" s="190">
        <v>85</v>
      </c>
      <c r="AR7" s="190">
        <v>85</v>
      </c>
      <c r="AS7" s="190">
        <v>0</v>
      </c>
      <c r="AT7" s="190">
        <v>85</v>
      </c>
      <c r="AU7" s="190">
        <v>85</v>
      </c>
      <c r="AV7" s="190">
        <v>0</v>
      </c>
      <c r="AW7" s="190">
        <v>0</v>
      </c>
      <c r="AX7" s="190">
        <v>0</v>
      </c>
      <c r="AY7" s="190">
        <v>1</v>
      </c>
      <c r="AZ7" s="190">
        <v>5</v>
      </c>
      <c r="BA7" s="190">
        <v>6</v>
      </c>
      <c r="BB7" s="190">
        <v>1</v>
      </c>
      <c r="BC7" s="190">
        <v>0</v>
      </c>
      <c r="BD7" s="190">
        <v>0</v>
      </c>
      <c r="BE7" s="190">
        <v>3</v>
      </c>
      <c r="BF7" s="190">
        <v>0</v>
      </c>
      <c r="BG7" s="190">
        <v>0</v>
      </c>
      <c r="BH7" s="190">
        <v>1</v>
      </c>
      <c r="BI7" s="190">
        <v>3</v>
      </c>
      <c r="BJ7" s="190">
        <v>4</v>
      </c>
      <c r="BK7" s="190">
        <v>0</v>
      </c>
      <c r="BL7" s="190">
        <v>0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2</v>
      </c>
      <c r="BS7" s="190">
        <v>2</v>
      </c>
      <c r="BT7" s="190">
        <v>0</v>
      </c>
      <c r="BU7" s="190">
        <v>0</v>
      </c>
      <c r="BV7" s="190">
        <v>0</v>
      </c>
      <c r="BW7" s="190">
        <v>1</v>
      </c>
      <c r="BX7" s="190">
        <v>90</v>
      </c>
      <c r="BY7" s="190">
        <v>91</v>
      </c>
      <c r="BZ7" s="190">
        <v>1</v>
      </c>
      <c r="CA7" s="190">
        <v>90</v>
      </c>
      <c r="CB7" s="190">
        <v>91</v>
      </c>
      <c r="CC7" s="190">
        <v>148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12</v>
      </c>
      <c r="CP7" s="190">
        <v>12</v>
      </c>
      <c r="CQ7" s="190">
        <v>0</v>
      </c>
      <c r="CR7" s="190">
        <v>0</v>
      </c>
      <c r="CS7" s="190">
        <v>0</v>
      </c>
      <c r="CT7" s="190">
        <v>1</v>
      </c>
      <c r="CU7" s="190">
        <v>78</v>
      </c>
      <c r="CV7" s="190">
        <v>79</v>
      </c>
      <c r="CW7" s="190">
        <v>0</v>
      </c>
      <c r="CX7" s="190">
        <v>3</v>
      </c>
      <c r="CY7" s="190">
        <v>3</v>
      </c>
      <c r="CZ7" s="190">
        <v>0</v>
      </c>
      <c r="DA7" s="190">
        <v>0</v>
      </c>
      <c r="DB7" s="190">
        <v>0</v>
      </c>
      <c r="DC7" s="190">
        <v>3</v>
      </c>
      <c r="DD7" s="190">
        <v>0</v>
      </c>
      <c r="DE7" s="190">
        <v>0</v>
      </c>
      <c r="DF7" s="190">
        <v>0</v>
      </c>
      <c r="DG7" s="190">
        <v>3</v>
      </c>
      <c r="DH7" s="190">
        <v>3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136</v>
      </c>
      <c r="C8" s="190">
        <v>22</v>
      </c>
      <c r="D8" s="190">
        <v>132</v>
      </c>
      <c r="E8" s="190">
        <v>89</v>
      </c>
      <c r="F8" s="190">
        <v>0</v>
      </c>
      <c r="G8" s="190">
        <v>4</v>
      </c>
      <c r="H8" s="190">
        <v>4</v>
      </c>
      <c r="I8" s="190">
        <v>0</v>
      </c>
      <c r="J8" s="190">
        <v>36</v>
      </c>
      <c r="K8" s="190">
        <v>36</v>
      </c>
      <c r="L8" s="190">
        <v>0</v>
      </c>
      <c r="M8" s="190">
        <v>15</v>
      </c>
      <c r="N8" s="190">
        <v>15</v>
      </c>
      <c r="O8" s="190">
        <v>0</v>
      </c>
      <c r="P8" s="190">
        <v>21</v>
      </c>
      <c r="Q8" s="190">
        <v>21</v>
      </c>
      <c r="R8" s="190">
        <v>0</v>
      </c>
      <c r="S8" s="190">
        <v>0</v>
      </c>
      <c r="T8" s="190">
        <v>0</v>
      </c>
      <c r="U8" s="190">
        <v>0</v>
      </c>
      <c r="V8" s="190">
        <v>7</v>
      </c>
      <c r="W8" s="190">
        <v>7</v>
      </c>
      <c r="X8" s="190">
        <v>4</v>
      </c>
      <c r="Y8" s="190">
        <v>128</v>
      </c>
      <c r="Z8" s="190">
        <v>132</v>
      </c>
      <c r="AA8" s="190">
        <v>2</v>
      </c>
      <c r="AB8" s="190">
        <v>58</v>
      </c>
      <c r="AC8" s="190">
        <v>60</v>
      </c>
      <c r="AD8" s="190">
        <v>2</v>
      </c>
      <c r="AE8" s="190">
        <v>57</v>
      </c>
      <c r="AF8" s="190">
        <v>59</v>
      </c>
      <c r="AG8" s="190">
        <v>0</v>
      </c>
      <c r="AH8" s="190">
        <v>1</v>
      </c>
      <c r="AI8" s="190">
        <v>1</v>
      </c>
      <c r="AJ8" s="190">
        <v>0</v>
      </c>
      <c r="AK8" s="190">
        <v>0</v>
      </c>
      <c r="AL8" s="190">
        <v>0</v>
      </c>
      <c r="AM8" s="190">
        <v>2</v>
      </c>
      <c r="AN8" s="190">
        <v>70</v>
      </c>
      <c r="AO8" s="190">
        <v>72</v>
      </c>
      <c r="AP8" s="190">
        <v>127</v>
      </c>
      <c r="AQ8" s="190">
        <v>1479</v>
      </c>
      <c r="AR8" s="190">
        <v>1606</v>
      </c>
      <c r="AS8" s="190">
        <v>127</v>
      </c>
      <c r="AT8" s="190">
        <v>1479</v>
      </c>
      <c r="AU8" s="190">
        <v>1606</v>
      </c>
      <c r="AV8" s="190">
        <v>0</v>
      </c>
      <c r="AW8" s="190">
        <v>0</v>
      </c>
      <c r="AX8" s="190">
        <v>0</v>
      </c>
      <c r="AY8" s="190">
        <v>9</v>
      </c>
      <c r="AZ8" s="190">
        <v>139</v>
      </c>
      <c r="BA8" s="190">
        <v>148</v>
      </c>
      <c r="BB8" s="190">
        <v>5</v>
      </c>
      <c r="BC8" s="190">
        <v>0</v>
      </c>
      <c r="BD8" s="190">
        <v>0</v>
      </c>
      <c r="BE8" s="190">
        <v>84</v>
      </c>
      <c r="BF8" s="190">
        <v>0</v>
      </c>
      <c r="BG8" s="190">
        <v>0</v>
      </c>
      <c r="BH8" s="190">
        <v>5</v>
      </c>
      <c r="BI8" s="190">
        <v>84</v>
      </c>
      <c r="BJ8" s="190">
        <v>89</v>
      </c>
      <c r="BK8" s="190">
        <v>-6</v>
      </c>
      <c r="BL8" s="190">
        <v>6</v>
      </c>
      <c r="BM8" s="190">
        <v>0</v>
      </c>
      <c r="BN8" s="190">
        <v>1</v>
      </c>
      <c r="BO8" s="190">
        <v>4</v>
      </c>
      <c r="BP8" s="190">
        <v>5</v>
      </c>
      <c r="BQ8" s="190">
        <v>2</v>
      </c>
      <c r="BR8" s="190">
        <v>18</v>
      </c>
      <c r="BS8" s="190">
        <v>20</v>
      </c>
      <c r="BT8" s="190">
        <v>7</v>
      </c>
      <c r="BU8" s="190">
        <v>27</v>
      </c>
      <c r="BV8" s="190">
        <v>34</v>
      </c>
      <c r="BW8" s="190">
        <v>136</v>
      </c>
      <c r="BX8" s="190">
        <v>1618</v>
      </c>
      <c r="BY8" s="190">
        <v>1754</v>
      </c>
      <c r="BZ8" s="190">
        <v>136</v>
      </c>
      <c r="CA8" s="190">
        <v>1616</v>
      </c>
      <c r="CB8" s="190">
        <v>1752</v>
      </c>
      <c r="CC8" s="190">
        <v>3259</v>
      </c>
      <c r="CD8" s="190">
        <v>0</v>
      </c>
      <c r="CE8" s="190">
        <v>1</v>
      </c>
      <c r="CF8" s="190">
        <v>0</v>
      </c>
      <c r="CG8" s="190">
        <v>1</v>
      </c>
      <c r="CH8" s="190">
        <v>1</v>
      </c>
      <c r="CI8" s="190">
        <v>1</v>
      </c>
      <c r="CJ8" s="190">
        <v>0</v>
      </c>
      <c r="CK8" s="190">
        <v>0</v>
      </c>
      <c r="CL8" s="190">
        <v>1</v>
      </c>
      <c r="CM8" s="190">
        <v>1</v>
      </c>
      <c r="CN8" s="190">
        <v>10</v>
      </c>
      <c r="CO8" s="190">
        <v>145</v>
      </c>
      <c r="CP8" s="190">
        <v>155</v>
      </c>
      <c r="CQ8" s="190">
        <v>0</v>
      </c>
      <c r="CR8" s="190">
        <v>0</v>
      </c>
      <c r="CS8" s="190">
        <v>0</v>
      </c>
      <c r="CT8" s="190">
        <v>126</v>
      </c>
      <c r="CU8" s="190">
        <v>1473</v>
      </c>
      <c r="CV8" s="190">
        <v>1599</v>
      </c>
      <c r="CW8" s="190">
        <v>8</v>
      </c>
      <c r="CX8" s="190">
        <v>77</v>
      </c>
      <c r="CY8" s="190">
        <v>85</v>
      </c>
      <c r="CZ8" s="190">
        <v>8</v>
      </c>
      <c r="DA8" s="190">
        <v>0</v>
      </c>
      <c r="DB8" s="190">
        <v>0</v>
      </c>
      <c r="DC8" s="190">
        <v>75</v>
      </c>
      <c r="DD8" s="190">
        <v>0</v>
      </c>
      <c r="DE8" s="190">
        <v>0</v>
      </c>
      <c r="DF8" s="190">
        <v>8</v>
      </c>
      <c r="DG8" s="190">
        <v>75</v>
      </c>
      <c r="DH8" s="190">
        <v>83</v>
      </c>
      <c r="DI8" s="190">
        <v>0</v>
      </c>
      <c r="DJ8" s="190">
        <v>0</v>
      </c>
      <c r="DK8" s="190">
        <v>0</v>
      </c>
      <c r="DL8" s="190">
        <v>2</v>
      </c>
      <c r="DM8" s="190">
        <v>0</v>
      </c>
      <c r="DN8" s="190">
        <v>0</v>
      </c>
      <c r="DO8" s="190">
        <v>0</v>
      </c>
      <c r="DP8" s="190">
        <v>2</v>
      </c>
      <c r="DQ8" s="190">
        <v>2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1285</v>
      </c>
      <c r="C9" s="190">
        <v>446</v>
      </c>
      <c r="D9" s="190">
        <v>1470</v>
      </c>
      <c r="E9" s="190">
        <v>811</v>
      </c>
      <c r="F9" s="190">
        <v>4</v>
      </c>
      <c r="G9" s="190">
        <v>108</v>
      </c>
      <c r="H9" s="190">
        <v>112</v>
      </c>
      <c r="I9" s="190">
        <v>1</v>
      </c>
      <c r="J9" s="190">
        <v>578</v>
      </c>
      <c r="K9" s="190">
        <v>579</v>
      </c>
      <c r="L9" s="190">
        <v>1</v>
      </c>
      <c r="M9" s="190">
        <v>224</v>
      </c>
      <c r="N9" s="190">
        <v>225</v>
      </c>
      <c r="O9" s="190">
        <v>0</v>
      </c>
      <c r="P9" s="190">
        <v>354</v>
      </c>
      <c r="Q9" s="190">
        <v>354</v>
      </c>
      <c r="R9" s="190">
        <v>1</v>
      </c>
      <c r="S9" s="190">
        <v>42</v>
      </c>
      <c r="T9" s="190">
        <v>43</v>
      </c>
      <c r="U9" s="190">
        <v>0</v>
      </c>
      <c r="V9" s="190">
        <v>80</v>
      </c>
      <c r="W9" s="190">
        <v>80</v>
      </c>
      <c r="X9" s="190">
        <v>21</v>
      </c>
      <c r="Y9" s="190">
        <v>1448</v>
      </c>
      <c r="Z9" s="190">
        <v>1469</v>
      </c>
      <c r="AA9" s="190">
        <v>9</v>
      </c>
      <c r="AB9" s="190">
        <v>541</v>
      </c>
      <c r="AC9" s="190">
        <v>550</v>
      </c>
      <c r="AD9" s="190">
        <v>8</v>
      </c>
      <c r="AE9" s="190">
        <v>515</v>
      </c>
      <c r="AF9" s="190">
        <v>523</v>
      </c>
      <c r="AG9" s="190">
        <v>1</v>
      </c>
      <c r="AH9" s="190">
        <v>16</v>
      </c>
      <c r="AI9" s="190">
        <v>17</v>
      </c>
      <c r="AJ9" s="190">
        <v>0</v>
      </c>
      <c r="AK9" s="190">
        <v>10</v>
      </c>
      <c r="AL9" s="190">
        <v>10</v>
      </c>
      <c r="AM9" s="190">
        <v>12</v>
      </c>
      <c r="AN9" s="190">
        <v>907</v>
      </c>
      <c r="AO9" s="190">
        <v>919</v>
      </c>
      <c r="AP9" s="190">
        <v>1633</v>
      </c>
      <c r="AQ9" s="190">
        <v>14057</v>
      </c>
      <c r="AR9" s="190">
        <v>15690</v>
      </c>
      <c r="AS9" s="190">
        <v>1633</v>
      </c>
      <c r="AT9" s="190">
        <v>14058</v>
      </c>
      <c r="AU9" s="190">
        <v>15691</v>
      </c>
      <c r="AV9" s="190">
        <v>0</v>
      </c>
      <c r="AW9" s="190">
        <v>-1</v>
      </c>
      <c r="AX9" s="190">
        <v>-1</v>
      </c>
      <c r="AY9" s="190">
        <v>86</v>
      </c>
      <c r="AZ9" s="190">
        <v>1332</v>
      </c>
      <c r="BA9" s="190">
        <v>1418</v>
      </c>
      <c r="BB9" s="190">
        <v>27</v>
      </c>
      <c r="BC9" s="190">
        <v>0</v>
      </c>
      <c r="BD9" s="190">
        <v>0</v>
      </c>
      <c r="BE9" s="190">
        <v>782</v>
      </c>
      <c r="BF9" s="190">
        <v>2</v>
      </c>
      <c r="BG9" s="190">
        <v>0</v>
      </c>
      <c r="BH9" s="190">
        <v>27</v>
      </c>
      <c r="BI9" s="190">
        <v>784</v>
      </c>
      <c r="BJ9" s="190">
        <v>811</v>
      </c>
      <c r="BK9" s="190">
        <v>4</v>
      </c>
      <c r="BL9" s="190">
        <v>-4</v>
      </c>
      <c r="BM9" s="190">
        <v>0</v>
      </c>
      <c r="BN9" s="190">
        <v>12</v>
      </c>
      <c r="BO9" s="190">
        <v>27</v>
      </c>
      <c r="BP9" s="190">
        <v>39</v>
      </c>
      <c r="BQ9" s="190">
        <v>3</v>
      </c>
      <c r="BR9" s="190">
        <v>162</v>
      </c>
      <c r="BS9" s="190">
        <v>165</v>
      </c>
      <c r="BT9" s="190">
        <v>40</v>
      </c>
      <c r="BU9" s="190">
        <v>363</v>
      </c>
      <c r="BV9" s="190">
        <v>403</v>
      </c>
      <c r="BW9" s="190">
        <v>1719</v>
      </c>
      <c r="BX9" s="190">
        <v>15389</v>
      </c>
      <c r="BY9" s="190">
        <v>17108</v>
      </c>
      <c r="BZ9" s="190">
        <v>1712</v>
      </c>
      <c r="CA9" s="190">
        <v>15316</v>
      </c>
      <c r="CB9" s="190">
        <v>17028</v>
      </c>
      <c r="CC9" s="190">
        <v>31903</v>
      </c>
      <c r="CD9" s="190">
        <v>6</v>
      </c>
      <c r="CE9" s="190">
        <v>42</v>
      </c>
      <c r="CF9" s="190">
        <v>6</v>
      </c>
      <c r="CG9" s="190">
        <v>40</v>
      </c>
      <c r="CH9" s="190">
        <v>46</v>
      </c>
      <c r="CI9" s="190">
        <v>34</v>
      </c>
      <c r="CJ9" s="190">
        <v>6</v>
      </c>
      <c r="CK9" s="190">
        <v>1</v>
      </c>
      <c r="CL9" s="190">
        <v>33</v>
      </c>
      <c r="CM9" s="190">
        <v>34</v>
      </c>
      <c r="CN9" s="190">
        <v>120</v>
      </c>
      <c r="CO9" s="190">
        <v>1378</v>
      </c>
      <c r="CP9" s="190">
        <v>1498</v>
      </c>
      <c r="CQ9" s="190">
        <v>0</v>
      </c>
      <c r="CR9" s="190">
        <v>17</v>
      </c>
      <c r="CS9" s="190">
        <v>17</v>
      </c>
      <c r="CT9" s="190">
        <v>1599</v>
      </c>
      <c r="CU9" s="190">
        <v>14011</v>
      </c>
      <c r="CV9" s="190">
        <v>15610</v>
      </c>
      <c r="CW9" s="190">
        <v>88</v>
      </c>
      <c r="CX9" s="190">
        <v>592</v>
      </c>
      <c r="CY9" s="190">
        <v>680</v>
      </c>
      <c r="CZ9" s="190">
        <v>88</v>
      </c>
      <c r="DA9" s="190">
        <v>0</v>
      </c>
      <c r="DB9" s="190">
        <v>0</v>
      </c>
      <c r="DC9" s="190">
        <v>580</v>
      </c>
      <c r="DD9" s="190">
        <v>3</v>
      </c>
      <c r="DE9" s="190">
        <v>0</v>
      </c>
      <c r="DF9" s="190">
        <v>88</v>
      </c>
      <c r="DG9" s="190">
        <v>583</v>
      </c>
      <c r="DH9" s="190">
        <v>671</v>
      </c>
      <c r="DI9" s="190">
        <v>0</v>
      </c>
      <c r="DJ9" s="190">
        <v>0</v>
      </c>
      <c r="DK9" s="190">
        <v>0</v>
      </c>
      <c r="DL9" s="190">
        <v>9</v>
      </c>
      <c r="DM9" s="190">
        <v>0</v>
      </c>
      <c r="DN9" s="190">
        <v>0</v>
      </c>
      <c r="DO9" s="190">
        <v>0</v>
      </c>
      <c r="DP9" s="190">
        <v>9</v>
      </c>
      <c r="DQ9" s="190">
        <v>9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212</v>
      </c>
      <c r="C10" s="190">
        <v>30</v>
      </c>
      <c r="D10" s="190">
        <v>185</v>
      </c>
      <c r="E10" s="190">
        <v>145</v>
      </c>
      <c r="F10" s="190">
        <v>0</v>
      </c>
      <c r="G10" s="190">
        <v>5</v>
      </c>
      <c r="H10" s="190">
        <v>5</v>
      </c>
      <c r="I10" s="190">
        <v>0</v>
      </c>
      <c r="J10" s="190">
        <v>34</v>
      </c>
      <c r="K10" s="190">
        <v>34</v>
      </c>
      <c r="L10" s="190">
        <v>0</v>
      </c>
      <c r="M10" s="190">
        <v>18</v>
      </c>
      <c r="N10" s="190">
        <v>18</v>
      </c>
      <c r="O10" s="190">
        <v>0</v>
      </c>
      <c r="P10" s="190">
        <v>16</v>
      </c>
      <c r="Q10" s="190">
        <v>16</v>
      </c>
      <c r="R10" s="190">
        <v>0</v>
      </c>
      <c r="S10" s="190">
        <v>0</v>
      </c>
      <c r="T10" s="190">
        <v>0</v>
      </c>
      <c r="U10" s="190">
        <v>0</v>
      </c>
      <c r="V10" s="190">
        <v>6</v>
      </c>
      <c r="W10" s="190">
        <v>6</v>
      </c>
      <c r="X10" s="190">
        <v>3</v>
      </c>
      <c r="Y10" s="190">
        <v>181</v>
      </c>
      <c r="Z10" s="190">
        <v>184</v>
      </c>
      <c r="AA10" s="190">
        <v>2</v>
      </c>
      <c r="AB10" s="190">
        <v>97</v>
      </c>
      <c r="AC10" s="190">
        <v>99</v>
      </c>
      <c r="AD10" s="190">
        <v>1</v>
      </c>
      <c r="AE10" s="190">
        <v>92</v>
      </c>
      <c r="AF10" s="190">
        <v>93</v>
      </c>
      <c r="AG10" s="190">
        <v>1</v>
      </c>
      <c r="AH10" s="190">
        <v>2</v>
      </c>
      <c r="AI10" s="190">
        <v>3</v>
      </c>
      <c r="AJ10" s="190">
        <v>0</v>
      </c>
      <c r="AK10" s="190">
        <v>3</v>
      </c>
      <c r="AL10" s="190">
        <v>3</v>
      </c>
      <c r="AM10" s="190">
        <v>1</v>
      </c>
      <c r="AN10" s="190">
        <v>84</v>
      </c>
      <c r="AO10" s="190">
        <v>85</v>
      </c>
      <c r="AP10" s="190">
        <v>176</v>
      </c>
      <c r="AQ10" s="190">
        <v>2487</v>
      </c>
      <c r="AR10" s="190">
        <v>2663</v>
      </c>
      <c r="AS10" s="190">
        <v>176</v>
      </c>
      <c r="AT10" s="190">
        <v>2487</v>
      </c>
      <c r="AU10" s="190">
        <v>2663</v>
      </c>
      <c r="AV10" s="190">
        <v>0</v>
      </c>
      <c r="AW10" s="190">
        <v>0</v>
      </c>
      <c r="AX10" s="190">
        <v>0</v>
      </c>
      <c r="AY10" s="190">
        <v>10</v>
      </c>
      <c r="AZ10" s="190">
        <v>229</v>
      </c>
      <c r="BA10" s="190">
        <v>239</v>
      </c>
      <c r="BB10" s="190">
        <v>5</v>
      </c>
      <c r="BC10" s="190">
        <v>0</v>
      </c>
      <c r="BD10" s="190">
        <v>0</v>
      </c>
      <c r="BE10" s="190">
        <v>138</v>
      </c>
      <c r="BF10" s="190">
        <v>1</v>
      </c>
      <c r="BG10" s="190">
        <v>1</v>
      </c>
      <c r="BH10" s="190">
        <v>5</v>
      </c>
      <c r="BI10" s="190">
        <v>140</v>
      </c>
      <c r="BJ10" s="190">
        <v>145</v>
      </c>
      <c r="BK10" s="190">
        <v>-1</v>
      </c>
      <c r="BL10" s="190">
        <v>1</v>
      </c>
      <c r="BM10" s="190">
        <v>0</v>
      </c>
      <c r="BN10" s="190">
        <v>0</v>
      </c>
      <c r="BO10" s="190">
        <v>11</v>
      </c>
      <c r="BP10" s="190">
        <v>11</v>
      </c>
      <c r="BQ10" s="190">
        <v>1</v>
      </c>
      <c r="BR10" s="190">
        <v>16</v>
      </c>
      <c r="BS10" s="190">
        <v>17</v>
      </c>
      <c r="BT10" s="190">
        <v>5</v>
      </c>
      <c r="BU10" s="190">
        <v>61</v>
      </c>
      <c r="BV10" s="190">
        <v>66</v>
      </c>
      <c r="BW10" s="190">
        <v>186</v>
      </c>
      <c r="BX10" s="190">
        <v>2716</v>
      </c>
      <c r="BY10" s="190">
        <v>2902</v>
      </c>
      <c r="BZ10" s="190">
        <v>186</v>
      </c>
      <c r="CA10" s="190">
        <v>2701</v>
      </c>
      <c r="CB10" s="190">
        <v>2887</v>
      </c>
      <c r="CC10" s="190">
        <v>5230</v>
      </c>
      <c r="CD10" s="190">
        <v>3</v>
      </c>
      <c r="CE10" s="190">
        <v>10</v>
      </c>
      <c r="CF10" s="190">
        <v>0</v>
      </c>
      <c r="CG10" s="190">
        <v>10</v>
      </c>
      <c r="CH10" s="190">
        <v>10</v>
      </c>
      <c r="CI10" s="190">
        <v>7</v>
      </c>
      <c r="CJ10" s="190">
        <v>0</v>
      </c>
      <c r="CK10" s="190">
        <v>0</v>
      </c>
      <c r="CL10" s="190">
        <v>5</v>
      </c>
      <c r="CM10" s="190">
        <v>5</v>
      </c>
      <c r="CN10" s="190">
        <v>9</v>
      </c>
      <c r="CO10" s="190">
        <v>246</v>
      </c>
      <c r="CP10" s="190">
        <v>255</v>
      </c>
      <c r="CQ10" s="190">
        <v>0</v>
      </c>
      <c r="CR10" s="190">
        <v>0</v>
      </c>
      <c r="CS10" s="190">
        <v>0</v>
      </c>
      <c r="CT10" s="190">
        <v>177</v>
      </c>
      <c r="CU10" s="190">
        <v>2470</v>
      </c>
      <c r="CV10" s="190">
        <v>2647</v>
      </c>
      <c r="CW10" s="190">
        <v>11</v>
      </c>
      <c r="CX10" s="190">
        <v>104</v>
      </c>
      <c r="CY10" s="190">
        <v>115</v>
      </c>
      <c r="CZ10" s="190">
        <v>11</v>
      </c>
      <c r="DA10" s="190">
        <v>0</v>
      </c>
      <c r="DB10" s="190">
        <v>0</v>
      </c>
      <c r="DC10" s="190">
        <v>104</v>
      </c>
      <c r="DD10" s="190">
        <v>0</v>
      </c>
      <c r="DE10" s="190">
        <v>0</v>
      </c>
      <c r="DF10" s="190">
        <v>11</v>
      </c>
      <c r="DG10" s="190">
        <v>104</v>
      </c>
      <c r="DH10" s="190">
        <v>115</v>
      </c>
      <c r="DI10" s="190">
        <v>0</v>
      </c>
      <c r="DJ10" s="190">
        <v>0</v>
      </c>
      <c r="DK10" s="190">
        <v>0</v>
      </c>
      <c r="DL10" s="190">
        <v>0</v>
      </c>
      <c r="DM10" s="190">
        <v>0</v>
      </c>
      <c r="DN10" s="190">
        <v>0</v>
      </c>
      <c r="DO10" s="190">
        <v>0</v>
      </c>
      <c r="DP10" s="190">
        <v>0</v>
      </c>
      <c r="DQ10" s="190">
        <v>0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76</v>
      </c>
      <c r="C11" s="190">
        <v>9</v>
      </c>
      <c r="D11" s="190">
        <v>64</v>
      </c>
      <c r="E11" s="190">
        <v>35</v>
      </c>
      <c r="F11" s="190">
        <v>0</v>
      </c>
      <c r="G11" s="190">
        <v>5</v>
      </c>
      <c r="H11" s="190">
        <v>5</v>
      </c>
      <c r="I11" s="190">
        <v>0</v>
      </c>
      <c r="J11" s="190">
        <v>28</v>
      </c>
      <c r="K11" s="190">
        <v>28</v>
      </c>
      <c r="L11" s="190">
        <v>0</v>
      </c>
      <c r="M11" s="190">
        <v>14</v>
      </c>
      <c r="N11" s="190">
        <v>14</v>
      </c>
      <c r="O11" s="190">
        <v>0</v>
      </c>
      <c r="P11" s="190">
        <v>14</v>
      </c>
      <c r="Q11" s="190">
        <v>14</v>
      </c>
      <c r="R11" s="190">
        <v>0</v>
      </c>
      <c r="S11" s="190">
        <v>2</v>
      </c>
      <c r="T11" s="190">
        <v>2</v>
      </c>
      <c r="U11" s="190">
        <v>0</v>
      </c>
      <c r="V11" s="190">
        <v>1</v>
      </c>
      <c r="W11" s="190">
        <v>1</v>
      </c>
      <c r="X11" s="190">
        <v>0</v>
      </c>
      <c r="Y11" s="190">
        <v>64</v>
      </c>
      <c r="Z11" s="190">
        <v>64</v>
      </c>
      <c r="AA11" s="190">
        <v>0</v>
      </c>
      <c r="AB11" s="190">
        <v>21</v>
      </c>
      <c r="AC11" s="190">
        <v>21</v>
      </c>
      <c r="AD11" s="190">
        <v>0</v>
      </c>
      <c r="AE11" s="190">
        <v>19</v>
      </c>
      <c r="AF11" s="190">
        <v>19</v>
      </c>
      <c r="AG11" s="190">
        <v>0</v>
      </c>
      <c r="AH11" s="190">
        <v>1</v>
      </c>
      <c r="AI11" s="190">
        <v>1</v>
      </c>
      <c r="AJ11" s="190">
        <v>0</v>
      </c>
      <c r="AK11" s="190">
        <v>1</v>
      </c>
      <c r="AL11" s="190">
        <v>1</v>
      </c>
      <c r="AM11" s="190">
        <v>0</v>
      </c>
      <c r="AN11" s="190">
        <v>43</v>
      </c>
      <c r="AO11" s="190">
        <v>43</v>
      </c>
      <c r="AP11" s="190">
        <v>66</v>
      </c>
      <c r="AQ11" s="190">
        <v>504</v>
      </c>
      <c r="AR11" s="190">
        <v>570</v>
      </c>
      <c r="AS11" s="190">
        <v>66</v>
      </c>
      <c r="AT11" s="190">
        <v>504</v>
      </c>
      <c r="AU11" s="190">
        <v>570</v>
      </c>
      <c r="AV11" s="190">
        <v>0</v>
      </c>
      <c r="AW11" s="190">
        <v>0</v>
      </c>
      <c r="AX11" s="190">
        <v>0</v>
      </c>
      <c r="AY11" s="190">
        <v>5</v>
      </c>
      <c r="AZ11" s="190">
        <v>64</v>
      </c>
      <c r="BA11" s="190">
        <v>69</v>
      </c>
      <c r="BB11" s="190">
        <v>2</v>
      </c>
      <c r="BC11" s="190">
        <v>0</v>
      </c>
      <c r="BD11" s="190">
        <v>0</v>
      </c>
      <c r="BE11" s="190">
        <v>33</v>
      </c>
      <c r="BF11" s="190">
        <v>0</v>
      </c>
      <c r="BG11" s="190">
        <v>0</v>
      </c>
      <c r="BH11" s="190">
        <v>2</v>
      </c>
      <c r="BI11" s="190">
        <v>33</v>
      </c>
      <c r="BJ11" s="190">
        <v>35</v>
      </c>
      <c r="BK11" s="190">
        <v>-2</v>
      </c>
      <c r="BL11" s="190">
        <v>2</v>
      </c>
      <c r="BM11" s="190">
        <v>0</v>
      </c>
      <c r="BN11" s="190">
        <v>0</v>
      </c>
      <c r="BO11" s="190">
        <v>5</v>
      </c>
      <c r="BP11" s="190">
        <v>5</v>
      </c>
      <c r="BQ11" s="190">
        <v>0</v>
      </c>
      <c r="BR11" s="190">
        <v>2</v>
      </c>
      <c r="BS11" s="190">
        <v>2</v>
      </c>
      <c r="BT11" s="190">
        <v>5</v>
      </c>
      <c r="BU11" s="190">
        <v>22</v>
      </c>
      <c r="BV11" s="190">
        <v>27</v>
      </c>
      <c r="BW11" s="190">
        <v>71</v>
      </c>
      <c r="BX11" s="190">
        <v>568</v>
      </c>
      <c r="BY11" s="190">
        <v>639</v>
      </c>
      <c r="BZ11" s="190">
        <v>70</v>
      </c>
      <c r="CA11" s="190">
        <v>565</v>
      </c>
      <c r="CB11" s="190">
        <v>635</v>
      </c>
      <c r="CC11" s="190">
        <v>1470</v>
      </c>
      <c r="CD11" s="190">
        <v>0</v>
      </c>
      <c r="CE11" s="190">
        <v>2</v>
      </c>
      <c r="CF11" s="190">
        <v>1</v>
      </c>
      <c r="CG11" s="190">
        <v>1</v>
      </c>
      <c r="CH11" s="190">
        <v>2</v>
      </c>
      <c r="CI11" s="190">
        <v>1</v>
      </c>
      <c r="CJ11" s="190">
        <v>1</v>
      </c>
      <c r="CK11" s="190">
        <v>0</v>
      </c>
      <c r="CL11" s="190">
        <v>2</v>
      </c>
      <c r="CM11" s="190">
        <v>2</v>
      </c>
      <c r="CN11" s="190">
        <v>7</v>
      </c>
      <c r="CO11" s="190">
        <v>72</v>
      </c>
      <c r="CP11" s="190">
        <v>79</v>
      </c>
      <c r="CQ11" s="190">
        <v>0</v>
      </c>
      <c r="CR11" s="190">
        <v>0</v>
      </c>
      <c r="CS11" s="190">
        <v>0</v>
      </c>
      <c r="CT11" s="190">
        <v>64</v>
      </c>
      <c r="CU11" s="190">
        <v>496</v>
      </c>
      <c r="CV11" s="190">
        <v>560</v>
      </c>
      <c r="CW11" s="190">
        <v>4</v>
      </c>
      <c r="CX11" s="190">
        <v>15</v>
      </c>
      <c r="CY11" s="190">
        <v>19</v>
      </c>
      <c r="CZ11" s="190">
        <v>4</v>
      </c>
      <c r="DA11" s="190">
        <v>0</v>
      </c>
      <c r="DB11" s="190">
        <v>0</v>
      </c>
      <c r="DC11" s="190">
        <v>15</v>
      </c>
      <c r="DD11" s="190">
        <v>0</v>
      </c>
      <c r="DE11" s="190">
        <v>0</v>
      </c>
      <c r="DF11" s="190">
        <v>4</v>
      </c>
      <c r="DG11" s="190">
        <v>15</v>
      </c>
      <c r="DH11" s="190">
        <v>19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2028</v>
      </c>
      <c r="C12" s="190">
        <v>515</v>
      </c>
      <c r="D12" s="190">
        <v>1863</v>
      </c>
      <c r="E12" s="190">
        <v>1008</v>
      </c>
      <c r="F12" s="190">
        <v>5</v>
      </c>
      <c r="G12" s="190">
        <v>59</v>
      </c>
      <c r="H12" s="190">
        <v>64</v>
      </c>
      <c r="I12" s="190">
        <v>0</v>
      </c>
      <c r="J12" s="190">
        <v>768</v>
      </c>
      <c r="K12" s="190">
        <v>768</v>
      </c>
      <c r="L12" s="190">
        <v>0</v>
      </c>
      <c r="M12" s="190">
        <v>182</v>
      </c>
      <c r="N12" s="190">
        <v>182</v>
      </c>
      <c r="O12" s="190">
        <v>0</v>
      </c>
      <c r="P12" s="190">
        <v>586</v>
      </c>
      <c r="Q12" s="190">
        <v>586</v>
      </c>
      <c r="R12" s="190">
        <v>0</v>
      </c>
      <c r="S12" s="190">
        <v>80</v>
      </c>
      <c r="T12" s="190">
        <v>80</v>
      </c>
      <c r="U12" s="190">
        <v>0</v>
      </c>
      <c r="V12" s="190">
        <v>87</v>
      </c>
      <c r="W12" s="190">
        <v>87</v>
      </c>
      <c r="X12" s="190">
        <v>34</v>
      </c>
      <c r="Y12" s="190">
        <v>950</v>
      </c>
      <c r="Z12" s="190">
        <v>984</v>
      </c>
      <c r="AA12" s="190">
        <v>20</v>
      </c>
      <c r="AB12" s="190">
        <v>472</v>
      </c>
      <c r="AC12" s="190">
        <v>492</v>
      </c>
      <c r="AD12" s="190">
        <v>17</v>
      </c>
      <c r="AE12" s="190">
        <v>453</v>
      </c>
      <c r="AF12" s="190">
        <v>470</v>
      </c>
      <c r="AG12" s="190">
        <v>3</v>
      </c>
      <c r="AH12" s="190">
        <v>13</v>
      </c>
      <c r="AI12" s="190">
        <v>16</v>
      </c>
      <c r="AJ12" s="190">
        <v>0</v>
      </c>
      <c r="AK12" s="190">
        <v>6</v>
      </c>
      <c r="AL12" s="190">
        <v>6</v>
      </c>
      <c r="AM12" s="190">
        <v>14</v>
      </c>
      <c r="AN12" s="190">
        <v>478</v>
      </c>
      <c r="AO12" s="190">
        <v>492</v>
      </c>
      <c r="AP12" s="190">
        <v>3775</v>
      </c>
      <c r="AQ12" s="190">
        <v>26266</v>
      </c>
      <c r="AR12" s="190">
        <v>30041</v>
      </c>
      <c r="AS12" s="190">
        <v>3752</v>
      </c>
      <c r="AT12" s="190">
        <v>26008</v>
      </c>
      <c r="AU12" s="190">
        <v>29760</v>
      </c>
      <c r="AV12" s="190">
        <v>23</v>
      </c>
      <c r="AW12" s="190">
        <v>258</v>
      </c>
      <c r="AX12" s="190">
        <v>281</v>
      </c>
      <c r="AY12" s="190">
        <v>191</v>
      </c>
      <c r="AZ12" s="190">
        <v>2595</v>
      </c>
      <c r="BA12" s="190">
        <v>2786</v>
      </c>
      <c r="BB12" s="190">
        <v>89</v>
      </c>
      <c r="BC12" s="190">
        <v>4</v>
      </c>
      <c r="BD12" s="190">
        <v>0</v>
      </c>
      <c r="BE12" s="190">
        <v>898</v>
      </c>
      <c r="BF12" s="190">
        <v>9</v>
      </c>
      <c r="BG12" s="190">
        <v>8</v>
      </c>
      <c r="BH12" s="190">
        <v>93</v>
      </c>
      <c r="BI12" s="190">
        <v>915</v>
      </c>
      <c r="BJ12" s="190">
        <v>1008</v>
      </c>
      <c r="BK12" s="190">
        <v>-68</v>
      </c>
      <c r="BL12" s="190">
        <v>68</v>
      </c>
      <c r="BM12" s="190">
        <v>0</v>
      </c>
      <c r="BN12" s="190">
        <v>11</v>
      </c>
      <c r="BO12" s="190">
        <v>68</v>
      </c>
      <c r="BP12" s="190">
        <v>79</v>
      </c>
      <c r="BQ12" s="190">
        <v>6</v>
      </c>
      <c r="BR12" s="190">
        <v>11</v>
      </c>
      <c r="BS12" s="190">
        <v>17</v>
      </c>
      <c r="BT12" s="190">
        <v>149</v>
      </c>
      <c r="BU12" s="190">
        <v>1533</v>
      </c>
      <c r="BV12" s="190">
        <v>1682</v>
      </c>
      <c r="BW12" s="190">
        <v>3966</v>
      </c>
      <c r="BX12" s="190">
        <v>28861</v>
      </c>
      <c r="BY12" s="190">
        <v>32827</v>
      </c>
      <c r="BZ12" s="190">
        <v>3868</v>
      </c>
      <c r="CA12" s="190">
        <v>28347</v>
      </c>
      <c r="CB12" s="190">
        <v>32215</v>
      </c>
      <c r="CC12" s="190">
        <v>65990</v>
      </c>
      <c r="CD12" s="190">
        <v>41</v>
      </c>
      <c r="CE12" s="190">
        <v>618</v>
      </c>
      <c r="CF12" s="190">
        <v>96</v>
      </c>
      <c r="CG12" s="190">
        <v>375</v>
      </c>
      <c r="CH12" s="190">
        <v>471</v>
      </c>
      <c r="CI12" s="190">
        <v>175</v>
      </c>
      <c r="CJ12" s="190">
        <v>14</v>
      </c>
      <c r="CK12" s="190">
        <v>2</v>
      </c>
      <c r="CL12" s="190">
        <v>139</v>
      </c>
      <c r="CM12" s="190">
        <v>141</v>
      </c>
      <c r="CN12" s="190">
        <v>236</v>
      </c>
      <c r="CO12" s="190">
        <v>2946</v>
      </c>
      <c r="CP12" s="190">
        <v>3182</v>
      </c>
      <c r="CQ12" s="190">
        <v>0</v>
      </c>
      <c r="CR12" s="190">
        <v>0</v>
      </c>
      <c r="CS12" s="190">
        <v>0</v>
      </c>
      <c r="CT12" s="190">
        <v>3730</v>
      </c>
      <c r="CU12" s="190">
        <v>25915</v>
      </c>
      <c r="CV12" s="190">
        <v>29645</v>
      </c>
      <c r="CW12" s="190">
        <v>272</v>
      </c>
      <c r="CX12" s="190">
        <v>1345</v>
      </c>
      <c r="CY12" s="190">
        <v>1617</v>
      </c>
      <c r="CZ12" s="190">
        <v>258</v>
      </c>
      <c r="DA12" s="190">
        <v>10</v>
      </c>
      <c r="DB12" s="190">
        <v>0</v>
      </c>
      <c r="DC12" s="190">
        <v>1281</v>
      </c>
      <c r="DD12" s="190">
        <v>22</v>
      </c>
      <c r="DE12" s="190">
        <v>2</v>
      </c>
      <c r="DF12" s="190">
        <v>268</v>
      </c>
      <c r="DG12" s="190">
        <v>1305</v>
      </c>
      <c r="DH12" s="190">
        <v>1573</v>
      </c>
      <c r="DI12" s="190">
        <v>4</v>
      </c>
      <c r="DJ12" s="190">
        <v>0</v>
      </c>
      <c r="DK12" s="190">
        <v>0</v>
      </c>
      <c r="DL12" s="190">
        <v>35</v>
      </c>
      <c r="DM12" s="190">
        <v>5</v>
      </c>
      <c r="DN12" s="190">
        <v>0</v>
      </c>
      <c r="DO12" s="190">
        <v>4</v>
      </c>
      <c r="DP12" s="190">
        <v>40</v>
      </c>
      <c r="DQ12" s="190">
        <v>44</v>
      </c>
      <c r="DR12" s="190">
        <v>0</v>
      </c>
      <c r="DS12" s="190">
        <v>8</v>
      </c>
      <c r="DT12" s="191">
        <v>8</v>
      </c>
    </row>
    <row r="13" spans="1:129">
      <c r="A13" s="189" t="s">
        <v>278</v>
      </c>
      <c r="B13" s="190">
        <v>190</v>
      </c>
      <c r="C13" s="190">
        <v>10</v>
      </c>
      <c r="D13" s="190">
        <v>182</v>
      </c>
      <c r="E13" s="190">
        <v>96</v>
      </c>
      <c r="F13" s="190">
        <v>0</v>
      </c>
      <c r="G13" s="190">
        <v>1</v>
      </c>
      <c r="H13" s="190">
        <v>1</v>
      </c>
      <c r="I13" s="190">
        <v>0</v>
      </c>
      <c r="J13" s="190">
        <v>79</v>
      </c>
      <c r="K13" s="190">
        <v>79</v>
      </c>
      <c r="L13" s="190">
        <v>0</v>
      </c>
      <c r="M13" s="190">
        <v>34</v>
      </c>
      <c r="N13" s="190">
        <v>34</v>
      </c>
      <c r="O13" s="190">
        <v>0</v>
      </c>
      <c r="P13" s="190">
        <v>45</v>
      </c>
      <c r="Q13" s="190">
        <v>45</v>
      </c>
      <c r="R13" s="190">
        <v>0</v>
      </c>
      <c r="S13" s="190">
        <v>1</v>
      </c>
      <c r="T13" s="190">
        <v>1</v>
      </c>
      <c r="U13" s="190">
        <v>0</v>
      </c>
      <c r="V13" s="190">
        <v>7</v>
      </c>
      <c r="W13" s="190">
        <v>7</v>
      </c>
      <c r="X13" s="190">
        <v>7</v>
      </c>
      <c r="Y13" s="190">
        <v>175</v>
      </c>
      <c r="Z13" s="190">
        <v>182</v>
      </c>
      <c r="AA13" s="190">
        <v>5</v>
      </c>
      <c r="AB13" s="190">
        <v>63</v>
      </c>
      <c r="AC13" s="190">
        <v>68</v>
      </c>
      <c r="AD13" s="190">
        <v>5</v>
      </c>
      <c r="AE13" s="190">
        <v>56</v>
      </c>
      <c r="AF13" s="190">
        <v>61</v>
      </c>
      <c r="AG13" s="190">
        <v>0</v>
      </c>
      <c r="AH13" s="190">
        <v>6</v>
      </c>
      <c r="AI13" s="190">
        <v>6</v>
      </c>
      <c r="AJ13" s="190">
        <v>0</v>
      </c>
      <c r="AK13" s="190">
        <v>1</v>
      </c>
      <c r="AL13" s="190">
        <v>1</v>
      </c>
      <c r="AM13" s="190">
        <v>2</v>
      </c>
      <c r="AN13" s="190">
        <v>112</v>
      </c>
      <c r="AO13" s="190">
        <v>114</v>
      </c>
      <c r="AP13" s="190">
        <v>355</v>
      </c>
      <c r="AQ13" s="190">
        <v>1993</v>
      </c>
      <c r="AR13" s="190">
        <v>2348</v>
      </c>
      <c r="AS13" s="190">
        <v>355</v>
      </c>
      <c r="AT13" s="190">
        <v>1993</v>
      </c>
      <c r="AU13" s="190">
        <v>2348</v>
      </c>
      <c r="AV13" s="190">
        <v>0</v>
      </c>
      <c r="AW13" s="190">
        <v>0</v>
      </c>
      <c r="AX13" s="190">
        <v>0</v>
      </c>
      <c r="AY13" s="190">
        <v>28</v>
      </c>
      <c r="AZ13" s="190">
        <v>198</v>
      </c>
      <c r="BA13" s="190">
        <v>226</v>
      </c>
      <c r="BB13" s="190">
        <v>8</v>
      </c>
      <c r="BC13" s="190">
        <v>0</v>
      </c>
      <c r="BD13" s="190">
        <v>0</v>
      </c>
      <c r="BE13" s="190">
        <v>88</v>
      </c>
      <c r="BF13" s="190">
        <v>0</v>
      </c>
      <c r="BG13" s="190">
        <v>0</v>
      </c>
      <c r="BH13" s="190">
        <v>8</v>
      </c>
      <c r="BI13" s="190">
        <v>88</v>
      </c>
      <c r="BJ13" s="190">
        <v>96</v>
      </c>
      <c r="BK13" s="190">
        <v>2</v>
      </c>
      <c r="BL13" s="190">
        <v>-2</v>
      </c>
      <c r="BM13" s="190">
        <v>0</v>
      </c>
      <c r="BN13" s="190">
        <v>2</v>
      </c>
      <c r="BO13" s="190">
        <v>1</v>
      </c>
      <c r="BP13" s="190">
        <v>3</v>
      </c>
      <c r="BQ13" s="190">
        <v>1</v>
      </c>
      <c r="BR13" s="190">
        <v>11</v>
      </c>
      <c r="BS13" s="190">
        <v>12</v>
      </c>
      <c r="BT13" s="190">
        <v>15</v>
      </c>
      <c r="BU13" s="190">
        <v>100</v>
      </c>
      <c r="BV13" s="190">
        <v>115</v>
      </c>
      <c r="BW13" s="190">
        <v>383</v>
      </c>
      <c r="BX13" s="190">
        <v>2191</v>
      </c>
      <c r="BY13" s="190">
        <v>2574</v>
      </c>
      <c r="BZ13" s="190">
        <v>383</v>
      </c>
      <c r="CA13" s="190">
        <v>2189</v>
      </c>
      <c r="CB13" s="190">
        <v>2572</v>
      </c>
      <c r="CC13" s="190">
        <v>5277</v>
      </c>
      <c r="CD13" s="190">
        <v>0</v>
      </c>
      <c r="CE13" s="190">
        <v>2</v>
      </c>
      <c r="CF13" s="190">
        <v>0</v>
      </c>
      <c r="CG13" s="190">
        <v>2</v>
      </c>
      <c r="CH13" s="190">
        <v>2</v>
      </c>
      <c r="CI13" s="190">
        <v>0</v>
      </c>
      <c r="CJ13" s="190">
        <v>0</v>
      </c>
      <c r="CK13" s="190">
        <v>0</v>
      </c>
      <c r="CL13" s="190">
        <v>0</v>
      </c>
      <c r="CM13" s="190">
        <v>0</v>
      </c>
      <c r="CN13" s="190">
        <v>20</v>
      </c>
      <c r="CO13" s="190">
        <v>216</v>
      </c>
      <c r="CP13" s="190">
        <v>236</v>
      </c>
      <c r="CQ13" s="190">
        <v>0</v>
      </c>
      <c r="CR13" s="190">
        <v>0</v>
      </c>
      <c r="CS13" s="190">
        <v>0</v>
      </c>
      <c r="CT13" s="190">
        <v>363</v>
      </c>
      <c r="CU13" s="190">
        <v>1975</v>
      </c>
      <c r="CV13" s="190">
        <v>2338</v>
      </c>
      <c r="CW13" s="190">
        <v>28</v>
      </c>
      <c r="CX13" s="190">
        <v>122</v>
      </c>
      <c r="CY13" s="190">
        <v>150</v>
      </c>
      <c r="CZ13" s="190">
        <v>28</v>
      </c>
      <c r="DA13" s="190">
        <v>0</v>
      </c>
      <c r="DB13" s="190">
        <v>0</v>
      </c>
      <c r="DC13" s="190">
        <v>118</v>
      </c>
      <c r="DD13" s="190">
        <v>0</v>
      </c>
      <c r="DE13" s="190">
        <v>0</v>
      </c>
      <c r="DF13" s="190">
        <v>28</v>
      </c>
      <c r="DG13" s="190">
        <v>118</v>
      </c>
      <c r="DH13" s="190">
        <v>146</v>
      </c>
      <c r="DI13" s="190">
        <v>0</v>
      </c>
      <c r="DJ13" s="190">
        <v>0</v>
      </c>
      <c r="DK13" s="190">
        <v>0</v>
      </c>
      <c r="DL13" s="190">
        <v>4</v>
      </c>
      <c r="DM13" s="190">
        <v>0</v>
      </c>
      <c r="DN13" s="190">
        <v>0</v>
      </c>
      <c r="DO13" s="190">
        <v>0</v>
      </c>
      <c r="DP13" s="190">
        <v>4</v>
      </c>
      <c r="DQ13" s="190">
        <v>4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604</v>
      </c>
      <c r="C14" s="190">
        <v>120</v>
      </c>
      <c r="D14" s="190">
        <v>590</v>
      </c>
      <c r="E14" s="190">
        <v>390</v>
      </c>
      <c r="F14" s="190">
        <v>0</v>
      </c>
      <c r="G14" s="190">
        <v>20</v>
      </c>
      <c r="H14" s="190">
        <v>20</v>
      </c>
      <c r="I14" s="190">
        <v>1</v>
      </c>
      <c r="J14" s="190">
        <v>179</v>
      </c>
      <c r="K14" s="190">
        <v>180</v>
      </c>
      <c r="L14" s="190">
        <v>1</v>
      </c>
      <c r="M14" s="190">
        <v>65</v>
      </c>
      <c r="N14" s="190">
        <v>66</v>
      </c>
      <c r="O14" s="190">
        <v>0</v>
      </c>
      <c r="P14" s="190">
        <v>114</v>
      </c>
      <c r="Q14" s="190">
        <v>114</v>
      </c>
      <c r="R14" s="190">
        <v>1</v>
      </c>
      <c r="S14" s="190">
        <v>4</v>
      </c>
      <c r="T14" s="190">
        <v>5</v>
      </c>
      <c r="U14" s="190">
        <v>0</v>
      </c>
      <c r="V14" s="190">
        <v>20</v>
      </c>
      <c r="W14" s="190">
        <v>20</v>
      </c>
      <c r="X14" s="190">
        <v>12</v>
      </c>
      <c r="Y14" s="190">
        <v>578</v>
      </c>
      <c r="Z14" s="190">
        <v>590</v>
      </c>
      <c r="AA14" s="190">
        <v>4</v>
      </c>
      <c r="AB14" s="190">
        <v>279</v>
      </c>
      <c r="AC14" s="190">
        <v>283</v>
      </c>
      <c r="AD14" s="190">
        <v>4</v>
      </c>
      <c r="AE14" s="190">
        <v>269</v>
      </c>
      <c r="AF14" s="190">
        <v>273</v>
      </c>
      <c r="AG14" s="190">
        <v>0</v>
      </c>
      <c r="AH14" s="190">
        <v>9</v>
      </c>
      <c r="AI14" s="190">
        <v>9</v>
      </c>
      <c r="AJ14" s="190">
        <v>0</v>
      </c>
      <c r="AK14" s="190">
        <v>1</v>
      </c>
      <c r="AL14" s="190">
        <v>1</v>
      </c>
      <c r="AM14" s="190">
        <v>8</v>
      </c>
      <c r="AN14" s="190">
        <v>299</v>
      </c>
      <c r="AO14" s="190">
        <v>307</v>
      </c>
      <c r="AP14" s="190">
        <v>507</v>
      </c>
      <c r="AQ14" s="190">
        <v>6006</v>
      </c>
      <c r="AR14" s="190">
        <v>6513</v>
      </c>
      <c r="AS14" s="190">
        <v>507</v>
      </c>
      <c r="AT14" s="190">
        <v>6006</v>
      </c>
      <c r="AU14" s="190">
        <v>6513</v>
      </c>
      <c r="AV14" s="190">
        <v>0</v>
      </c>
      <c r="AW14" s="190">
        <v>0</v>
      </c>
      <c r="AX14" s="190">
        <v>0</v>
      </c>
      <c r="AY14" s="190">
        <v>20</v>
      </c>
      <c r="AZ14" s="190">
        <v>629</v>
      </c>
      <c r="BA14" s="190">
        <v>649</v>
      </c>
      <c r="BB14" s="190">
        <v>12</v>
      </c>
      <c r="BC14" s="190">
        <v>0</v>
      </c>
      <c r="BD14" s="190">
        <v>0</v>
      </c>
      <c r="BE14" s="190">
        <v>374</v>
      </c>
      <c r="BF14" s="190">
        <v>2</v>
      </c>
      <c r="BG14" s="190">
        <v>2</v>
      </c>
      <c r="BH14" s="190">
        <v>12</v>
      </c>
      <c r="BI14" s="190">
        <v>378</v>
      </c>
      <c r="BJ14" s="190">
        <v>390</v>
      </c>
      <c r="BK14" s="190">
        <v>-9</v>
      </c>
      <c r="BL14" s="190">
        <v>9</v>
      </c>
      <c r="BM14" s="190">
        <v>0</v>
      </c>
      <c r="BN14" s="190">
        <v>5</v>
      </c>
      <c r="BO14" s="190">
        <v>25</v>
      </c>
      <c r="BP14" s="190">
        <v>30</v>
      </c>
      <c r="BQ14" s="190">
        <v>4</v>
      </c>
      <c r="BR14" s="190">
        <v>59</v>
      </c>
      <c r="BS14" s="190">
        <v>63</v>
      </c>
      <c r="BT14" s="190">
        <v>8</v>
      </c>
      <c r="BU14" s="190">
        <v>158</v>
      </c>
      <c r="BV14" s="190">
        <v>166</v>
      </c>
      <c r="BW14" s="190">
        <v>527</v>
      </c>
      <c r="BX14" s="190">
        <v>6635</v>
      </c>
      <c r="BY14" s="190">
        <v>7162</v>
      </c>
      <c r="BZ14" s="190">
        <v>524</v>
      </c>
      <c r="CA14" s="190">
        <v>6594</v>
      </c>
      <c r="CB14" s="190">
        <v>7118</v>
      </c>
      <c r="CC14" s="190">
        <v>12625</v>
      </c>
      <c r="CD14" s="190">
        <v>4</v>
      </c>
      <c r="CE14" s="190">
        <v>36</v>
      </c>
      <c r="CF14" s="190">
        <v>3</v>
      </c>
      <c r="CG14" s="190">
        <v>31</v>
      </c>
      <c r="CH14" s="190">
        <v>34</v>
      </c>
      <c r="CI14" s="190">
        <v>14</v>
      </c>
      <c r="CJ14" s="190">
        <v>0</v>
      </c>
      <c r="CK14" s="190">
        <v>0</v>
      </c>
      <c r="CL14" s="190">
        <v>10</v>
      </c>
      <c r="CM14" s="190">
        <v>10</v>
      </c>
      <c r="CN14" s="190">
        <v>37</v>
      </c>
      <c r="CO14" s="190">
        <v>670</v>
      </c>
      <c r="CP14" s="190">
        <v>707</v>
      </c>
      <c r="CQ14" s="190">
        <v>0</v>
      </c>
      <c r="CR14" s="190">
        <v>0</v>
      </c>
      <c r="CS14" s="190">
        <v>0</v>
      </c>
      <c r="CT14" s="190">
        <v>490</v>
      </c>
      <c r="CU14" s="190">
        <v>5965</v>
      </c>
      <c r="CV14" s="190">
        <v>6455</v>
      </c>
      <c r="CW14" s="190">
        <v>23</v>
      </c>
      <c r="CX14" s="190">
        <v>243</v>
      </c>
      <c r="CY14" s="190">
        <v>266</v>
      </c>
      <c r="CZ14" s="190">
        <v>23</v>
      </c>
      <c r="DA14" s="190">
        <v>0</v>
      </c>
      <c r="DB14" s="190">
        <v>0</v>
      </c>
      <c r="DC14" s="190">
        <v>238</v>
      </c>
      <c r="DD14" s="190">
        <v>0</v>
      </c>
      <c r="DE14" s="190">
        <v>0</v>
      </c>
      <c r="DF14" s="190">
        <v>23</v>
      </c>
      <c r="DG14" s="190">
        <v>238</v>
      </c>
      <c r="DH14" s="190">
        <v>261</v>
      </c>
      <c r="DI14" s="190">
        <v>0</v>
      </c>
      <c r="DJ14" s="190">
        <v>0</v>
      </c>
      <c r="DK14" s="190">
        <v>0</v>
      </c>
      <c r="DL14" s="190">
        <v>5</v>
      </c>
      <c r="DM14" s="190">
        <v>0</v>
      </c>
      <c r="DN14" s="190">
        <v>0</v>
      </c>
      <c r="DO14" s="190">
        <v>0</v>
      </c>
      <c r="DP14" s="190">
        <v>5</v>
      </c>
      <c r="DQ14" s="190">
        <v>5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4375</v>
      </c>
      <c r="C15" s="190">
        <v>1653</v>
      </c>
      <c r="D15" s="190">
        <v>4463</v>
      </c>
      <c r="E15" s="190">
        <v>3235</v>
      </c>
      <c r="F15" s="190">
        <v>14</v>
      </c>
      <c r="G15" s="190">
        <v>139</v>
      </c>
      <c r="H15" s="190">
        <v>153</v>
      </c>
      <c r="I15" s="190">
        <v>1</v>
      </c>
      <c r="J15" s="190">
        <v>1133</v>
      </c>
      <c r="K15" s="190">
        <v>1134</v>
      </c>
      <c r="L15" s="190">
        <v>1</v>
      </c>
      <c r="M15" s="190">
        <v>1131</v>
      </c>
      <c r="N15" s="190">
        <v>1132</v>
      </c>
      <c r="O15" s="190">
        <v>0</v>
      </c>
      <c r="P15" s="190">
        <v>2</v>
      </c>
      <c r="Q15" s="190">
        <v>2</v>
      </c>
      <c r="R15" s="190">
        <v>0</v>
      </c>
      <c r="S15" s="190">
        <v>298</v>
      </c>
      <c r="T15" s="190">
        <v>298</v>
      </c>
      <c r="U15" s="190">
        <v>0</v>
      </c>
      <c r="V15" s="190">
        <v>94</v>
      </c>
      <c r="W15" s="190">
        <v>94</v>
      </c>
      <c r="X15" s="190">
        <v>57</v>
      </c>
      <c r="Y15" s="190">
        <v>3584</v>
      </c>
      <c r="Z15" s="190">
        <v>3641</v>
      </c>
      <c r="AA15" s="190">
        <v>33</v>
      </c>
      <c r="AB15" s="190">
        <v>1566</v>
      </c>
      <c r="AC15" s="190">
        <v>1599</v>
      </c>
      <c r="AD15" s="190">
        <v>30</v>
      </c>
      <c r="AE15" s="190">
        <v>1451</v>
      </c>
      <c r="AF15" s="190">
        <v>1481</v>
      </c>
      <c r="AG15" s="190">
        <v>3</v>
      </c>
      <c r="AH15" s="190">
        <v>89</v>
      </c>
      <c r="AI15" s="190">
        <v>92</v>
      </c>
      <c r="AJ15" s="190">
        <v>0</v>
      </c>
      <c r="AK15" s="190">
        <v>26</v>
      </c>
      <c r="AL15" s="190">
        <v>26</v>
      </c>
      <c r="AM15" s="190">
        <v>24</v>
      </c>
      <c r="AN15" s="190">
        <v>2018</v>
      </c>
      <c r="AO15" s="190">
        <v>2042</v>
      </c>
      <c r="AP15" s="190">
        <v>11854</v>
      </c>
      <c r="AQ15" s="190">
        <v>76846</v>
      </c>
      <c r="AR15" s="190">
        <v>88700</v>
      </c>
      <c r="AS15" s="190">
        <v>11367</v>
      </c>
      <c r="AT15" s="190">
        <v>73661</v>
      </c>
      <c r="AU15" s="190">
        <v>85028</v>
      </c>
      <c r="AV15" s="190">
        <v>487</v>
      </c>
      <c r="AW15" s="190">
        <v>3185</v>
      </c>
      <c r="AX15" s="190">
        <v>3672</v>
      </c>
      <c r="AY15" s="190">
        <v>414</v>
      </c>
      <c r="AZ15" s="190">
        <v>2927</v>
      </c>
      <c r="BA15" s="190">
        <v>3341</v>
      </c>
      <c r="BB15" s="190">
        <v>217</v>
      </c>
      <c r="BC15" s="190">
        <v>6</v>
      </c>
      <c r="BD15" s="190">
        <v>1</v>
      </c>
      <c r="BE15" s="190">
        <v>2957</v>
      </c>
      <c r="BF15" s="190">
        <v>31</v>
      </c>
      <c r="BG15" s="190">
        <v>23</v>
      </c>
      <c r="BH15" s="190">
        <v>224</v>
      </c>
      <c r="BI15" s="190">
        <v>3011</v>
      </c>
      <c r="BJ15" s="190">
        <v>3235</v>
      </c>
      <c r="BK15" s="190">
        <v>172</v>
      </c>
      <c r="BL15" s="190">
        <v>-172</v>
      </c>
      <c r="BM15" s="190">
        <v>0</v>
      </c>
      <c r="BN15" s="190">
        <v>14</v>
      </c>
      <c r="BO15" s="190">
        <v>50</v>
      </c>
      <c r="BP15" s="190">
        <v>64</v>
      </c>
      <c r="BQ15" s="190">
        <v>0</v>
      </c>
      <c r="BR15" s="190">
        <v>15</v>
      </c>
      <c r="BS15" s="190">
        <v>15</v>
      </c>
      <c r="BT15" s="190">
        <v>4</v>
      </c>
      <c r="BU15" s="190">
        <v>23</v>
      </c>
      <c r="BV15" s="190">
        <v>27</v>
      </c>
      <c r="BW15" s="190">
        <v>12268</v>
      </c>
      <c r="BX15" s="190">
        <v>79773</v>
      </c>
      <c r="BY15" s="190">
        <v>92041</v>
      </c>
      <c r="BZ15" s="190">
        <v>12054</v>
      </c>
      <c r="CA15" s="190">
        <v>78906</v>
      </c>
      <c r="CB15" s="190">
        <v>90960</v>
      </c>
      <c r="CC15" s="190">
        <v>212756</v>
      </c>
      <c r="CD15" s="190">
        <v>74</v>
      </c>
      <c r="CE15" s="190">
        <v>934</v>
      </c>
      <c r="CF15" s="190">
        <v>199</v>
      </c>
      <c r="CG15" s="190">
        <v>664</v>
      </c>
      <c r="CH15" s="190">
        <v>863</v>
      </c>
      <c r="CI15" s="190">
        <v>243</v>
      </c>
      <c r="CJ15" s="190">
        <v>40</v>
      </c>
      <c r="CK15" s="190">
        <v>15</v>
      </c>
      <c r="CL15" s="190">
        <v>203</v>
      </c>
      <c r="CM15" s="190">
        <v>218</v>
      </c>
      <c r="CN15" s="190">
        <v>632</v>
      </c>
      <c r="CO15" s="190">
        <v>7270</v>
      </c>
      <c r="CP15" s="190">
        <v>7902</v>
      </c>
      <c r="CQ15" s="190">
        <v>0</v>
      </c>
      <c r="CR15" s="190">
        <v>58</v>
      </c>
      <c r="CS15" s="190">
        <v>58</v>
      </c>
      <c r="CT15" s="190">
        <v>11636</v>
      </c>
      <c r="CU15" s="190">
        <v>72503</v>
      </c>
      <c r="CV15" s="190">
        <v>84139</v>
      </c>
      <c r="CW15" s="190">
        <v>959</v>
      </c>
      <c r="CX15" s="190">
        <v>5717</v>
      </c>
      <c r="CY15" s="190">
        <v>6676</v>
      </c>
      <c r="CZ15" s="190">
        <v>867</v>
      </c>
      <c r="DA15" s="190">
        <v>16</v>
      </c>
      <c r="DB15" s="190">
        <v>2</v>
      </c>
      <c r="DC15" s="190">
        <v>4576</v>
      </c>
      <c r="DD15" s="190">
        <v>49</v>
      </c>
      <c r="DE15" s="190">
        <v>3</v>
      </c>
      <c r="DF15" s="190">
        <v>885</v>
      </c>
      <c r="DG15" s="190">
        <v>4628</v>
      </c>
      <c r="DH15" s="190">
        <v>5513</v>
      </c>
      <c r="DI15" s="190">
        <v>73</v>
      </c>
      <c r="DJ15" s="190">
        <v>0</v>
      </c>
      <c r="DK15" s="190">
        <v>1</v>
      </c>
      <c r="DL15" s="190">
        <v>1071</v>
      </c>
      <c r="DM15" s="190">
        <v>16</v>
      </c>
      <c r="DN15" s="190">
        <v>2</v>
      </c>
      <c r="DO15" s="190">
        <v>74</v>
      </c>
      <c r="DP15" s="190">
        <v>1089</v>
      </c>
      <c r="DQ15" s="190">
        <v>1163</v>
      </c>
      <c r="DR15" s="190">
        <v>4</v>
      </c>
      <c r="DS15" s="190">
        <v>31</v>
      </c>
      <c r="DT15" s="191">
        <v>35</v>
      </c>
    </row>
    <row r="16" spans="1:129" s="172" customFormat="1">
      <c r="A16" s="189" t="s">
        <v>281</v>
      </c>
      <c r="B16" s="190">
        <v>115</v>
      </c>
      <c r="C16" s="190">
        <v>19</v>
      </c>
      <c r="D16" s="190">
        <v>104</v>
      </c>
      <c r="E16" s="190">
        <v>62</v>
      </c>
      <c r="F16" s="190">
        <v>0</v>
      </c>
      <c r="G16" s="190">
        <v>0</v>
      </c>
      <c r="H16" s="190">
        <v>0</v>
      </c>
      <c r="I16" s="190">
        <v>0</v>
      </c>
      <c r="J16" s="190">
        <v>38</v>
      </c>
      <c r="K16" s="190">
        <v>38</v>
      </c>
      <c r="L16" s="190">
        <v>0</v>
      </c>
      <c r="M16" s="190">
        <v>7</v>
      </c>
      <c r="N16" s="190">
        <v>7</v>
      </c>
      <c r="O16" s="190">
        <v>0</v>
      </c>
      <c r="P16" s="190">
        <v>31</v>
      </c>
      <c r="Q16" s="190">
        <v>31</v>
      </c>
      <c r="R16" s="190">
        <v>0</v>
      </c>
      <c r="S16" s="190">
        <v>0</v>
      </c>
      <c r="T16" s="190">
        <v>0</v>
      </c>
      <c r="U16" s="190">
        <v>0</v>
      </c>
      <c r="V16" s="190">
        <v>4</v>
      </c>
      <c r="W16" s="190">
        <v>4</v>
      </c>
      <c r="X16" s="190">
        <v>4</v>
      </c>
      <c r="Y16" s="190">
        <v>100</v>
      </c>
      <c r="Z16" s="190">
        <v>104</v>
      </c>
      <c r="AA16" s="190">
        <v>2</v>
      </c>
      <c r="AB16" s="190">
        <v>49</v>
      </c>
      <c r="AC16" s="190">
        <v>51</v>
      </c>
      <c r="AD16" s="190">
        <v>2</v>
      </c>
      <c r="AE16" s="190">
        <v>49</v>
      </c>
      <c r="AF16" s="190">
        <v>51</v>
      </c>
      <c r="AG16" s="190">
        <v>0</v>
      </c>
      <c r="AH16" s="190">
        <v>0</v>
      </c>
      <c r="AI16" s="190">
        <v>0</v>
      </c>
      <c r="AJ16" s="190">
        <v>0</v>
      </c>
      <c r="AK16" s="190">
        <v>0</v>
      </c>
      <c r="AL16" s="190">
        <v>0</v>
      </c>
      <c r="AM16" s="190">
        <v>2</v>
      </c>
      <c r="AN16" s="190">
        <v>51</v>
      </c>
      <c r="AO16" s="190">
        <v>53</v>
      </c>
      <c r="AP16" s="190">
        <v>209</v>
      </c>
      <c r="AQ16" s="190">
        <v>1227</v>
      </c>
      <c r="AR16" s="190">
        <v>1436</v>
      </c>
      <c r="AS16" s="190">
        <v>209</v>
      </c>
      <c r="AT16" s="190">
        <v>1227</v>
      </c>
      <c r="AU16" s="190">
        <v>1436</v>
      </c>
      <c r="AV16" s="190">
        <v>0</v>
      </c>
      <c r="AW16" s="190">
        <v>0</v>
      </c>
      <c r="AX16" s="190">
        <v>0</v>
      </c>
      <c r="AY16" s="190">
        <v>4</v>
      </c>
      <c r="AZ16" s="190">
        <v>116</v>
      </c>
      <c r="BA16" s="190">
        <v>120</v>
      </c>
      <c r="BB16" s="190">
        <v>5</v>
      </c>
      <c r="BC16" s="190">
        <v>0</v>
      </c>
      <c r="BD16" s="190">
        <v>0</v>
      </c>
      <c r="BE16" s="190">
        <v>57</v>
      </c>
      <c r="BF16" s="190">
        <v>0</v>
      </c>
      <c r="BG16" s="190">
        <v>0</v>
      </c>
      <c r="BH16" s="190">
        <v>5</v>
      </c>
      <c r="BI16" s="190">
        <v>57</v>
      </c>
      <c r="BJ16" s="190">
        <v>62</v>
      </c>
      <c r="BK16" s="190">
        <v>-5</v>
      </c>
      <c r="BL16" s="190">
        <v>5</v>
      </c>
      <c r="BM16" s="190">
        <v>0</v>
      </c>
      <c r="BN16" s="190">
        <v>1</v>
      </c>
      <c r="BO16" s="190">
        <v>5</v>
      </c>
      <c r="BP16" s="190">
        <v>6</v>
      </c>
      <c r="BQ16" s="190">
        <v>0</v>
      </c>
      <c r="BR16" s="190">
        <v>7</v>
      </c>
      <c r="BS16" s="190">
        <v>7</v>
      </c>
      <c r="BT16" s="190">
        <v>3</v>
      </c>
      <c r="BU16" s="190">
        <v>42</v>
      </c>
      <c r="BV16" s="190">
        <v>45</v>
      </c>
      <c r="BW16" s="190">
        <v>213</v>
      </c>
      <c r="BX16" s="190">
        <v>1343</v>
      </c>
      <c r="BY16" s="190">
        <v>1556</v>
      </c>
      <c r="BZ16" s="190">
        <v>212</v>
      </c>
      <c r="CA16" s="190">
        <v>1334</v>
      </c>
      <c r="CB16" s="190">
        <v>1546</v>
      </c>
      <c r="CC16" s="190">
        <v>3608</v>
      </c>
      <c r="CD16" s="190">
        <v>0</v>
      </c>
      <c r="CE16" s="190">
        <v>10</v>
      </c>
      <c r="CF16" s="190">
        <v>1</v>
      </c>
      <c r="CG16" s="190">
        <v>9</v>
      </c>
      <c r="CH16" s="190">
        <v>10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9</v>
      </c>
      <c r="CO16" s="190">
        <v>129</v>
      </c>
      <c r="CP16" s="190">
        <v>138</v>
      </c>
      <c r="CQ16" s="190">
        <v>0</v>
      </c>
      <c r="CR16" s="190">
        <v>5</v>
      </c>
      <c r="CS16" s="190">
        <v>5</v>
      </c>
      <c r="CT16" s="190">
        <v>204</v>
      </c>
      <c r="CU16" s="190">
        <v>1214</v>
      </c>
      <c r="CV16" s="190">
        <v>1418</v>
      </c>
      <c r="CW16" s="190">
        <v>11</v>
      </c>
      <c r="CX16" s="190">
        <v>71</v>
      </c>
      <c r="CY16" s="190">
        <v>82</v>
      </c>
      <c r="CZ16" s="190">
        <v>11</v>
      </c>
      <c r="DA16" s="190">
        <v>0</v>
      </c>
      <c r="DB16" s="190">
        <v>0</v>
      </c>
      <c r="DC16" s="190">
        <v>70</v>
      </c>
      <c r="DD16" s="190">
        <v>0</v>
      </c>
      <c r="DE16" s="190">
        <v>0</v>
      </c>
      <c r="DF16" s="190">
        <v>11</v>
      </c>
      <c r="DG16" s="190">
        <v>70</v>
      </c>
      <c r="DH16" s="190">
        <v>81</v>
      </c>
      <c r="DI16" s="190">
        <v>0</v>
      </c>
      <c r="DJ16" s="190">
        <v>0</v>
      </c>
      <c r="DK16" s="190">
        <v>0</v>
      </c>
      <c r="DL16" s="190">
        <v>0</v>
      </c>
      <c r="DM16" s="190">
        <v>1</v>
      </c>
      <c r="DN16" s="190">
        <v>0</v>
      </c>
      <c r="DO16" s="190">
        <v>0</v>
      </c>
      <c r="DP16" s="190">
        <v>1</v>
      </c>
      <c r="DQ16" s="190">
        <v>1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1108</v>
      </c>
      <c r="C17" s="190">
        <v>236</v>
      </c>
      <c r="D17" s="190">
        <v>1104</v>
      </c>
      <c r="E17" s="190">
        <v>603</v>
      </c>
      <c r="F17" s="190">
        <v>0</v>
      </c>
      <c r="G17" s="190">
        <v>9</v>
      </c>
      <c r="H17" s="190">
        <v>9</v>
      </c>
      <c r="I17" s="190">
        <v>0</v>
      </c>
      <c r="J17" s="190">
        <v>465</v>
      </c>
      <c r="K17" s="190">
        <v>465</v>
      </c>
      <c r="L17" s="190">
        <v>0</v>
      </c>
      <c r="M17" s="190">
        <v>144</v>
      </c>
      <c r="N17" s="190">
        <v>144</v>
      </c>
      <c r="O17" s="190">
        <v>0</v>
      </c>
      <c r="P17" s="190">
        <v>321</v>
      </c>
      <c r="Q17" s="190">
        <v>321</v>
      </c>
      <c r="R17" s="190">
        <v>0</v>
      </c>
      <c r="S17" s="190">
        <v>7</v>
      </c>
      <c r="T17" s="190">
        <v>7</v>
      </c>
      <c r="U17" s="190">
        <v>0</v>
      </c>
      <c r="V17" s="190">
        <v>36</v>
      </c>
      <c r="W17" s="190">
        <v>36</v>
      </c>
      <c r="X17" s="190">
        <v>14</v>
      </c>
      <c r="Y17" s="190">
        <v>1087</v>
      </c>
      <c r="Z17" s="190">
        <v>1101</v>
      </c>
      <c r="AA17" s="190">
        <v>11</v>
      </c>
      <c r="AB17" s="190">
        <v>415</v>
      </c>
      <c r="AC17" s="190">
        <v>426</v>
      </c>
      <c r="AD17" s="190">
        <v>11</v>
      </c>
      <c r="AE17" s="190">
        <v>401</v>
      </c>
      <c r="AF17" s="190">
        <v>412</v>
      </c>
      <c r="AG17" s="190">
        <v>0</v>
      </c>
      <c r="AH17" s="190">
        <v>13</v>
      </c>
      <c r="AI17" s="190">
        <v>13</v>
      </c>
      <c r="AJ17" s="190">
        <v>0</v>
      </c>
      <c r="AK17" s="190">
        <v>1</v>
      </c>
      <c r="AL17" s="190">
        <v>1</v>
      </c>
      <c r="AM17" s="190">
        <v>3</v>
      </c>
      <c r="AN17" s="190">
        <v>672</v>
      </c>
      <c r="AO17" s="190">
        <v>675</v>
      </c>
      <c r="AP17" s="190">
        <v>847</v>
      </c>
      <c r="AQ17" s="190">
        <v>10717</v>
      </c>
      <c r="AR17" s="190">
        <v>11564</v>
      </c>
      <c r="AS17" s="190">
        <v>847</v>
      </c>
      <c r="AT17" s="190">
        <v>10717</v>
      </c>
      <c r="AU17" s="190">
        <v>11564</v>
      </c>
      <c r="AV17" s="190">
        <v>0</v>
      </c>
      <c r="AW17" s="190">
        <v>0</v>
      </c>
      <c r="AX17" s="190">
        <v>0</v>
      </c>
      <c r="AY17" s="190">
        <v>33</v>
      </c>
      <c r="AZ17" s="190">
        <v>1096</v>
      </c>
      <c r="BA17" s="190">
        <v>1129</v>
      </c>
      <c r="BB17" s="190">
        <v>13</v>
      </c>
      <c r="BC17" s="190">
        <v>0</v>
      </c>
      <c r="BD17" s="190">
        <v>0</v>
      </c>
      <c r="BE17" s="190">
        <v>589</v>
      </c>
      <c r="BF17" s="190">
        <v>1</v>
      </c>
      <c r="BG17" s="190">
        <v>0</v>
      </c>
      <c r="BH17" s="190">
        <v>13</v>
      </c>
      <c r="BI17" s="190">
        <v>590</v>
      </c>
      <c r="BJ17" s="190">
        <v>603</v>
      </c>
      <c r="BK17" s="190">
        <v>-11</v>
      </c>
      <c r="BL17" s="190">
        <v>11</v>
      </c>
      <c r="BM17" s="190">
        <v>0</v>
      </c>
      <c r="BN17" s="190">
        <v>6</v>
      </c>
      <c r="BO17" s="190">
        <v>36</v>
      </c>
      <c r="BP17" s="190">
        <v>42</v>
      </c>
      <c r="BQ17" s="190">
        <v>2</v>
      </c>
      <c r="BR17" s="190">
        <v>98</v>
      </c>
      <c r="BS17" s="190">
        <v>100</v>
      </c>
      <c r="BT17" s="190">
        <v>23</v>
      </c>
      <c r="BU17" s="190">
        <v>361</v>
      </c>
      <c r="BV17" s="190">
        <v>384</v>
      </c>
      <c r="BW17" s="190">
        <v>880</v>
      </c>
      <c r="BX17" s="190">
        <v>11813</v>
      </c>
      <c r="BY17" s="190">
        <v>12693</v>
      </c>
      <c r="BZ17" s="190">
        <v>880</v>
      </c>
      <c r="CA17" s="190">
        <v>11780</v>
      </c>
      <c r="CB17" s="190">
        <v>12660</v>
      </c>
      <c r="CC17" s="190">
        <v>21196</v>
      </c>
      <c r="CD17" s="190">
        <v>7</v>
      </c>
      <c r="CE17" s="190">
        <v>23</v>
      </c>
      <c r="CF17" s="190">
        <v>0</v>
      </c>
      <c r="CG17" s="190">
        <v>27</v>
      </c>
      <c r="CH17" s="190">
        <v>27</v>
      </c>
      <c r="CI17" s="190">
        <v>7</v>
      </c>
      <c r="CJ17" s="190">
        <v>1</v>
      </c>
      <c r="CK17" s="190">
        <v>0</v>
      </c>
      <c r="CL17" s="190">
        <v>6</v>
      </c>
      <c r="CM17" s="190">
        <v>6</v>
      </c>
      <c r="CN17" s="190">
        <v>36</v>
      </c>
      <c r="CO17" s="190">
        <v>1165</v>
      </c>
      <c r="CP17" s="190">
        <v>1201</v>
      </c>
      <c r="CQ17" s="190">
        <v>0</v>
      </c>
      <c r="CR17" s="190">
        <v>27</v>
      </c>
      <c r="CS17" s="190">
        <v>27</v>
      </c>
      <c r="CT17" s="190">
        <v>844</v>
      </c>
      <c r="CU17" s="190">
        <v>10648</v>
      </c>
      <c r="CV17" s="190">
        <v>11492</v>
      </c>
      <c r="CW17" s="190">
        <v>49</v>
      </c>
      <c r="CX17" s="190">
        <v>345</v>
      </c>
      <c r="CY17" s="190">
        <v>394</v>
      </c>
      <c r="CZ17" s="190">
        <v>49</v>
      </c>
      <c r="DA17" s="190">
        <v>0</v>
      </c>
      <c r="DB17" s="190">
        <v>0</v>
      </c>
      <c r="DC17" s="190">
        <v>338</v>
      </c>
      <c r="DD17" s="190">
        <v>3</v>
      </c>
      <c r="DE17" s="190">
        <v>1</v>
      </c>
      <c r="DF17" s="190">
        <v>49</v>
      </c>
      <c r="DG17" s="190">
        <v>342</v>
      </c>
      <c r="DH17" s="190">
        <v>391</v>
      </c>
      <c r="DI17" s="190">
        <v>0</v>
      </c>
      <c r="DJ17" s="190">
        <v>0</v>
      </c>
      <c r="DK17" s="190">
        <v>0</v>
      </c>
      <c r="DL17" s="190">
        <v>3</v>
      </c>
      <c r="DM17" s="190">
        <v>0</v>
      </c>
      <c r="DN17" s="190">
        <v>0</v>
      </c>
      <c r="DO17" s="190">
        <v>0</v>
      </c>
      <c r="DP17" s="190">
        <v>3</v>
      </c>
      <c r="DQ17" s="190">
        <v>3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953</v>
      </c>
      <c r="C18" s="190">
        <v>106</v>
      </c>
      <c r="D18" s="190">
        <v>976</v>
      </c>
      <c r="E18" s="190">
        <v>675</v>
      </c>
      <c r="F18" s="190">
        <v>1</v>
      </c>
      <c r="G18" s="190">
        <v>14</v>
      </c>
      <c r="H18" s="190">
        <v>15</v>
      </c>
      <c r="I18" s="190">
        <v>0</v>
      </c>
      <c r="J18" s="190">
        <v>243</v>
      </c>
      <c r="K18" s="190">
        <v>243</v>
      </c>
      <c r="L18" s="190">
        <v>0</v>
      </c>
      <c r="M18" s="190">
        <v>126</v>
      </c>
      <c r="N18" s="190">
        <v>126</v>
      </c>
      <c r="O18" s="190">
        <v>0</v>
      </c>
      <c r="P18" s="190">
        <v>117</v>
      </c>
      <c r="Q18" s="190">
        <v>117</v>
      </c>
      <c r="R18" s="190">
        <v>0</v>
      </c>
      <c r="S18" s="190">
        <v>4</v>
      </c>
      <c r="T18" s="190">
        <v>4</v>
      </c>
      <c r="U18" s="190">
        <v>0</v>
      </c>
      <c r="V18" s="190">
        <v>58</v>
      </c>
      <c r="W18" s="190">
        <v>58</v>
      </c>
      <c r="X18" s="190">
        <v>40</v>
      </c>
      <c r="Y18" s="190">
        <v>936</v>
      </c>
      <c r="Z18" s="190">
        <v>976</v>
      </c>
      <c r="AA18" s="190">
        <v>21</v>
      </c>
      <c r="AB18" s="190">
        <v>410</v>
      </c>
      <c r="AC18" s="190">
        <v>431</v>
      </c>
      <c r="AD18" s="190">
        <v>20</v>
      </c>
      <c r="AE18" s="190">
        <v>379</v>
      </c>
      <c r="AF18" s="190">
        <v>399</v>
      </c>
      <c r="AG18" s="190">
        <v>0</v>
      </c>
      <c r="AH18" s="190">
        <v>19</v>
      </c>
      <c r="AI18" s="190">
        <v>19</v>
      </c>
      <c r="AJ18" s="190">
        <v>1</v>
      </c>
      <c r="AK18" s="190">
        <v>12</v>
      </c>
      <c r="AL18" s="190">
        <v>13</v>
      </c>
      <c r="AM18" s="190">
        <v>19</v>
      </c>
      <c r="AN18" s="190">
        <v>526</v>
      </c>
      <c r="AO18" s="190">
        <v>545</v>
      </c>
      <c r="AP18" s="190">
        <v>2255</v>
      </c>
      <c r="AQ18" s="190">
        <v>14551</v>
      </c>
      <c r="AR18" s="190">
        <v>16806</v>
      </c>
      <c r="AS18" s="190">
        <v>2255</v>
      </c>
      <c r="AT18" s="190">
        <v>14552</v>
      </c>
      <c r="AU18" s="190">
        <v>16807</v>
      </c>
      <c r="AV18" s="190">
        <v>0</v>
      </c>
      <c r="AW18" s="190">
        <v>-1</v>
      </c>
      <c r="AX18" s="190">
        <v>-1</v>
      </c>
      <c r="AY18" s="190">
        <v>107</v>
      </c>
      <c r="AZ18" s="190">
        <v>1007</v>
      </c>
      <c r="BA18" s="190">
        <v>1114</v>
      </c>
      <c r="BB18" s="190">
        <v>52</v>
      </c>
      <c r="BC18" s="190">
        <v>2</v>
      </c>
      <c r="BD18" s="190">
        <v>0</v>
      </c>
      <c r="BE18" s="190">
        <v>606</v>
      </c>
      <c r="BF18" s="190">
        <v>12</v>
      </c>
      <c r="BG18" s="190">
        <v>3</v>
      </c>
      <c r="BH18" s="190">
        <v>54</v>
      </c>
      <c r="BI18" s="190">
        <v>621</v>
      </c>
      <c r="BJ18" s="190">
        <v>675</v>
      </c>
      <c r="BK18" s="190">
        <v>-3</v>
      </c>
      <c r="BL18" s="190">
        <v>3</v>
      </c>
      <c r="BM18" s="190">
        <v>0</v>
      </c>
      <c r="BN18" s="190">
        <v>4</v>
      </c>
      <c r="BO18" s="190">
        <v>39</v>
      </c>
      <c r="BP18" s="190">
        <v>43</v>
      </c>
      <c r="BQ18" s="190">
        <v>8</v>
      </c>
      <c r="BR18" s="190">
        <v>138</v>
      </c>
      <c r="BS18" s="190">
        <v>146</v>
      </c>
      <c r="BT18" s="190">
        <v>44</v>
      </c>
      <c r="BU18" s="190">
        <v>206</v>
      </c>
      <c r="BV18" s="190">
        <v>250</v>
      </c>
      <c r="BW18" s="190">
        <v>2362</v>
      </c>
      <c r="BX18" s="190">
        <v>15558</v>
      </c>
      <c r="BY18" s="190">
        <v>17920</v>
      </c>
      <c r="BZ18" s="190">
        <v>2322</v>
      </c>
      <c r="CA18" s="190">
        <v>15171</v>
      </c>
      <c r="CB18" s="190">
        <v>17493</v>
      </c>
      <c r="CC18" s="190">
        <v>42934</v>
      </c>
      <c r="CD18" s="190">
        <v>35</v>
      </c>
      <c r="CE18" s="190">
        <v>371</v>
      </c>
      <c r="CF18" s="190">
        <v>36</v>
      </c>
      <c r="CG18" s="190">
        <v>332</v>
      </c>
      <c r="CH18" s="190">
        <v>368</v>
      </c>
      <c r="CI18" s="190">
        <v>58</v>
      </c>
      <c r="CJ18" s="190">
        <v>11</v>
      </c>
      <c r="CK18" s="190">
        <v>4</v>
      </c>
      <c r="CL18" s="190">
        <v>55</v>
      </c>
      <c r="CM18" s="190">
        <v>59</v>
      </c>
      <c r="CN18" s="190">
        <v>76</v>
      </c>
      <c r="CO18" s="190">
        <v>1118</v>
      </c>
      <c r="CP18" s="190">
        <v>1194</v>
      </c>
      <c r="CQ18" s="190">
        <v>0</v>
      </c>
      <c r="CR18" s="190">
        <v>3</v>
      </c>
      <c r="CS18" s="190">
        <v>3</v>
      </c>
      <c r="CT18" s="190">
        <v>2286</v>
      </c>
      <c r="CU18" s="190">
        <v>14440</v>
      </c>
      <c r="CV18" s="190">
        <v>16726</v>
      </c>
      <c r="CW18" s="190">
        <v>122</v>
      </c>
      <c r="CX18" s="190">
        <v>613</v>
      </c>
      <c r="CY18" s="190">
        <v>735</v>
      </c>
      <c r="CZ18" s="190">
        <v>120</v>
      </c>
      <c r="DA18" s="190">
        <v>1</v>
      </c>
      <c r="DB18" s="190">
        <v>0</v>
      </c>
      <c r="DC18" s="190">
        <v>596</v>
      </c>
      <c r="DD18" s="190">
        <v>10</v>
      </c>
      <c r="DE18" s="190">
        <v>5</v>
      </c>
      <c r="DF18" s="190">
        <v>121</v>
      </c>
      <c r="DG18" s="190">
        <v>611</v>
      </c>
      <c r="DH18" s="190">
        <v>732</v>
      </c>
      <c r="DI18" s="190">
        <v>1</v>
      </c>
      <c r="DJ18" s="190">
        <v>0</v>
      </c>
      <c r="DK18" s="190">
        <v>0</v>
      </c>
      <c r="DL18" s="190">
        <v>2</v>
      </c>
      <c r="DM18" s="190">
        <v>0</v>
      </c>
      <c r="DN18" s="190">
        <v>0</v>
      </c>
      <c r="DO18" s="190">
        <v>1</v>
      </c>
      <c r="DP18" s="190">
        <v>2</v>
      </c>
      <c r="DQ18" s="190">
        <v>3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82</v>
      </c>
      <c r="C19" s="190">
        <v>4</v>
      </c>
      <c r="D19" s="190">
        <v>79</v>
      </c>
      <c r="E19" s="190">
        <v>52</v>
      </c>
      <c r="F19" s="190">
        <v>0</v>
      </c>
      <c r="G19" s="190">
        <v>0</v>
      </c>
      <c r="H19" s="190">
        <v>0</v>
      </c>
      <c r="I19" s="190">
        <v>0</v>
      </c>
      <c r="J19" s="190">
        <v>22</v>
      </c>
      <c r="K19" s="190">
        <v>22</v>
      </c>
      <c r="L19" s="190">
        <v>0</v>
      </c>
      <c r="M19" s="190">
        <v>9</v>
      </c>
      <c r="N19" s="190">
        <v>9</v>
      </c>
      <c r="O19" s="190">
        <v>0</v>
      </c>
      <c r="P19" s="190">
        <v>13</v>
      </c>
      <c r="Q19" s="190">
        <v>13</v>
      </c>
      <c r="R19" s="190">
        <v>0</v>
      </c>
      <c r="S19" s="190">
        <v>0</v>
      </c>
      <c r="T19" s="190">
        <v>0</v>
      </c>
      <c r="U19" s="190">
        <v>0</v>
      </c>
      <c r="V19" s="190">
        <v>5</v>
      </c>
      <c r="W19" s="190">
        <v>5</v>
      </c>
      <c r="X19" s="190">
        <v>4</v>
      </c>
      <c r="Y19" s="190">
        <v>75</v>
      </c>
      <c r="Z19" s="190">
        <v>79</v>
      </c>
      <c r="AA19" s="190">
        <v>3</v>
      </c>
      <c r="AB19" s="190">
        <v>36</v>
      </c>
      <c r="AC19" s="190">
        <v>39</v>
      </c>
      <c r="AD19" s="190">
        <v>2</v>
      </c>
      <c r="AE19" s="190">
        <v>31</v>
      </c>
      <c r="AF19" s="190">
        <v>33</v>
      </c>
      <c r="AG19" s="190">
        <v>1</v>
      </c>
      <c r="AH19" s="190">
        <v>3</v>
      </c>
      <c r="AI19" s="190">
        <v>4</v>
      </c>
      <c r="AJ19" s="190">
        <v>0</v>
      </c>
      <c r="AK19" s="190">
        <v>2</v>
      </c>
      <c r="AL19" s="190">
        <v>2</v>
      </c>
      <c r="AM19" s="190">
        <v>1</v>
      </c>
      <c r="AN19" s="190">
        <v>39</v>
      </c>
      <c r="AO19" s="190">
        <v>40</v>
      </c>
      <c r="AP19" s="190">
        <v>81</v>
      </c>
      <c r="AQ19" s="190">
        <v>871</v>
      </c>
      <c r="AR19" s="190">
        <v>952</v>
      </c>
      <c r="AS19" s="190">
        <v>81</v>
      </c>
      <c r="AT19" s="190">
        <v>871</v>
      </c>
      <c r="AU19" s="190">
        <v>952</v>
      </c>
      <c r="AV19" s="190">
        <v>0</v>
      </c>
      <c r="AW19" s="190">
        <v>0</v>
      </c>
      <c r="AX19" s="190">
        <v>0</v>
      </c>
      <c r="AY19" s="190">
        <v>11</v>
      </c>
      <c r="AZ19" s="190">
        <v>66</v>
      </c>
      <c r="BA19" s="190">
        <v>77</v>
      </c>
      <c r="BB19" s="190">
        <v>4</v>
      </c>
      <c r="BC19" s="190">
        <v>0</v>
      </c>
      <c r="BD19" s="190">
        <v>0</v>
      </c>
      <c r="BE19" s="190">
        <v>47</v>
      </c>
      <c r="BF19" s="190">
        <v>1</v>
      </c>
      <c r="BG19" s="190">
        <v>0</v>
      </c>
      <c r="BH19" s="190">
        <v>4</v>
      </c>
      <c r="BI19" s="190">
        <v>48</v>
      </c>
      <c r="BJ19" s="190">
        <v>52</v>
      </c>
      <c r="BK19" s="190">
        <v>4</v>
      </c>
      <c r="BL19" s="190">
        <v>-4</v>
      </c>
      <c r="BM19" s="190">
        <v>0</v>
      </c>
      <c r="BN19" s="190">
        <v>0</v>
      </c>
      <c r="BO19" s="190">
        <v>3</v>
      </c>
      <c r="BP19" s="190">
        <v>3</v>
      </c>
      <c r="BQ19" s="190">
        <v>0</v>
      </c>
      <c r="BR19" s="190">
        <v>8</v>
      </c>
      <c r="BS19" s="190">
        <v>8</v>
      </c>
      <c r="BT19" s="190">
        <v>3</v>
      </c>
      <c r="BU19" s="190">
        <v>11</v>
      </c>
      <c r="BV19" s="190">
        <v>14</v>
      </c>
      <c r="BW19" s="190">
        <v>92</v>
      </c>
      <c r="BX19" s="190">
        <v>937</v>
      </c>
      <c r="BY19" s="190">
        <v>1029</v>
      </c>
      <c r="BZ19" s="190">
        <v>92</v>
      </c>
      <c r="CA19" s="190">
        <v>928</v>
      </c>
      <c r="CB19" s="190">
        <v>1020</v>
      </c>
      <c r="CC19" s="190">
        <v>1955</v>
      </c>
      <c r="CD19" s="190">
        <v>1</v>
      </c>
      <c r="CE19" s="190">
        <v>7</v>
      </c>
      <c r="CF19" s="190">
        <v>0</v>
      </c>
      <c r="CG19" s="190">
        <v>7</v>
      </c>
      <c r="CH19" s="190">
        <v>7</v>
      </c>
      <c r="CI19" s="190">
        <v>2</v>
      </c>
      <c r="CJ19" s="190">
        <v>0</v>
      </c>
      <c r="CK19" s="190">
        <v>0</v>
      </c>
      <c r="CL19" s="190">
        <v>2</v>
      </c>
      <c r="CM19" s="190">
        <v>2</v>
      </c>
      <c r="CN19" s="190">
        <v>6</v>
      </c>
      <c r="CO19" s="190">
        <v>86</v>
      </c>
      <c r="CP19" s="190">
        <v>92</v>
      </c>
      <c r="CQ19" s="190">
        <v>0</v>
      </c>
      <c r="CR19" s="190">
        <v>0</v>
      </c>
      <c r="CS19" s="190">
        <v>0</v>
      </c>
      <c r="CT19" s="190">
        <v>86</v>
      </c>
      <c r="CU19" s="190">
        <v>851</v>
      </c>
      <c r="CV19" s="190">
        <v>937</v>
      </c>
      <c r="CW19" s="190">
        <v>5</v>
      </c>
      <c r="CX19" s="190">
        <v>45</v>
      </c>
      <c r="CY19" s="190">
        <v>50</v>
      </c>
      <c r="CZ19" s="190">
        <v>5</v>
      </c>
      <c r="DA19" s="190">
        <v>0</v>
      </c>
      <c r="DB19" s="190">
        <v>0</v>
      </c>
      <c r="DC19" s="190">
        <v>44</v>
      </c>
      <c r="DD19" s="190">
        <v>0</v>
      </c>
      <c r="DE19" s="190">
        <v>0</v>
      </c>
      <c r="DF19" s="190">
        <v>5</v>
      </c>
      <c r="DG19" s="190">
        <v>44</v>
      </c>
      <c r="DH19" s="190">
        <v>49</v>
      </c>
      <c r="DI19" s="190">
        <v>0</v>
      </c>
      <c r="DJ19" s="190">
        <v>0</v>
      </c>
      <c r="DK19" s="190">
        <v>0</v>
      </c>
      <c r="DL19" s="190">
        <v>1</v>
      </c>
      <c r="DM19" s="190">
        <v>0</v>
      </c>
      <c r="DN19" s="190">
        <v>0</v>
      </c>
      <c r="DO19" s="190">
        <v>0</v>
      </c>
      <c r="DP19" s="190">
        <v>1</v>
      </c>
      <c r="DQ19" s="190">
        <v>1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5863</v>
      </c>
      <c r="C20" s="190">
        <v>1379</v>
      </c>
      <c r="D20" s="190">
        <v>6078</v>
      </c>
      <c r="E20" s="190">
        <v>3880</v>
      </c>
      <c r="F20" s="190">
        <v>3</v>
      </c>
      <c r="G20" s="190">
        <v>61</v>
      </c>
      <c r="H20" s="190">
        <v>64</v>
      </c>
      <c r="I20" s="190">
        <v>0</v>
      </c>
      <c r="J20" s="190">
        <v>1875</v>
      </c>
      <c r="K20" s="190">
        <v>1875</v>
      </c>
      <c r="L20" s="190">
        <v>0</v>
      </c>
      <c r="M20" s="190">
        <v>975</v>
      </c>
      <c r="N20" s="190">
        <v>975</v>
      </c>
      <c r="O20" s="190">
        <v>0</v>
      </c>
      <c r="P20" s="190">
        <v>900</v>
      </c>
      <c r="Q20" s="190">
        <v>900</v>
      </c>
      <c r="R20" s="190">
        <v>0</v>
      </c>
      <c r="S20" s="190">
        <v>29</v>
      </c>
      <c r="T20" s="190">
        <v>29</v>
      </c>
      <c r="U20" s="190">
        <v>0</v>
      </c>
      <c r="V20" s="190">
        <v>323</v>
      </c>
      <c r="W20" s="190">
        <v>323</v>
      </c>
      <c r="X20" s="190">
        <v>235</v>
      </c>
      <c r="Y20" s="190">
        <v>5752</v>
      </c>
      <c r="Z20" s="190">
        <v>5987</v>
      </c>
      <c r="AA20" s="190">
        <v>155</v>
      </c>
      <c r="AB20" s="190">
        <v>2329</v>
      </c>
      <c r="AC20" s="190">
        <v>2484</v>
      </c>
      <c r="AD20" s="190">
        <v>151</v>
      </c>
      <c r="AE20" s="190">
        <v>2156</v>
      </c>
      <c r="AF20" s="190">
        <v>2307</v>
      </c>
      <c r="AG20" s="190">
        <v>1</v>
      </c>
      <c r="AH20" s="190">
        <v>116</v>
      </c>
      <c r="AI20" s="190">
        <v>117</v>
      </c>
      <c r="AJ20" s="190">
        <v>3</v>
      </c>
      <c r="AK20" s="190">
        <v>57</v>
      </c>
      <c r="AL20" s="190">
        <v>60</v>
      </c>
      <c r="AM20" s="190">
        <v>80</v>
      </c>
      <c r="AN20" s="190">
        <v>3423</v>
      </c>
      <c r="AO20" s="190">
        <v>3503</v>
      </c>
      <c r="AP20" s="190">
        <v>9501</v>
      </c>
      <c r="AQ20" s="190">
        <v>55760</v>
      </c>
      <c r="AR20" s="190">
        <v>65261</v>
      </c>
      <c r="AS20" s="190">
        <v>9501</v>
      </c>
      <c r="AT20" s="190">
        <v>55763</v>
      </c>
      <c r="AU20" s="190">
        <v>65264</v>
      </c>
      <c r="AV20" s="190">
        <v>0</v>
      </c>
      <c r="AW20" s="190">
        <v>-3</v>
      </c>
      <c r="AX20" s="190">
        <v>-3</v>
      </c>
      <c r="AY20" s="190">
        <v>543</v>
      </c>
      <c r="AZ20" s="190">
        <v>5293</v>
      </c>
      <c r="BA20" s="190">
        <v>5836</v>
      </c>
      <c r="BB20" s="190">
        <v>299</v>
      </c>
      <c r="BC20" s="190">
        <v>6</v>
      </c>
      <c r="BD20" s="190">
        <v>0</v>
      </c>
      <c r="BE20" s="190">
        <v>3500</v>
      </c>
      <c r="BF20" s="190">
        <v>59</v>
      </c>
      <c r="BG20" s="190">
        <v>16</v>
      </c>
      <c r="BH20" s="190">
        <v>305</v>
      </c>
      <c r="BI20" s="190">
        <v>3575</v>
      </c>
      <c r="BJ20" s="190">
        <v>3880</v>
      </c>
      <c r="BK20" s="190">
        <v>61</v>
      </c>
      <c r="BL20" s="190">
        <v>-61</v>
      </c>
      <c r="BM20" s="190">
        <v>0</v>
      </c>
      <c r="BN20" s="190">
        <v>14</v>
      </c>
      <c r="BO20" s="190">
        <v>85</v>
      </c>
      <c r="BP20" s="190">
        <v>99</v>
      </c>
      <c r="BQ20" s="190">
        <v>46</v>
      </c>
      <c r="BR20" s="190">
        <v>601</v>
      </c>
      <c r="BS20" s="190">
        <v>647</v>
      </c>
      <c r="BT20" s="190">
        <v>117</v>
      </c>
      <c r="BU20" s="190">
        <v>1093</v>
      </c>
      <c r="BV20" s="190">
        <v>1210</v>
      </c>
      <c r="BW20" s="190">
        <v>10044</v>
      </c>
      <c r="BX20" s="190">
        <v>61053</v>
      </c>
      <c r="BY20" s="190">
        <v>71097</v>
      </c>
      <c r="BZ20" s="190">
        <v>9981</v>
      </c>
      <c r="CA20" s="190">
        <v>60058</v>
      </c>
      <c r="CB20" s="190">
        <v>70039</v>
      </c>
      <c r="CC20" s="190">
        <v>163415</v>
      </c>
      <c r="CD20" s="190">
        <v>48</v>
      </c>
      <c r="CE20" s="190">
        <v>834</v>
      </c>
      <c r="CF20" s="190">
        <v>63</v>
      </c>
      <c r="CG20" s="190">
        <v>741</v>
      </c>
      <c r="CH20" s="190">
        <v>804</v>
      </c>
      <c r="CI20" s="190">
        <v>320</v>
      </c>
      <c r="CJ20" s="190">
        <v>15</v>
      </c>
      <c r="CK20" s="190">
        <v>0</v>
      </c>
      <c r="CL20" s="190">
        <v>254</v>
      </c>
      <c r="CM20" s="190">
        <v>254</v>
      </c>
      <c r="CN20" s="190">
        <v>451</v>
      </c>
      <c r="CO20" s="190">
        <v>5399</v>
      </c>
      <c r="CP20" s="190">
        <v>5850</v>
      </c>
      <c r="CQ20" s="190">
        <v>0</v>
      </c>
      <c r="CR20" s="190">
        <v>1</v>
      </c>
      <c r="CS20" s="190">
        <v>1</v>
      </c>
      <c r="CT20" s="190">
        <v>9593</v>
      </c>
      <c r="CU20" s="190">
        <v>55654</v>
      </c>
      <c r="CV20" s="190">
        <v>65247</v>
      </c>
      <c r="CW20" s="190">
        <v>549</v>
      </c>
      <c r="CX20" s="190">
        <v>2425</v>
      </c>
      <c r="CY20" s="190">
        <v>2974</v>
      </c>
      <c r="CZ20" s="190">
        <v>545</v>
      </c>
      <c r="DA20" s="190">
        <v>4</v>
      </c>
      <c r="DB20" s="190">
        <v>0</v>
      </c>
      <c r="DC20" s="190">
        <v>2307</v>
      </c>
      <c r="DD20" s="190">
        <v>30</v>
      </c>
      <c r="DE20" s="190">
        <v>7</v>
      </c>
      <c r="DF20" s="190">
        <v>549</v>
      </c>
      <c r="DG20" s="190">
        <v>2344</v>
      </c>
      <c r="DH20" s="190">
        <v>2893</v>
      </c>
      <c r="DI20" s="190">
        <v>0</v>
      </c>
      <c r="DJ20" s="190">
        <v>0</v>
      </c>
      <c r="DK20" s="190">
        <v>0</v>
      </c>
      <c r="DL20" s="190">
        <v>80</v>
      </c>
      <c r="DM20" s="190">
        <v>1</v>
      </c>
      <c r="DN20" s="190">
        <v>0</v>
      </c>
      <c r="DO20" s="190">
        <v>0</v>
      </c>
      <c r="DP20" s="190">
        <v>81</v>
      </c>
      <c r="DQ20" s="190">
        <v>81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858</v>
      </c>
      <c r="C21" s="190">
        <v>112</v>
      </c>
      <c r="D21" s="190">
        <v>826</v>
      </c>
      <c r="E21" s="190">
        <v>583</v>
      </c>
      <c r="F21" s="190">
        <v>0</v>
      </c>
      <c r="G21" s="190">
        <v>2</v>
      </c>
      <c r="H21" s="190">
        <v>2</v>
      </c>
      <c r="I21" s="190">
        <v>0</v>
      </c>
      <c r="J21" s="190">
        <v>209</v>
      </c>
      <c r="K21" s="190">
        <v>209</v>
      </c>
      <c r="L21" s="190">
        <v>0</v>
      </c>
      <c r="M21" s="190">
        <v>118</v>
      </c>
      <c r="N21" s="190">
        <v>118</v>
      </c>
      <c r="O21" s="190">
        <v>0</v>
      </c>
      <c r="P21" s="190">
        <v>91</v>
      </c>
      <c r="Q21" s="190">
        <v>91</v>
      </c>
      <c r="R21" s="190">
        <v>0</v>
      </c>
      <c r="S21" s="190">
        <v>1</v>
      </c>
      <c r="T21" s="190">
        <v>1</v>
      </c>
      <c r="U21" s="190">
        <v>0</v>
      </c>
      <c r="V21" s="190">
        <v>34</v>
      </c>
      <c r="W21" s="190">
        <v>34</v>
      </c>
      <c r="X21" s="190">
        <v>31</v>
      </c>
      <c r="Y21" s="190">
        <v>795</v>
      </c>
      <c r="Z21" s="190">
        <v>826</v>
      </c>
      <c r="AA21" s="190">
        <v>20</v>
      </c>
      <c r="AB21" s="190">
        <v>360</v>
      </c>
      <c r="AC21" s="190">
        <v>380</v>
      </c>
      <c r="AD21" s="190">
        <v>20</v>
      </c>
      <c r="AE21" s="190">
        <v>351</v>
      </c>
      <c r="AF21" s="190">
        <v>371</v>
      </c>
      <c r="AG21" s="190">
        <v>0</v>
      </c>
      <c r="AH21" s="190">
        <v>8</v>
      </c>
      <c r="AI21" s="190">
        <v>8</v>
      </c>
      <c r="AJ21" s="190">
        <v>0</v>
      </c>
      <c r="AK21" s="190">
        <v>1</v>
      </c>
      <c r="AL21" s="190">
        <v>1</v>
      </c>
      <c r="AM21" s="190">
        <v>11</v>
      </c>
      <c r="AN21" s="190">
        <v>435</v>
      </c>
      <c r="AO21" s="190">
        <v>446</v>
      </c>
      <c r="AP21" s="190">
        <v>1387</v>
      </c>
      <c r="AQ21" s="190">
        <v>8598</v>
      </c>
      <c r="AR21" s="190">
        <v>9985</v>
      </c>
      <c r="AS21" s="190">
        <v>1387</v>
      </c>
      <c r="AT21" s="190">
        <v>8598</v>
      </c>
      <c r="AU21" s="190">
        <v>9985</v>
      </c>
      <c r="AV21" s="190">
        <v>0</v>
      </c>
      <c r="AW21" s="190">
        <v>0</v>
      </c>
      <c r="AX21" s="190">
        <v>0</v>
      </c>
      <c r="AY21" s="190">
        <v>93</v>
      </c>
      <c r="AZ21" s="190">
        <v>784</v>
      </c>
      <c r="BA21" s="190">
        <v>877</v>
      </c>
      <c r="BB21" s="190">
        <v>37</v>
      </c>
      <c r="BC21" s="190">
        <v>0</v>
      </c>
      <c r="BD21" s="190">
        <v>0</v>
      </c>
      <c r="BE21" s="190">
        <v>530</v>
      </c>
      <c r="BF21" s="190">
        <v>11</v>
      </c>
      <c r="BG21" s="190">
        <v>5</v>
      </c>
      <c r="BH21" s="190">
        <v>37</v>
      </c>
      <c r="BI21" s="190">
        <v>546</v>
      </c>
      <c r="BJ21" s="190">
        <v>583</v>
      </c>
      <c r="BK21" s="190">
        <v>13</v>
      </c>
      <c r="BL21" s="190">
        <v>-13</v>
      </c>
      <c r="BM21" s="190">
        <v>0</v>
      </c>
      <c r="BN21" s="190">
        <v>5</v>
      </c>
      <c r="BO21" s="190">
        <v>15</v>
      </c>
      <c r="BP21" s="190">
        <v>20</v>
      </c>
      <c r="BQ21" s="190">
        <v>12</v>
      </c>
      <c r="BR21" s="190">
        <v>109</v>
      </c>
      <c r="BS21" s="190">
        <v>121</v>
      </c>
      <c r="BT21" s="190">
        <v>26</v>
      </c>
      <c r="BU21" s="190">
        <v>127</v>
      </c>
      <c r="BV21" s="190">
        <v>153</v>
      </c>
      <c r="BW21" s="190">
        <v>1480</v>
      </c>
      <c r="BX21" s="190">
        <v>9382</v>
      </c>
      <c r="BY21" s="190">
        <v>10862</v>
      </c>
      <c r="BZ21" s="190">
        <v>1458</v>
      </c>
      <c r="CA21" s="190">
        <v>9246</v>
      </c>
      <c r="CB21" s="190">
        <v>10704</v>
      </c>
      <c r="CC21" s="190">
        <v>24378</v>
      </c>
      <c r="CD21" s="190">
        <v>9</v>
      </c>
      <c r="CE21" s="190">
        <v>127</v>
      </c>
      <c r="CF21" s="190">
        <v>21</v>
      </c>
      <c r="CG21" s="190">
        <v>110</v>
      </c>
      <c r="CH21" s="190">
        <v>131</v>
      </c>
      <c r="CI21" s="190">
        <v>30</v>
      </c>
      <c r="CJ21" s="190">
        <v>1</v>
      </c>
      <c r="CK21" s="190">
        <v>1</v>
      </c>
      <c r="CL21" s="190">
        <v>26</v>
      </c>
      <c r="CM21" s="190">
        <v>27</v>
      </c>
      <c r="CN21" s="190">
        <v>72</v>
      </c>
      <c r="CO21" s="190">
        <v>833</v>
      </c>
      <c r="CP21" s="190">
        <v>905</v>
      </c>
      <c r="CQ21" s="190">
        <v>0</v>
      </c>
      <c r="CR21" s="190">
        <v>1</v>
      </c>
      <c r="CS21" s="190">
        <v>1</v>
      </c>
      <c r="CT21" s="190">
        <v>1408</v>
      </c>
      <c r="CU21" s="190">
        <v>8549</v>
      </c>
      <c r="CV21" s="190">
        <v>9957</v>
      </c>
      <c r="CW21" s="190">
        <v>83</v>
      </c>
      <c r="CX21" s="190">
        <v>316</v>
      </c>
      <c r="CY21" s="190">
        <v>399</v>
      </c>
      <c r="CZ21" s="190">
        <v>82</v>
      </c>
      <c r="DA21" s="190">
        <v>1</v>
      </c>
      <c r="DB21" s="190">
        <v>0</v>
      </c>
      <c r="DC21" s="190">
        <v>307</v>
      </c>
      <c r="DD21" s="190">
        <v>6</v>
      </c>
      <c r="DE21" s="190">
        <v>0</v>
      </c>
      <c r="DF21" s="190">
        <v>83</v>
      </c>
      <c r="DG21" s="190">
        <v>313</v>
      </c>
      <c r="DH21" s="190">
        <v>396</v>
      </c>
      <c r="DI21" s="190">
        <v>0</v>
      </c>
      <c r="DJ21" s="190">
        <v>0</v>
      </c>
      <c r="DK21" s="190">
        <v>0</v>
      </c>
      <c r="DL21" s="190">
        <v>3</v>
      </c>
      <c r="DM21" s="190">
        <v>0</v>
      </c>
      <c r="DN21" s="190">
        <v>0</v>
      </c>
      <c r="DO21" s="190">
        <v>0</v>
      </c>
      <c r="DP21" s="190">
        <v>3</v>
      </c>
      <c r="DQ21" s="190">
        <v>3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443</v>
      </c>
      <c r="C22" s="190">
        <v>58</v>
      </c>
      <c r="D22" s="190">
        <v>431</v>
      </c>
      <c r="E22" s="190">
        <v>311</v>
      </c>
      <c r="F22" s="190">
        <v>2</v>
      </c>
      <c r="G22" s="190">
        <v>16</v>
      </c>
      <c r="H22" s="190">
        <v>18</v>
      </c>
      <c r="I22" s="190">
        <v>0</v>
      </c>
      <c r="J22" s="190">
        <v>106</v>
      </c>
      <c r="K22" s="190">
        <v>106</v>
      </c>
      <c r="L22" s="190">
        <v>0</v>
      </c>
      <c r="M22" s="190">
        <v>34</v>
      </c>
      <c r="N22" s="190">
        <v>34</v>
      </c>
      <c r="O22" s="190">
        <v>0</v>
      </c>
      <c r="P22" s="190">
        <v>72</v>
      </c>
      <c r="Q22" s="190">
        <v>72</v>
      </c>
      <c r="R22" s="190">
        <v>0</v>
      </c>
      <c r="S22" s="190">
        <v>2</v>
      </c>
      <c r="T22" s="190">
        <v>2</v>
      </c>
      <c r="U22" s="190">
        <v>0</v>
      </c>
      <c r="V22" s="190">
        <v>14</v>
      </c>
      <c r="W22" s="190">
        <v>14</v>
      </c>
      <c r="X22" s="190">
        <v>6</v>
      </c>
      <c r="Y22" s="190">
        <v>424</v>
      </c>
      <c r="Z22" s="190">
        <v>430</v>
      </c>
      <c r="AA22" s="190">
        <v>1</v>
      </c>
      <c r="AB22" s="190">
        <v>207</v>
      </c>
      <c r="AC22" s="190">
        <v>208</v>
      </c>
      <c r="AD22" s="190">
        <v>1</v>
      </c>
      <c r="AE22" s="190">
        <v>196</v>
      </c>
      <c r="AF22" s="190">
        <v>197</v>
      </c>
      <c r="AG22" s="190">
        <v>0</v>
      </c>
      <c r="AH22" s="190">
        <v>7</v>
      </c>
      <c r="AI22" s="190">
        <v>7</v>
      </c>
      <c r="AJ22" s="190">
        <v>0</v>
      </c>
      <c r="AK22" s="190">
        <v>4</v>
      </c>
      <c r="AL22" s="190">
        <v>4</v>
      </c>
      <c r="AM22" s="190">
        <v>5</v>
      </c>
      <c r="AN22" s="190">
        <v>217</v>
      </c>
      <c r="AO22" s="190">
        <v>222</v>
      </c>
      <c r="AP22" s="190">
        <v>547</v>
      </c>
      <c r="AQ22" s="190">
        <v>5523</v>
      </c>
      <c r="AR22" s="190">
        <v>6070</v>
      </c>
      <c r="AS22" s="190">
        <v>547</v>
      </c>
      <c r="AT22" s="190">
        <v>5523</v>
      </c>
      <c r="AU22" s="190">
        <v>6070</v>
      </c>
      <c r="AV22" s="190">
        <v>0</v>
      </c>
      <c r="AW22" s="190">
        <v>0</v>
      </c>
      <c r="AX22" s="190">
        <v>0</v>
      </c>
      <c r="AY22" s="190">
        <v>24</v>
      </c>
      <c r="AZ22" s="190">
        <v>554</v>
      </c>
      <c r="BA22" s="190">
        <v>578</v>
      </c>
      <c r="BB22" s="190">
        <v>12</v>
      </c>
      <c r="BC22" s="190">
        <v>0</v>
      </c>
      <c r="BD22" s="190">
        <v>0</v>
      </c>
      <c r="BE22" s="190">
        <v>297</v>
      </c>
      <c r="BF22" s="190">
        <v>2</v>
      </c>
      <c r="BG22" s="190">
        <v>0</v>
      </c>
      <c r="BH22" s="190">
        <v>12</v>
      </c>
      <c r="BI22" s="190">
        <v>299</v>
      </c>
      <c r="BJ22" s="190">
        <v>311</v>
      </c>
      <c r="BK22" s="190">
        <v>-10</v>
      </c>
      <c r="BL22" s="190">
        <v>10</v>
      </c>
      <c r="BM22" s="190">
        <v>0</v>
      </c>
      <c r="BN22" s="190">
        <v>5</v>
      </c>
      <c r="BO22" s="190">
        <v>23</v>
      </c>
      <c r="BP22" s="190">
        <v>28</v>
      </c>
      <c r="BQ22" s="190">
        <v>2</v>
      </c>
      <c r="BR22" s="190">
        <v>25</v>
      </c>
      <c r="BS22" s="190">
        <v>27</v>
      </c>
      <c r="BT22" s="190">
        <v>15</v>
      </c>
      <c r="BU22" s="190">
        <v>197</v>
      </c>
      <c r="BV22" s="190">
        <v>212</v>
      </c>
      <c r="BW22" s="190">
        <v>571</v>
      </c>
      <c r="BX22" s="190">
        <v>6077</v>
      </c>
      <c r="BY22" s="190">
        <v>6648</v>
      </c>
      <c r="BZ22" s="190">
        <v>568</v>
      </c>
      <c r="CA22" s="190">
        <v>6048</v>
      </c>
      <c r="CB22" s="190">
        <v>6616</v>
      </c>
      <c r="CC22" s="190">
        <v>12516</v>
      </c>
      <c r="CD22" s="190">
        <v>3</v>
      </c>
      <c r="CE22" s="190">
        <v>26</v>
      </c>
      <c r="CF22" s="190">
        <v>3</v>
      </c>
      <c r="CG22" s="190">
        <v>23</v>
      </c>
      <c r="CH22" s="190">
        <v>26</v>
      </c>
      <c r="CI22" s="190">
        <v>8</v>
      </c>
      <c r="CJ22" s="190">
        <v>0</v>
      </c>
      <c r="CK22" s="190">
        <v>0</v>
      </c>
      <c r="CL22" s="190">
        <v>6</v>
      </c>
      <c r="CM22" s="190">
        <v>6</v>
      </c>
      <c r="CN22" s="190">
        <v>26</v>
      </c>
      <c r="CO22" s="190">
        <v>552</v>
      </c>
      <c r="CP22" s="190">
        <v>578</v>
      </c>
      <c r="CQ22" s="190">
        <v>0</v>
      </c>
      <c r="CR22" s="190">
        <v>0</v>
      </c>
      <c r="CS22" s="190">
        <v>0</v>
      </c>
      <c r="CT22" s="190">
        <v>545</v>
      </c>
      <c r="CU22" s="190">
        <v>5525</v>
      </c>
      <c r="CV22" s="190">
        <v>6070</v>
      </c>
      <c r="CW22" s="190">
        <v>31</v>
      </c>
      <c r="CX22" s="190">
        <v>285</v>
      </c>
      <c r="CY22" s="190">
        <v>316</v>
      </c>
      <c r="CZ22" s="190">
        <v>31</v>
      </c>
      <c r="DA22" s="190">
        <v>0</v>
      </c>
      <c r="DB22" s="190">
        <v>0</v>
      </c>
      <c r="DC22" s="190">
        <v>278</v>
      </c>
      <c r="DD22" s="190">
        <v>2</v>
      </c>
      <c r="DE22" s="190">
        <v>1</v>
      </c>
      <c r="DF22" s="190">
        <v>31</v>
      </c>
      <c r="DG22" s="190">
        <v>281</v>
      </c>
      <c r="DH22" s="190">
        <v>312</v>
      </c>
      <c r="DI22" s="190">
        <v>0</v>
      </c>
      <c r="DJ22" s="190">
        <v>0</v>
      </c>
      <c r="DK22" s="190">
        <v>0</v>
      </c>
      <c r="DL22" s="190">
        <v>4</v>
      </c>
      <c r="DM22" s="190">
        <v>0</v>
      </c>
      <c r="DN22" s="190">
        <v>0</v>
      </c>
      <c r="DO22" s="190">
        <v>0</v>
      </c>
      <c r="DP22" s="190">
        <v>4</v>
      </c>
      <c r="DQ22" s="190">
        <v>4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115</v>
      </c>
      <c r="C23" s="190">
        <v>8</v>
      </c>
      <c r="D23" s="190">
        <v>125</v>
      </c>
      <c r="E23" s="190">
        <v>85</v>
      </c>
      <c r="F23" s="190">
        <v>1</v>
      </c>
      <c r="G23" s="190">
        <v>14</v>
      </c>
      <c r="H23" s="190">
        <v>15</v>
      </c>
      <c r="I23" s="190">
        <v>0</v>
      </c>
      <c r="J23" s="190">
        <v>37</v>
      </c>
      <c r="K23" s="190">
        <v>37</v>
      </c>
      <c r="L23" s="190">
        <v>0</v>
      </c>
      <c r="M23" s="190">
        <v>19</v>
      </c>
      <c r="N23" s="190">
        <v>19</v>
      </c>
      <c r="O23" s="190">
        <v>0</v>
      </c>
      <c r="P23" s="190">
        <v>18</v>
      </c>
      <c r="Q23" s="190">
        <v>18</v>
      </c>
      <c r="R23" s="190">
        <v>0</v>
      </c>
      <c r="S23" s="190">
        <v>5</v>
      </c>
      <c r="T23" s="190">
        <v>5</v>
      </c>
      <c r="U23" s="190">
        <v>0</v>
      </c>
      <c r="V23" s="190">
        <v>3</v>
      </c>
      <c r="W23" s="190">
        <v>3</v>
      </c>
      <c r="X23" s="190">
        <v>4</v>
      </c>
      <c r="Y23" s="190">
        <v>121</v>
      </c>
      <c r="Z23" s="190">
        <v>125</v>
      </c>
      <c r="AA23" s="190">
        <v>2</v>
      </c>
      <c r="AB23" s="190">
        <v>54</v>
      </c>
      <c r="AC23" s="190">
        <v>56</v>
      </c>
      <c r="AD23" s="190">
        <v>2</v>
      </c>
      <c r="AE23" s="190">
        <v>48</v>
      </c>
      <c r="AF23" s="190">
        <v>50</v>
      </c>
      <c r="AG23" s="190">
        <v>0</v>
      </c>
      <c r="AH23" s="190">
        <v>4</v>
      </c>
      <c r="AI23" s="190">
        <v>4</v>
      </c>
      <c r="AJ23" s="190">
        <v>0</v>
      </c>
      <c r="AK23" s="190">
        <v>2</v>
      </c>
      <c r="AL23" s="190">
        <v>2</v>
      </c>
      <c r="AM23" s="190">
        <v>2</v>
      </c>
      <c r="AN23" s="190">
        <v>67</v>
      </c>
      <c r="AO23" s="190">
        <v>69</v>
      </c>
      <c r="AP23" s="190">
        <v>208</v>
      </c>
      <c r="AQ23" s="190">
        <v>1227</v>
      </c>
      <c r="AR23" s="190">
        <v>1435</v>
      </c>
      <c r="AS23" s="190">
        <v>208</v>
      </c>
      <c r="AT23" s="190">
        <v>1227</v>
      </c>
      <c r="AU23" s="190">
        <v>1435</v>
      </c>
      <c r="AV23" s="190">
        <v>0</v>
      </c>
      <c r="AW23" s="190">
        <v>0</v>
      </c>
      <c r="AX23" s="190">
        <v>0</v>
      </c>
      <c r="AY23" s="190">
        <v>26</v>
      </c>
      <c r="AZ23" s="190">
        <v>156</v>
      </c>
      <c r="BA23" s="190">
        <v>182</v>
      </c>
      <c r="BB23" s="190">
        <v>6</v>
      </c>
      <c r="BC23" s="190">
        <v>0</v>
      </c>
      <c r="BD23" s="190">
        <v>0</v>
      </c>
      <c r="BE23" s="190">
        <v>78</v>
      </c>
      <c r="BF23" s="190">
        <v>1</v>
      </c>
      <c r="BG23" s="190">
        <v>0</v>
      </c>
      <c r="BH23" s="190">
        <v>6</v>
      </c>
      <c r="BI23" s="190">
        <v>79</v>
      </c>
      <c r="BJ23" s="190">
        <v>85</v>
      </c>
      <c r="BK23" s="190">
        <v>3</v>
      </c>
      <c r="BL23" s="190">
        <v>-3</v>
      </c>
      <c r="BM23" s="190">
        <v>0</v>
      </c>
      <c r="BN23" s="190">
        <v>1</v>
      </c>
      <c r="BO23" s="190">
        <v>4</v>
      </c>
      <c r="BP23" s="190">
        <v>5</v>
      </c>
      <c r="BQ23" s="190">
        <v>0</v>
      </c>
      <c r="BR23" s="190">
        <v>32</v>
      </c>
      <c r="BS23" s="190">
        <v>32</v>
      </c>
      <c r="BT23" s="190">
        <v>16</v>
      </c>
      <c r="BU23" s="190">
        <v>44</v>
      </c>
      <c r="BV23" s="190">
        <v>60</v>
      </c>
      <c r="BW23" s="190">
        <v>234</v>
      </c>
      <c r="BX23" s="190">
        <v>1383</v>
      </c>
      <c r="BY23" s="190">
        <v>1617</v>
      </c>
      <c r="BZ23" s="190">
        <v>234</v>
      </c>
      <c r="CA23" s="190">
        <v>1380</v>
      </c>
      <c r="CB23" s="190">
        <v>1614</v>
      </c>
      <c r="CC23" s="190">
        <v>3187</v>
      </c>
      <c r="CD23" s="190">
        <v>0</v>
      </c>
      <c r="CE23" s="190">
        <v>4</v>
      </c>
      <c r="CF23" s="190">
        <v>0</v>
      </c>
      <c r="CG23" s="190">
        <v>3</v>
      </c>
      <c r="CH23" s="190">
        <v>3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17</v>
      </c>
      <c r="CO23" s="190">
        <v>138</v>
      </c>
      <c r="CP23" s="190">
        <v>155</v>
      </c>
      <c r="CQ23" s="190">
        <v>0</v>
      </c>
      <c r="CR23" s="190">
        <v>0</v>
      </c>
      <c r="CS23" s="190">
        <v>0</v>
      </c>
      <c r="CT23" s="190">
        <v>217</v>
      </c>
      <c r="CU23" s="190">
        <v>1245</v>
      </c>
      <c r="CV23" s="190">
        <v>1462</v>
      </c>
      <c r="CW23" s="190">
        <v>25</v>
      </c>
      <c r="CX23" s="190">
        <v>75</v>
      </c>
      <c r="CY23" s="190">
        <v>100</v>
      </c>
      <c r="CZ23" s="190">
        <v>25</v>
      </c>
      <c r="DA23" s="190">
        <v>0</v>
      </c>
      <c r="DB23" s="190">
        <v>0</v>
      </c>
      <c r="DC23" s="190">
        <v>75</v>
      </c>
      <c r="DD23" s="190">
        <v>0</v>
      </c>
      <c r="DE23" s="190">
        <v>0</v>
      </c>
      <c r="DF23" s="190">
        <v>25</v>
      </c>
      <c r="DG23" s="190">
        <v>75</v>
      </c>
      <c r="DH23" s="190">
        <v>100</v>
      </c>
      <c r="DI23" s="190">
        <v>0</v>
      </c>
      <c r="DJ23" s="190">
        <v>0</v>
      </c>
      <c r="DK23" s="190">
        <v>0</v>
      </c>
      <c r="DL23" s="190">
        <v>0</v>
      </c>
      <c r="DM23" s="190">
        <v>0</v>
      </c>
      <c r="DN23" s="190">
        <v>0</v>
      </c>
      <c r="DO23" s="190">
        <v>0</v>
      </c>
      <c r="DP23" s="190">
        <v>0</v>
      </c>
      <c r="DQ23" s="190">
        <v>0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29301</v>
      </c>
      <c r="C24" s="190">
        <v>4924</v>
      </c>
      <c r="D24" s="190">
        <v>33730</v>
      </c>
      <c r="E24" s="190">
        <v>25902</v>
      </c>
      <c r="F24" s="190">
        <v>109</v>
      </c>
      <c r="G24" s="190">
        <v>441</v>
      </c>
      <c r="H24" s="190">
        <v>550</v>
      </c>
      <c r="I24" s="190">
        <v>3</v>
      </c>
      <c r="J24" s="190">
        <v>6748</v>
      </c>
      <c r="K24" s="190">
        <v>6751</v>
      </c>
      <c r="L24" s="190">
        <v>0</v>
      </c>
      <c r="M24" s="190">
        <v>2463</v>
      </c>
      <c r="N24" s="190">
        <v>2463</v>
      </c>
      <c r="O24" s="190">
        <v>3</v>
      </c>
      <c r="P24" s="190">
        <v>4285</v>
      </c>
      <c r="Q24" s="190">
        <v>4288</v>
      </c>
      <c r="R24" s="190">
        <v>0</v>
      </c>
      <c r="S24" s="190">
        <v>186</v>
      </c>
      <c r="T24" s="190">
        <v>186</v>
      </c>
      <c r="U24" s="190">
        <v>0</v>
      </c>
      <c r="V24" s="190">
        <v>1077</v>
      </c>
      <c r="W24" s="190">
        <v>1077</v>
      </c>
      <c r="X24" s="190">
        <v>2264</v>
      </c>
      <c r="Y24" s="190">
        <v>28731</v>
      </c>
      <c r="Z24" s="190">
        <v>30995</v>
      </c>
      <c r="AA24" s="190">
        <v>1540</v>
      </c>
      <c r="AB24" s="190">
        <v>13849</v>
      </c>
      <c r="AC24" s="190">
        <v>15389</v>
      </c>
      <c r="AD24" s="190">
        <v>1212</v>
      </c>
      <c r="AE24" s="190">
        <v>12367</v>
      </c>
      <c r="AF24" s="190">
        <v>13579</v>
      </c>
      <c r="AG24" s="190">
        <v>83</v>
      </c>
      <c r="AH24" s="190">
        <v>518</v>
      </c>
      <c r="AI24" s="190">
        <v>601</v>
      </c>
      <c r="AJ24" s="190">
        <v>245</v>
      </c>
      <c r="AK24" s="190">
        <v>964</v>
      </c>
      <c r="AL24" s="190">
        <v>1209</v>
      </c>
      <c r="AM24" s="190">
        <v>724</v>
      </c>
      <c r="AN24" s="190">
        <v>14882</v>
      </c>
      <c r="AO24" s="190">
        <v>15606</v>
      </c>
      <c r="AP24" s="190">
        <v>87324</v>
      </c>
      <c r="AQ24" s="190">
        <v>434693</v>
      </c>
      <c r="AR24" s="190">
        <v>522017</v>
      </c>
      <c r="AS24" s="190">
        <v>89046</v>
      </c>
      <c r="AT24" s="190">
        <v>448119</v>
      </c>
      <c r="AU24" s="190">
        <v>537165</v>
      </c>
      <c r="AV24" s="190">
        <v>-1722</v>
      </c>
      <c r="AW24" s="190">
        <v>-13426</v>
      </c>
      <c r="AX24" s="190">
        <v>-15148</v>
      </c>
      <c r="AY24" s="190">
        <v>3879</v>
      </c>
      <c r="AZ24" s="190">
        <v>39230</v>
      </c>
      <c r="BA24" s="190">
        <v>43109</v>
      </c>
      <c r="BB24" s="190">
        <v>2539</v>
      </c>
      <c r="BC24" s="190">
        <v>44</v>
      </c>
      <c r="BD24" s="190">
        <v>17</v>
      </c>
      <c r="BE24" s="190">
        <v>22858</v>
      </c>
      <c r="BF24" s="190">
        <v>232</v>
      </c>
      <c r="BG24" s="190">
        <v>212</v>
      </c>
      <c r="BH24" s="190">
        <v>2600</v>
      </c>
      <c r="BI24" s="190">
        <v>23302</v>
      </c>
      <c r="BJ24" s="190">
        <v>25902</v>
      </c>
      <c r="BK24" s="190">
        <v>-1994</v>
      </c>
      <c r="BL24" s="190">
        <v>1994</v>
      </c>
      <c r="BM24" s="190">
        <v>0</v>
      </c>
      <c r="BN24" s="190">
        <v>47</v>
      </c>
      <c r="BO24" s="190">
        <v>234</v>
      </c>
      <c r="BP24" s="190">
        <v>281</v>
      </c>
      <c r="BQ24" s="190">
        <v>291</v>
      </c>
      <c r="BR24" s="190">
        <v>1734</v>
      </c>
      <c r="BS24" s="190">
        <v>2025</v>
      </c>
      <c r="BT24" s="190">
        <v>2935</v>
      </c>
      <c r="BU24" s="190">
        <v>11966</v>
      </c>
      <c r="BV24" s="190">
        <v>14901</v>
      </c>
      <c r="BW24" s="190">
        <v>91203</v>
      </c>
      <c r="BX24" s="190">
        <v>473923</v>
      </c>
      <c r="BY24" s="190">
        <v>565126</v>
      </c>
      <c r="BZ24" s="190">
        <v>88676</v>
      </c>
      <c r="CA24" s="190">
        <v>465189</v>
      </c>
      <c r="CB24" s="190">
        <v>553865</v>
      </c>
      <c r="CC24" s="190">
        <v>1117760</v>
      </c>
      <c r="CD24" s="190">
        <v>654</v>
      </c>
      <c r="CE24" s="190">
        <v>9075</v>
      </c>
      <c r="CF24" s="190">
        <v>2276</v>
      </c>
      <c r="CG24" s="190">
        <v>5381</v>
      </c>
      <c r="CH24" s="190">
        <v>7657</v>
      </c>
      <c r="CI24" s="190">
        <v>4045</v>
      </c>
      <c r="CJ24" s="190">
        <v>554</v>
      </c>
      <c r="CK24" s="190">
        <v>251</v>
      </c>
      <c r="CL24" s="190">
        <v>3353</v>
      </c>
      <c r="CM24" s="190">
        <v>3604</v>
      </c>
      <c r="CN24" s="190">
        <v>3610</v>
      </c>
      <c r="CO24" s="190">
        <v>31600</v>
      </c>
      <c r="CP24" s="190">
        <v>35210</v>
      </c>
      <c r="CQ24" s="190">
        <v>92</v>
      </c>
      <c r="CR24" s="190">
        <v>266</v>
      </c>
      <c r="CS24" s="190">
        <v>358</v>
      </c>
      <c r="CT24" s="190">
        <v>87593</v>
      </c>
      <c r="CU24" s="190">
        <v>442323</v>
      </c>
      <c r="CV24" s="190">
        <v>529916</v>
      </c>
      <c r="CW24" s="190">
        <v>4812</v>
      </c>
      <c r="CX24" s="190">
        <v>14314</v>
      </c>
      <c r="CY24" s="190">
        <v>19126</v>
      </c>
      <c r="CZ24" s="190">
        <v>4660</v>
      </c>
      <c r="DA24" s="190">
        <v>134</v>
      </c>
      <c r="DB24" s="190">
        <v>3</v>
      </c>
      <c r="DC24" s="190">
        <v>13841</v>
      </c>
      <c r="DD24" s="190">
        <v>253</v>
      </c>
      <c r="DE24" s="190">
        <v>71</v>
      </c>
      <c r="DF24" s="190">
        <v>4797</v>
      </c>
      <c r="DG24" s="190">
        <v>14165</v>
      </c>
      <c r="DH24" s="190">
        <v>18962</v>
      </c>
      <c r="DI24" s="190">
        <v>15</v>
      </c>
      <c r="DJ24" s="190">
        <v>0</v>
      </c>
      <c r="DK24" s="190">
        <v>0</v>
      </c>
      <c r="DL24" s="190">
        <v>146</v>
      </c>
      <c r="DM24" s="190">
        <v>3</v>
      </c>
      <c r="DN24" s="190">
        <v>0</v>
      </c>
      <c r="DO24" s="190">
        <v>15</v>
      </c>
      <c r="DP24" s="190">
        <v>149</v>
      </c>
      <c r="DQ24" s="190">
        <v>164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855</v>
      </c>
      <c r="C25" s="190">
        <v>95</v>
      </c>
      <c r="D25" s="190">
        <v>815</v>
      </c>
      <c r="E25" s="190">
        <v>566</v>
      </c>
      <c r="F25" s="190">
        <v>0</v>
      </c>
      <c r="G25" s="190">
        <v>12</v>
      </c>
      <c r="H25" s="190">
        <v>12</v>
      </c>
      <c r="I25" s="190">
        <v>0</v>
      </c>
      <c r="J25" s="190">
        <v>232</v>
      </c>
      <c r="K25" s="190">
        <v>232</v>
      </c>
      <c r="L25" s="190">
        <v>0</v>
      </c>
      <c r="M25" s="190">
        <v>111</v>
      </c>
      <c r="N25" s="190">
        <v>111</v>
      </c>
      <c r="O25" s="190">
        <v>0</v>
      </c>
      <c r="P25" s="190">
        <v>121</v>
      </c>
      <c r="Q25" s="190">
        <v>121</v>
      </c>
      <c r="R25" s="190">
        <v>0</v>
      </c>
      <c r="S25" s="190">
        <v>2</v>
      </c>
      <c r="T25" s="190">
        <v>2</v>
      </c>
      <c r="U25" s="190">
        <v>0</v>
      </c>
      <c r="V25" s="190">
        <v>17</v>
      </c>
      <c r="W25" s="190">
        <v>17</v>
      </c>
      <c r="X25" s="190">
        <v>32</v>
      </c>
      <c r="Y25" s="190">
        <v>780</v>
      </c>
      <c r="Z25" s="190">
        <v>812</v>
      </c>
      <c r="AA25" s="190">
        <v>17</v>
      </c>
      <c r="AB25" s="190">
        <v>334</v>
      </c>
      <c r="AC25" s="190">
        <v>351</v>
      </c>
      <c r="AD25" s="190">
        <v>15</v>
      </c>
      <c r="AE25" s="190">
        <v>319</v>
      </c>
      <c r="AF25" s="190">
        <v>334</v>
      </c>
      <c r="AG25" s="190">
        <v>1</v>
      </c>
      <c r="AH25" s="190">
        <v>9</v>
      </c>
      <c r="AI25" s="190">
        <v>10</v>
      </c>
      <c r="AJ25" s="190">
        <v>1</v>
      </c>
      <c r="AK25" s="190">
        <v>6</v>
      </c>
      <c r="AL25" s="190">
        <v>7</v>
      </c>
      <c r="AM25" s="190">
        <v>15</v>
      </c>
      <c r="AN25" s="190">
        <v>446</v>
      </c>
      <c r="AO25" s="190">
        <v>461</v>
      </c>
      <c r="AP25" s="190">
        <v>1532</v>
      </c>
      <c r="AQ25" s="190">
        <v>9404</v>
      </c>
      <c r="AR25" s="190">
        <v>10936</v>
      </c>
      <c r="AS25" s="190">
        <v>1532</v>
      </c>
      <c r="AT25" s="190">
        <v>9404</v>
      </c>
      <c r="AU25" s="190">
        <v>10936</v>
      </c>
      <c r="AV25" s="190">
        <v>0</v>
      </c>
      <c r="AW25" s="190">
        <v>0</v>
      </c>
      <c r="AX25" s="190">
        <v>0</v>
      </c>
      <c r="AY25" s="190">
        <v>110</v>
      </c>
      <c r="AZ25" s="190">
        <v>820</v>
      </c>
      <c r="BA25" s="190">
        <v>930</v>
      </c>
      <c r="BB25" s="190">
        <v>39</v>
      </c>
      <c r="BC25" s="190">
        <v>1</v>
      </c>
      <c r="BD25" s="190">
        <v>0</v>
      </c>
      <c r="BE25" s="190">
        <v>519</v>
      </c>
      <c r="BF25" s="190">
        <v>6</v>
      </c>
      <c r="BG25" s="190">
        <v>1</v>
      </c>
      <c r="BH25" s="190">
        <v>40</v>
      </c>
      <c r="BI25" s="190">
        <v>526</v>
      </c>
      <c r="BJ25" s="190">
        <v>566</v>
      </c>
      <c r="BK25" s="190">
        <v>28</v>
      </c>
      <c r="BL25" s="190">
        <v>-28</v>
      </c>
      <c r="BM25" s="190">
        <v>0</v>
      </c>
      <c r="BN25" s="190">
        <v>5</v>
      </c>
      <c r="BO25" s="190">
        <v>17</v>
      </c>
      <c r="BP25" s="190">
        <v>22</v>
      </c>
      <c r="BQ25" s="190">
        <v>9</v>
      </c>
      <c r="BR25" s="190">
        <v>131</v>
      </c>
      <c r="BS25" s="190">
        <v>140</v>
      </c>
      <c r="BT25" s="190">
        <v>28</v>
      </c>
      <c r="BU25" s="190">
        <v>174</v>
      </c>
      <c r="BV25" s="190">
        <v>202</v>
      </c>
      <c r="BW25" s="190">
        <v>1642</v>
      </c>
      <c r="BX25" s="190">
        <v>10224</v>
      </c>
      <c r="BY25" s="190">
        <v>11866</v>
      </c>
      <c r="BZ25" s="190">
        <v>1631</v>
      </c>
      <c r="CA25" s="190">
        <v>10162</v>
      </c>
      <c r="CB25" s="190">
        <v>11793</v>
      </c>
      <c r="CC25" s="190">
        <v>28702</v>
      </c>
      <c r="CD25" s="190">
        <v>2</v>
      </c>
      <c r="CE25" s="190">
        <v>66</v>
      </c>
      <c r="CF25" s="190">
        <v>10</v>
      </c>
      <c r="CG25" s="190">
        <v>55</v>
      </c>
      <c r="CH25" s="190">
        <v>65</v>
      </c>
      <c r="CI25" s="190">
        <v>7</v>
      </c>
      <c r="CJ25" s="190">
        <v>6</v>
      </c>
      <c r="CK25" s="190">
        <v>1</v>
      </c>
      <c r="CL25" s="190">
        <v>7</v>
      </c>
      <c r="CM25" s="190">
        <v>8</v>
      </c>
      <c r="CN25" s="190">
        <v>75</v>
      </c>
      <c r="CO25" s="190">
        <v>778</v>
      </c>
      <c r="CP25" s="190">
        <v>853</v>
      </c>
      <c r="CQ25" s="190">
        <v>0</v>
      </c>
      <c r="CR25" s="190">
        <v>0</v>
      </c>
      <c r="CS25" s="190">
        <v>0</v>
      </c>
      <c r="CT25" s="190">
        <v>1567</v>
      </c>
      <c r="CU25" s="190">
        <v>9446</v>
      </c>
      <c r="CV25" s="190">
        <v>11013</v>
      </c>
      <c r="CW25" s="190">
        <v>95</v>
      </c>
      <c r="CX25" s="190">
        <v>597</v>
      </c>
      <c r="CY25" s="190">
        <v>692</v>
      </c>
      <c r="CZ25" s="190">
        <v>95</v>
      </c>
      <c r="DA25" s="190">
        <v>0</v>
      </c>
      <c r="DB25" s="190">
        <v>0</v>
      </c>
      <c r="DC25" s="190">
        <v>585</v>
      </c>
      <c r="DD25" s="190">
        <v>4</v>
      </c>
      <c r="DE25" s="190">
        <v>1</v>
      </c>
      <c r="DF25" s="190">
        <v>95</v>
      </c>
      <c r="DG25" s="190">
        <v>590</v>
      </c>
      <c r="DH25" s="190">
        <v>685</v>
      </c>
      <c r="DI25" s="190">
        <v>0</v>
      </c>
      <c r="DJ25" s="190">
        <v>0</v>
      </c>
      <c r="DK25" s="190">
        <v>0</v>
      </c>
      <c r="DL25" s="190">
        <v>6</v>
      </c>
      <c r="DM25" s="190">
        <v>1</v>
      </c>
      <c r="DN25" s="190">
        <v>0</v>
      </c>
      <c r="DO25" s="190">
        <v>0</v>
      </c>
      <c r="DP25" s="190">
        <v>7</v>
      </c>
      <c r="DQ25" s="190">
        <v>7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424</v>
      </c>
      <c r="C26" s="190">
        <v>115</v>
      </c>
      <c r="D26" s="190">
        <v>445</v>
      </c>
      <c r="E26" s="190">
        <v>287</v>
      </c>
      <c r="F26" s="190">
        <v>0</v>
      </c>
      <c r="G26" s="190">
        <v>5</v>
      </c>
      <c r="H26" s="190">
        <v>5</v>
      </c>
      <c r="I26" s="190">
        <v>0</v>
      </c>
      <c r="J26" s="190">
        <v>136</v>
      </c>
      <c r="K26" s="190">
        <v>136</v>
      </c>
      <c r="L26" s="190">
        <v>0</v>
      </c>
      <c r="M26" s="190">
        <v>46</v>
      </c>
      <c r="N26" s="190">
        <v>46</v>
      </c>
      <c r="O26" s="190">
        <v>0</v>
      </c>
      <c r="P26" s="190">
        <v>90</v>
      </c>
      <c r="Q26" s="190">
        <v>90</v>
      </c>
      <c r="R26" s="190">
        <v>0</v>
      </c>
      <c r="S26" s="190">
        <v>0</v>
      </c>
      <c r="T26" s="190">
        <v>0</v>
      </c>
      <c r="U26" s="190">
        <v>0</v>
      </c>
      <c r="V26" s="190">
        <v>22</v>
      </c>
      <c r="W26" s="190">
        <v>22</v>
      </c>
      <c r="X26" s="190">
        <v>9</v>
      </c>
      <c r="Y26" s="190">
        <v>436</v>
      </c>
      <c r="Z26" s="190">
        <v>445</v>
      </c>
      <c r="AA26" s="190">
        <v>6</v>
      </c>
      <c r="AB26" s="190">
        <v>179</v>
      </c>
      <c r="AC26" s="190">
        <v>185</v>
      </c>
      <c r="AD26" s="190">
        <v>5</v>
      </c>
      <c r="AE26" s="190">
        <v>162</v>
      </c>
      <c r="AF26" s="190">
        <v>167</v>
      </c>
      <c r="AG26" s="190">
        <v>1</v>
      </c>
      <c r="AH26" s="190">
        <v>12</v>
      </c>
      <c r="AI26" s="190">
        <v>13</v>
      </c>
      <c r="AJ26" s="190">
        <v>0</v>
      </c>
      <c r="AK26" s="190">
        <v>5</v>
      </c>
      <c r="AL26" s="190">
        <v>5</v>
      </c>
      <c r="AM26" s="190">
        <v>3</v>
      </c>
      <c r="AN26" s="190">
        <v>257</v>
      </c>
      <c r="AO26" s="190">
        <v>260</v>
      </c>
      <c r="AP26" s="190">
        <v>532</v>
      </c>
      <c r="AQ26" s="190">
        <v>5222</v>
      </c>
      <c r="AR26" s="190">
        <v>5754</v>
      </c>
      <c r="AS26" s="190">
        <v>532</v>
      </c>
      <c r="AT26" s="190">
        <v>5222</v>
      </c>
      <c r="AU26" s="190">
        <v>5754</v>
      </c>
      <c r="AV26" s="190">
        <v>0</v>
      </c>
      <c r="AW26" s="190">
        <v>0</v>
      </c>
      <c r="AX26" s="190">
        <v>0</v>
      </c>
      <c r="AY26" s="190">
        <v>37</v>
      </c>
      <c r="AZ26" s="190">
        <v>464</v>
      </c>
      <c r="BA26" s="190">
        <v>501</v>
      </c>
      <c r="BB26" s="190">
        <v>12</v>
      </c>
      <c r="BC26" s="190">
        <v>1</v>
      </c>
      <c r="BD26" s="190">
        <v>0</v>
      </c>
      <c r="BE26" s="190">
        <v>260</v>
      </c>
      <c r="BF26" s="190">
        <v>11</v>
      </c>
      <c r="BG26" s="190">
        <v>3</v>
      </c>
      <c r="BH26" s="190">
        <v>13</v>
      </c>
      <c r="BI26" s="190">
        <v>274</v>
      </c>
      <c r="BJ26" s="190">
        <v>287</v>
      </c>
      <c r="BK26" s="190">
        <v>12</v>
      </c>
      <c r="BL26" s="190">
        <v>-12</v>
      </c>
      <c r="BM26" s="190">
        <v>0</v>
      </c>
      <c r="BN26" s="190">
        <v>1</v>
      </c>
      <c r="BO26" s="190">
        <v>11</v>
      </c>
      <c r="BP26" s="190">
        <v>12</v>
      </c>
      <c r="BQ26" s="190">
        <v>0</v>
      </c>
      <c r="BR26" s="190">
        <v>47</v>
      </c>
      <c r="BS26" s="190">
        <v>47</v>
      </c>
      <c r="BT26" s="190">
        <v>11</v>
      </c>
      <c r="BU26" s="190">
        <v>144</v>
      </c>
      <c r="BV26" s="190">
        <v>155</v>
      </c>
      <c r="BW26" s="190">
        <v>569</v>
      </c>
      <c r="BX26" s="190">
        <v>5686</v>
      </c>
      <c r="BY26" s="190">
        <v>6255</v>
      </c>
      <c r="BZ26" s="190">
        <v>531</v>
      </c>
      <c r="CA26" s="190">
        <v>5401</v>
      </c>
      <c r="CB26" s="190">
        <v>5932</v>
      </c>
      <c r="CC26" s="190">
        <v>9913</v>
      </c>
      <c r="CD26" s="190">
        <v>7</v>
      </c>
      <c r="CE26" s="190">
        <v>300</v>
      </c>
      <c r="CF26" s="190">
        <v>35</v>
      </c>
      <c r="CG26" s="190">
        <v>221</v>
      </c>
      <c r="CH26" s="190">
        <v>256</v>
      </c>
      <c r="CI26" s="190">
        <v>62</v>
      </c>
      <c r="CJ26" s="190">
        <v>20</v>
      </c>
      <c r="CK26" s="190">
        <v>3</v>
      </c>
      <c r="CL26" s="190">
        <v>64</v>
      </c>
      <c r="CM26" s="190">
        <v>67</v>
      </c>
      <c r="CN26" s="190">
        <v>25</v>
      </c>
      <c r="CO26" s="190">
        <v>454</v>
      </c>
      <c r="CP26" s="190">
        <v>479</v>
      </c>
      <c r="CQ26" s="190">
        <v>0</v>
      </c>
      <c r="CR26" s="190">
        <v>0</v>
      </c>
      <c r="CS26" s="190">
        <v>0</v>
      </c>
      <c r="CT26" s="190">
        <v>544</v>
      </c>
      <c r="CU26" s="190">
        <v>5232</v>
      </c>
      <c r="CV26" s="190">
        <v>5776</v>
      </c>
      <c r="CW26" s="190">
        <v>39</v>
      </c>
      <c r="CX26" s="190">
        <v>218</v>
      </c>
      <c r="CY26" s="190">
        <v>257</v>
      </c>
      <c r="CZ26" s="190">
        <v>37</v>
      </c>
      <c r="DA26" s="190">
        <v>2</v>
      </c>
      <c r="DB26" s="190">
        <v>0</v>
      </c>
      <c r="DC26" s="190">
        <v>204</v>
      </c>
      <c r="DD26" s="190">
        <v>8</v>
      </c>
      <c r="DE26" s="190">
        <v>1</v>
      </c>
      <c r="DF26" s="190">
        <v>39</v>
      </c>
      <c r="DG26" s="190">
        <v>213</v>
      </c>
      <c r="DH26" s="190">
        <v>252</v>
      </c>
      <c r="DI26" s="190">
        <v>0</v>
      </c>
      <c r="DJ26" s="190">
        <v>0</v>
      </c>
      <c r="DK26" s="190">
        <v>0</v>
      </c>
      <c r="DL26" s="190">
        <v>5</v>
      </c>
      <c r="DM26" s="190">
        <v>0</v>
      </c>
      <c r="DN26" s="190">
        <v>0</v>
      </c>
      <c r="DO26" s="190">
        <v>0</v>
      </c>
      <c r="DP26" s="190">
        <v>5</v>
      </c>
      <c r="DQ26" s="190">
        <v>5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86</v>
      </c>
      <c r="C27" s="190">
        <v>18</v>
      </c>
      <c r="D27" s="190">
        <v>83</v>
      </c>
      <c r="E27" s="190">
        <v>44</v>
      </c>
      <c r="F27" s="190">
        <v>0</v>
      </c>
      <c r="G27" s="190">
        <v>1</v>
      </c>
      <c r="H27" s="190">
        <v>1</v>
      </c>
      <c r="I27" s="190">
        <v>0</v>
      </c>
      <c r="J27" s="190">
        <v>28</v>
      </c>
      <c r="K27" s="190">
        <v>28</v>
      </c>
      <c r="L27" s="190">
        <v>0</v>
      </c>
      <c r="M27" s="190">
        <v>4</v>
      </c>
      <c r="N27" s="190">
        <v>4</v>
      </c>
      <c r="O27" s="190">
        <v>0</v>
      </c>
      <c r="P27" s="190">
        <v>24</v>
      </c>
      <c r="Q27" s="190">
        <v>24</v>
      </c>
      <c r="R27" s="190">
        <v>0</v>
      </c>
      <c r="S27" s="190">
        <v>0</v>
      </c>
      <c r="T27" s="190">
        <v>0</v>
      </c>
      <c r="U27" s="190">
        <v>0</v>
      </c>
      <c r="V27" s="190">
        <v>11</v>
      </c>
      <c r="W27" s="190">
        <v>11</v>
      </c>
      <c r="X27" s="190">
        <v>1</v>
      </c>
      <c r="Y27" s="190">
        <v>82</v>
      </c>
      <c r="Z27" s="190">
        <v>83</v>
      </c>
      <c r="AA27" s="190">
        <v>1</v>
      </c>
      <c r="AB27" s="190">
        <v>39</v>
      </c>
      <c r="AC27" s="190">
        <v>40</v>
      </c>
      <c r="AD27" s="190">
        <v>1</v>
      </c>
      <c r="AE27" s="190">
        <v>22</v>
      </c>
      <c r="AF27" s="190">
        <v>23</v>
      </c>
      <c r="AG27" s="190">
        <v>0</v>
      </c>
      <c r="AH27" s="190">
        <v>16</v>
      </c>
      <c r="AI27" s="190">
        <v>16</v>
      </c>
      <c r="AJ27" s="190">
        <v>0</v>
      </c>
      <c r="AK27" s="190">
        <v>1</v>
      </c>
      <c r="AL27" s="190">
        <v>1</v>
      </c>
      <c r="AM27" s="190">
        <v>0</v>
      </c>
      <c r="AN27" s="190">
        <v>43</v>
      </c>
      <c r="AO27" s="190">
        <v>43</v>
      </c>
      <c r="AP27" s="190">
        <v>90</v>
      </c>
      <c r="AQ27" s="190">
        <v>882</v>
      </c>
      <c r="AR27" s="190">
        <v>972</v>
      </c>
      <c r="AS27" s="190">
        <v>90</v>
      </c>
      <c r="AT27" s="190">
        <v>882</v>
      </c>
      <c r="AU27" s="190">
        <v>972</v>
      </c>
      <c r="AV27" s="190">
        <v>0</v>
      </c>
      <c r="AW27" s="190">
        <v>0</v>
      </c>
      <c r="AX27" s="190">
        <v>0</v>
      </c>
      <c r="AY27" s="190">
        <v>-4</v>
      </c>
      <c r="AZ27" s="190">
        <v>70</v>
      </c>
      <c r="BA27" s="190">
        <v>66</v>
      </c>
      <c r="BB27" s="190">
        <v>1</v>
      </c>
      <c r="BC27" s="190">
        <v>0</v>
      </c>
      <c r="BD27" s="190">
        <v>0</v>
      </c>
      <c r="BE27" s="190">
        <v>43</v>
      </c>
      <c r="BF27" s="190">
        <v>0</v>
      </c>
      <c r="BG27" s="190">
        <v>0</v>
      </c>
      <c r="BH27" s="190">
        <v>1</v>
      </c>
      <c r="BI27" s="190">
        <v>43</v>
      </c>
      <c r="BJ27" s="190">
        <v>44</v>
      </c>
      <c r="BK27" s="190">
        <v>-5</v>
      </c>
      <c r="BL27" s="190">
        <v>5</v>
      </c>
      <c r="BM27" s="190">
        <v>0</v>
      </c>
      <c r="BN27" s="190">
        <v>0</v>
      </c>
      <c r="BO27" s="190">
        <v>5</v>
      </c>
      <c r="BP27" s="190">
        <v>5</v>
      </c>
      <c r="BQ27" s="190">
        <v>0</v>
      </c>
      <c r="BR27" s="190">
        <v>7</v>
      </c>
      <c r="BS27" s="190">
        <v>7</v>
      </c>
      <c r="BT27" s="190">
        <v>0</v>
      </c>
      <c r="BU27" s="190">
        <v>10</v>
      </c>
      <c r="BV27" s="190">
        <v>10</v>
      </c>
      <c r="BW27" s="190">
        <v>86</v>
      </c>
      <c r="BX27" s="190">
        <v>952</v>
      </c>
      <c r="BY27" s="190">
        <v>1038</v>
      </c>
      <c r="BZ27" s="190">
        <v>85</v>
      </c>
      <c r="CA27" s="190">
        <v>946</v>
      </c>
      <c r="CB27" s="190">
        <v>1031</v>
      </c>
      <c r="CC27" s="190">
        <v>1909</v>
      </c>
      <c r="CD27" s="190">
        <v>1</v>
      </c>
      <c r="CE27" s="190">
        <v>4</v>
      </c>
      <c r="CF27" s="190">
        <v>1</v>
      </c>
      <c r="CG27" s="190">
        <v>4</v>
      </c>
      <c r="CH27" s="190">
        <v>5</v>
      </c>
      <c r="CI27" s="190">
        <v>2</v>
      </c>
      <c r="CJ27" s="190">
        <v>0</v>
      </c>
      <c r="CK27" s="190">
        <v>0</v>
      </c>
      <c r="CL27" s="190">
        <v>2</v>
      </c>
      <c r="CM27" s="190">
        <v>2</v>
      </c>
      <c r="CN27" s="190">
        <v>7</v>
      </c>
      <c r="CO27" s="190">
        <v>74</v>
      </c>
      <c r="CP27" s="190">
        <v>81</v>
      </c>
      <c r="CQ27" s="190">
        <v>0</v>
      </c>
      <c r="CR27" s="190">
        <v>1</v>
      </c>
      <c r="CS27" s="190">
        <v>1</v>
      </c>
      <c r="CT27" s="190">
        <v>79</v>
      </c>
      <c r="CU27" s="190">
        <v>878</v>
      </c>
      <c r="CV27" s="190">
        <v>957</v>
      </c>
      <c r="CW27" s="190">
        <v>4</v>
      </c>
      <c r="CX27" s="190">
        <v>44</v>
      </c>
      <c r="CY27" s="190">
        <v>48</v>
      </c>
      <c r="CZ27" s="190">
        <v>4</v>
      </c>
      <c r="DA27" s="190">
        <v>0</v>
      </c>
      <c r="DB27" s="190">
        <v>0</v>
      </c>
      <c r="DC27" s="190">
        <v>44</v>
      </c>
      <c r="DD27" s="190">
        <v>0</v>
      </c>
      <c r="DE27" s="190">
        <v>0</v>
      </c>
      <c r="DF27" s="190">
        <v>4</v>
      </c>
      <c r="DG27" s="190">
        <v>44</v>
      </c>
      <c r="DH27" s="190">
        <v>48</v>
      </c>
      <c r="DI27" s="190">
        <v>0</v>
      </c>
      <c r="DJ27" s="190">
        <v>0</v>
      </c>
      <c r="DK27" s="190">
        <v>0</v>
      </c>
      <c r="DL27" s="190">
        <v>0</v>
      </c>
      <c r="DM27" s="190">
        <v>0</v>
      </c>
      <c r="DN27" s="190">
        <v>0</v>
      </c>
      <c r="DO27" s="190">
        <v>0</v>
      </c>
      <c r="DP27" s="190">
        <v>0</v>
      </c>
      <c r="DQ27" s="190">
        <v>0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456</v>
      </c>
      <c r="C28" s="190">
        <v>55</v>
      </c>
      <c r="D28" s="190">
        <v>439</v>
      </c>
      <c r="E28" s="190">
        <v>349</v>
      </c>
      <c r="F28" s="190">
        <v>1</v>
      </c>
      <c r="G28" s="190">
        <v>23</v>
      </c>
      <c r="H28" s="190">
        <v>24</v>
      </c>
      <c r="I28" s="190">
        <v>0</v>
      </c>
      <c r="J28" s="190">
        <v>83</v>
      </c>
      <c r="K28" s="190">
        <v>83</v>
      </c>
      <c r="L28" s="190">
        <v>0</v>
      </c>
      <c r="M28" s="190">
        <v>35</v>
      </c>
      <c r="N28" s="190">
        <v>35</v>
      </c>
      <c r="O28" s="190">
        <v>0</v>
      </c>
      <c r="P28" s="190">
        <v>48</v>
      </c>
      <c r="Q28" s="190">
        <v>48</v>
      </c>
      <c r="R28" s="190">
        <v>0</v>
      </c>
      <c r="S28" s="190">
        <v>2</v>
      </c>
      <c r="T28" s="190">
        <v>2</v>
      </c>
      <c r="U28" s="190">
        <v>0</v>
      </c>
      <c r="V28" s="190">
        <v>7</v>
      </c>
      <c r="W28" s="190">
        <v>7</v>
      </c>
      <c r="X28" s="190">
        <v>12</v>
      </c>
      <c r="Y28" s="190">
        <v>427</v>
      </c>
      <c r="Z28" s="190">
        <v>439</v>
      </c>
      <c r="AA28" s="190">
        <v>7</v>
      </c>
      <c r="AB28" s="190">
        <v>232</v>
      </c>
      <c r="AC28" s="190">
        <v>239</v>
      </c>
      <c r="AD28" s="190">
        <v>7</v>
      </c>
      <c r="AE28" s="190">
        <v>226</v>
      </c>
      <c r="AF28" s="190">
        <v>233</v>
      </c>
      <c r="AG28" s="190">
        <v>0</v>
      </c>
      <c r="AH28" s="190">
        <v>5</v>
      </c>
      <c r="AI28" s="190">
        <v>5</v>
      </c>
      <c r="AJ28" s="190">
        <v>0</v>
      </c>
      <c r="AK28" s="190">
        <v>1</v>
      </c>
      <c r="AL28" s="190">
        <v>1</v>
      </c>
      <c r="AM28" s="190">
        <v>5</v>
      </c>
      <c r="AN28" s="190">
        <v>195</v>
      </c>
      <c r="AO28" s="190">
        <v>200</v>
      </c>
      <c r="AP28" s="190">
        <v>553</v>
      </c>
      <c r="AQ28" s="190">
        <v>5482</v>
      </c>
      <c r="AR28" s="190">
        <v>6035</v>
      </c>
      <c r="AS28" s="190">
        <v>553</v>
      </c>
      <c r="AT28" s="190">
        <v>5482</v>
      </c>
      <c r="AU28" s="190">
        <v>6035</v>
      </c>
      <c r="AV28" s="190">
        <v>0</v>
      </c>
      <c r="AW28" s="190">
        <v>0</v>
      </c>
      <c r="AX28" s="190">
        <v>0</v>
      </c>
      <c r="AY28" s="190">
        <v>18</v>
      </c>
      <c r="AZ28" s="190">
        <v>569</v>
      </c>
      <c r="BA28" s="190">
        <v>587</v>
      </c>
      <c r="BB28" s="190">
        <v>19</v>
      </c>
      <c r="BC28" s="190">
        <v>0</v>
      </c>
      <c r="BD28" s="190">
        <v>0</v>
      </c>
      <c r="BE28" s="190">
        <v>328</v>
      </c>
      <c r="BF28" s="190">
        <v>1</v>
      </c>
      <c r="BG28" s="190">
        <v>1</v>
      </c>
      <c r="BH28" s="190">
        <v>19</v>
      </c>
      <c r="BI28" s="190">
        <v>330</v>
      </c>
      <c r="BJ28" s="190">
        <v>349</v>
      </c>
      <c r="BK28" s="190">
        <v>-20</v>
      </c>
      <c r="BL28" s="190">
        <v>20</v>
      </c>
      <c r="BM28" s="190">
        <v>0</v>
      </c>
      <c r="BN28" s="190">
        <v>0</v>
      </c>
      <c r="BO28" s="190">
        <v>11</v>
      </c>
      <c r="BP28" s="190">
        <v>11</v>
      </c>
      <c r="BQ28" s="190">
        <v>6</v>
      </c>
      <c r="BR28" s="190">
        <v>73</v>
      </c>
      <c r="BS28" s="190">
        <v>79</v>
      </c>
      <c r="BT28" s="190">
        <v>13</v>
      </c>
      <c r="BU28" s="190">
        <v>135</v>
      </c>
      <c r="BV28" s="190">
        <v>148</v>
      </c>
      <c r="BW28" s="190">
        <v>571</v>
      </c>
      <c r="BX28" s="190">
        <v>6051</v>
      </c>
      <c r="BY28" s="190">
        <v>6622</v>
      </c>
      <c r="BZ28" s="190">
        <v>563</v>
      </c>
      <c r="CA28" s="190">
        <v>6012</v>
      </c>
      <c r="CB28" s="190">
        <v>6575</v>
      </c>
      <c r="CC28" s="190">
        <v>12265</v>
      </c>
      <c r="CD28" s="190">
        <v>2</v>
      </c>
      <c r="CE28" s="190">
        <v>35</v>
      </c>
      <c r="CF28" s="190">
        <v>7</v>
      </c>
      <c r="CG28" s="190">
        <v>29</v>
      </c>
      <c r="CH28" s="190">
        <v>36</v>
      </c>
      <c r="CI28" s="190">
        <v>11</v>
      </c>
      <c r="CJ28" s="190">
        <v>2</v>
      </c>
      <c r="CK28" s="190">
        <v>1</v>
      </c>
      <c r="CL28" s="190">
        <v>10</v>
      </c>
      <c r="CM28" s="190">
        <v>11</v>
      </c>
      <c r="CN28" s="190">
        <v>54</v>
      </c>
      <c r="CO28" s="190">
        <v>647</v>
      </c>
      <c r="CP28" s="190">
        <v>701</v>
      </c>
      <c r="CQ28" s="190">
        <v>0</v>
      </c>
      <c r="CR28" s="190">
        <v>0</v>
      </c>
      <c r="CS28" s="190">
        <v>0</v>
      </c>
      <c r="CT28" s="190">
        <v>517</v>
      </c>
      <c r="CU28" s="190">
        <v>5404</v>
      </c>
      <c r="CV28" s="190">
        <v>5921</v>
      </c>
      <c r="CW28" s="190">
        <v>40</v>
      </c>
      <c r="CX28" s="190">
        <v>154</v>
      </c>
      <c r="CY28" s="190">
        <v>194</v>
      </c>
      <c r="CZ28" s="190">
        <v>40</v>
      </c>
      <c r="DA28" s="190">
        <v>0</v>
      </c>
      <c r="DB28" s="190">
        <v>0</v>
      </c>
      <c r="DC28" s="190">
        <v>150</v>
      </c>
      <c r="DD28" s="190">
        <v>2</v>
      </c>
      <c r="DE28" s="190">
        <v>0</v>
      </c>
      <c r="DF28" s="190">
        <v>40</v>
      </c>
      <c r="DG28" s="190">
        <v>152</v>
      </c>
      <c r="DH28" s="190">
        <v>192</v>
      </c>
      <c r="DI28" s="190">
        <v>0</v>
      </c>
      <c r="DJ28" s="190">
        <v>0</v>
      </c>
      <c r="DK28" s="190">
        <v>0</v>
      </c>
      <c r="DL28" s="190">
        <v>2</v>
      </c>
      <c r="DM28" s="190">
        <v>0</v>
      </c>
      <c r="DN28" s="190">
        <v>0</v>
      </c>
      <c r="DO28" s="190">
        <v>0</v>
      </c>
      <c r="DP28" s="190">
        <v>2</v>
      </c>
      <c r="DQ28" s="190">
        <v>2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1714</v>
      </c>
      <c r="C29" s="190">
        <v>237</v>
      </c>
      <c r="D29" s="190">
        <v>1554</v>
      </c>
      <c r="E29" s="190">
        <v>1003</v>
      </c>
      <c r="F29" s="190">
        <v>4</v>
      </c>
      <c r="G29" s="190">
        <v>63</v>
      </c>
      <c r="H29" s="190">
        <v>67</v>
      </c>
      <c r="I29" s="190">
        <v>1</v>
      </c>
      <c r="J29" s="190">
        <v>435</v>
      </c>
      <c r="K29" s="190">
        <v>436</v>
      </c>
      <c r="L29" s="190">
        <v>1</v>
      </c>
      <c r="M29" s="190">
        <v>196</v>
      </c>
      <c r="N29" s="190">
        <v>197</v>
      </c>
      <c r="O29" s="190">
        <v>0</v>
      </c>
      <c r="P29" s="190">
        <v>239</v>
      </c>
      <c r="Q29" s="190">
        <v>239</v>
      </c>
      <c r="R29" s="190">
        <v>0</v>
      </c>
      <c r="S29" s="190">
        <v>25</v>
      </c>
      <c r="T29" s="190">
        <v>25</v>
      </c>
      <c r="U29" s="190">
        <v>0</v>
      </c>
      <c r="V29" s="190">
        <v>115</v>
      </c>
      <c r="W29" s="190">
        <v>115</v>
      </c>
      <c r="X29" s="190">
        <v>70</v>
      </c>
      <c r="Y29" s="190">
        <v>1484</v>
      </c>
      <c r="Z29" s="190">
        <v>1554</v>
      </c>
      <c r="AA29" s="190">
        <v>45</v>
      </c>
      <c r="AB29" s="190">
        <v>644</v>
      </c>
      <c r="AC29" s="190">
        <v>689</v>
      </c>
      <c r="AD29" s="190">
        <v>43</v>
      </c>
      <c r="AE29" s="190">
        <v>620</v>
      </c>
      <c r="AF29" s="190">
        <v>663</v>
      </c>
      <c r="AG29" s="190">
        <v>0</v>
      </c>
      <c r="AH29" s="190">
        <v>15</v>
      </c>
      <c r="AI29" s="190">
        <v>15</v>
      </c>
      <c r="AJ29" s="190">
        <v>2</v>
      </c>
      <c r="AK29" s="190">
        <v>9</v>
      </c>
      <c r="AL29" s="190">
        <v>11</v>
      </c>
      <c r="AM29" s="190">
        <v>25</v>
      </c>
      <c r="AN29" s="190">
        <v>840</v>
      </c>
      <c r="AO29" s="190">
        <v>865</v>
      </c>
      <c r="AP29" s="190">
        <v>3494</v>
      </c>
      <c r="AQ29" s="190">
        <v>18672</v>
      </c>
      <c r="AR29" s="190">
        <v>22166</v>
      </c>
      <c r="AS29" s="190">
        <v>3494</v>
      </c>
      <c r="AT29" s="190">
        <v>18673</v>
      </c>
      <c r="AU29" s="190">
        <v>22167</v>
      </c>
      <c r="AV29" s="190">
        <v>0</v>
      </c>
      <c r="AW29" s="190">
        <v>-1</v>
      </c>
      <c r="AX29" s="190">
        <v>-1</v>
      </c>
      <c r="AY29" s="190">
        <v>139</v>
      </c>
      <c r="AZ29" s="190">
        <v>1772</v>
      </c>
      <c r="BA29" s="190">
        <v>1911</v>
      </c>
      <c r="BB29" s="190">
        <v>73</v>
      </c>
      <c r="BC29" s="190">
        <v>1</v>
      </c>
      <c r="BD29" s="190">
        <v>0</v>
      </c>
      <c r="BE29" s="190">
        <v>923</v>
      </c>
      <c r="BF29" s="190">
        <v>5</v>
      </c>
      <c r="BG29" s="190">
        <v>1</v>
      </c>
      <c r="BH29" s="190">
        <v>74</v>
      </c>
      <c r="BI29" s="190">
        <v>929</v>
      </c>
      <c r="BJ29" s="190">
        <v>1003</v>
      </c>
      <c r="BK29" s="190">
        <v>-56</v>
      </c>
      <c r="BL29" s="190">
        <v>56</v>
      </c>
      <c r="BM29" s="190">
        <v>0</v>
      </c>
      <c r="BN29" s="190">
        <v>21</v>
      </c>
      <c r="BO29" s="190">
        <v>64</v>
      </c>
      <c r="BP29" s="190">
        <v>85</v>
      </c>
      <c r="BQ29" s="190">
        <v>20</v>
      </c>
      <c r="BR29" s="190">
        <v>218</v>
      </c>
      <c r="BS29" s="190">
        <v>238</v>
      </c>
      <c r="BT29" s="190">
        <v>80</v>
      </c>
      <c r="BU29" s="190">
        <v>505</v>
      </c>
      <c r="BV29" s="190">
        <v>585</v>
      </c>
      <c r="BW29" s="190">
        <v>3633</v>
      </c>
      <c r="BX29" s="190">
        <v>20444</v>
      </c>
      <c r="BY29" s="190">
        <v>24077</v>
      </c>
      <c r="BZ29" s="190">
        <v>3610</v>
      </c>
      <c r="CA29" s="190">
        <v>20353</v>
      </c>
      <c r="CB29" s="190">
        <v>23963</v>
      </c>
      <c r="CC29" s="190">
        <v>55391</v>
      </c>
      <c r="CD29" s="190">
        <v>6</v>
      </c>
      <c r="CE29" s="190">
        <v>105</v>
      </c>
      <c r="CF29" s="190">
        <v>22</v>
      </c>
      <c r="CG29" s="190">
        <v>80</v>
      </c>
      <c r="CH29" s="190">
        <v>102</v>
      </c>
      <c r="CI29" s="190">
        <v>11</v>
      </c>
      <c r="CJ29" s="190">
        <v>2</v>
      </c>
      <c r="CK29" s="190">
        <v>1</v>
      </c>
      <c r="CL29" s="190">
        <v>11</v>
      </c>
      <c r="CM29" s="190">
        <v>12</v>
      </c>
      <c r="CN29" s="190">
        <v>158</v>
      </c>
      <c r="CO29" s="190">
        <v>1818</v>
      </c>
      <c r="CP29" s="190">
        <v>1976</v>
      </c>
      <c r="CQ29" s="190">
        <v>1</v>
      </c>
      <c r="CR29" s="190">
        <v>9</v>
      </c>
      <c r="CS29" s="190">
        <v>10</v>
      </c>
      <c r="CT29" s="190">
        <v>3475</v>
      </c>
      <c r="CU29" s="190">
        <v>18626</v>
      </c>
      <c r="CV29" s="190">
        <v>22101</v>
      </c>
      <c r="CW29" s="190">
        <v>231</v>
      </c>
      <c r="CX29" s="190">
        <v>1038</v>
      </c>
      <c r="CY29" s="190">
        <v>1269</v>
      </c>
      <c r="CZ29" s="190">
        <v>226</v>
      </c>
      <c r="DA29" s="190">
        <v>5</v>
      </c>
      <c r="DB29" s="190">
        <v>0</v>
      </c>
      <c r="DC29" s="190">
        <v>1017</v>
      </c>
      <c r="DD29" s="190">
        <v>4</v>
      </c>
      <c r="DE29" s="190">
        <v>1</v>
      </c>
      <c r="DF29" s="190">
        <v>231</v>
      </c>
      <c r="DG29" s="190">
        <v>1022</v>
      </c>
      <c r="DH29" s="190">
        <v>1253</v>
      </c>
      <c r="DI29" s="190">
        <v>0</v>
      </c>
      <c r="DJ29" s="190">
        <v>0</v>
      </c>
      <c r="DK29" s="190">
        <v>0</v>
      </c>
      <c r="DL29" s="190">
        <v>15</v>
      </c>
      <c r="DM29" s="190">
        <v>1</v>
      </c>
      <c r="DN29" s="190">
        <v>0</v>
      </c>
      <c r="DO29" s="190">
        <v>0</v>
      </c>
      <c r="DP29" s="190">
        <v>16</v>
      </c>
      <c r="DQ29" s="190">
        <v>16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39</v>
      </c>
      <c r="C30" s="190">
        <v>4</v>
      </c>
      <c r="D30" s="190">
        <v>38</v>
      </c>
      <c r="E30" s="190">
        <v>27</v>
      </c>
      <c r="F30" s="190">
        <v>1</v>
      </c>
      <c r="G30" s="190">
        <v>0</v>
      </c>
      <c r="H30" s="190">
        <v>1</v>
      </c>
      <c r="I30" s="190">
        <v>0</v>
      </c>
      <c r="J30" s="190">
        <v>11</v>
      </c>
      <c r="K30" s="190">
        <v>11</v>
      </c>
      <c r="L30" s="190">
        <v>0</v>
      </c>
      <c r="M30" s="190">
        <v>4</v>
      </c>
      <c r="N30" s="190">
        <v>4</v>
      </c>
      <c r="O30" s="190">
        <v>0</v>
      </c>
      <c r="P30" s="190">
        <v>7</v>
      </c>
      <c r="Q30" s="190">
        <v>7</v>
      </c>
      <c r="R30" s="190">
        <v>0</v>
      </c>
      <c r="S30" s="190">
        <v>0</v>
      </c>
      <c r="T30" s="190">
        <v>0</v>
      </c>
      <c r="U30" s="190">
        <v>0</v>
      </c>
      <c r="V30" s="190">
        <v>0</v>
      </c>
      <c r="W30" s="190">
        <v>0</v>
      </c>
      <c r="X30" s="190">
        <v>1</v>
      </c>
      <c r="Y30" s="190">
        <v>37</v>
      </c>
      <c r="Z30" s="190">
        <v>38</v>
      </c>
      <c r="AA30" s="190">
        <v>1</v>
      </c>
      <c r="AB30" s="190">
        <v>22</v>
      </c>
      <c r="AC30" s="190">
        <v>23</v>
      </c>
      <c r="AD30" s="190">
        <v>1</v>
      </c>
      <c r="AE30" s="190">
        <v>22</v>
      </c>
      <c r="AF30" s="190">
        <v>23</v>
      </c>
      <c r="AG30" s="190">
        <v>0</v>
      </c>
      <c r="AH30" s="190">
        <v>0</v>
      </c>
      <c r="AI30" s="190">
        <v>0</v>
      </c>
      <c r="AJ30" s="190">
        <v>0</v>
      </c>
      <c r="AK30" s="190">
        <v>0</v>
      </c>
      <c r="AL30" s="190">
        <v>0</v>
      </c>
      <c r="AM30" s="190">
        <v>0</v>
      </c>
      <c r="AN30" s="190">
        <v>15</v>
      </c>
      <c r="AO30" s="190">
        <v>15</v>
      </c>
      <c r="AP30" s="190">
        <v>64</v>
      </c>
      <c r="AQ30" s="190">
        <v>436</v>
      </c>
      <c r="AR30" s="190">
        <v>500</v>
      </c>
      <c r="AS30" s="190">
        <v>64</v>
      </c>
      <c r="AT30" s="190">
        <v>436</v>
      </c>
      <c r="AU30" s="190">
        <v>500</v>
      </c>
      <c r="AV30" s="190">
        <v>0</v>
      </c>
      <c r="AW30" s="190">
        <v>0</v>
      </c>
      <c r="AX30" s="190">
        <v>0</v>
      </c>
      <c r="AY30" s="190">
        <v>7</v>
      </c>
      <c r="AZ30" s="190">
        <v>38</v>
      </c>
      <c r="BA30" s="190">
        <v>45</v>
      </c>
      <c r="BB30" s="190">
        <v>2</v>
      </c>
      <c r="BC30" s="190">
        <v>0</v>
      </c>
      <c r="BD30" s="190">
        <v>0</v>
      </c>
      <c r="BE30" s="190">
        <v>24</v>
      </c>
      <c r="BF30" s="190">
        <v>0</v>
      </c>
      <c r="BG30" s="190">
        <v>1</v>
      </c>
      <c r="BH30" s="190">
        <v>2</v>
      </c>
      <c r="BI30" s="190">
        <v>25</v>
      </c>
      <c r="BJ30" s="190">
        <v>27</v>
      </c>
      <c r="BK30" s="190">
        <v>0</v>
      </c>
      <c r="BL30" s="190">
        <v>0</v>
      </c>
      <c r="BM30" s="190">
        <v>0</v>
      </c>
      <c r="BN30" s="190">
        <v>0</v>
      </c>
      <c r="BO30" s="190">
        <v>3</v>
      </c>
      <c r="BP30" s="190">
        <v>3</v>
      </c>
      <c r="BQ30" s="190">
        <v>0</v>
      </c>
      <c r="BR30" s="190">
        <v>1</v>
      </c>
      <c r="BS30" s="190">
        <v>1</v>
      </c>
      <c r="BT30" s="190">
        <v>5</v>
      </c>
      <c r="BU30" s="190">
        <v>9</v>
      </c>
      <c r="BV30" s="190">
        <v>14</v>
      </c>
      <c r="BW30" s="190">
        <v>71</v>
      </c>
      <c r="BX30" s="190">
        <v>474</v>
      </c>
      <c r="BY30" s="190">
        <v>545</v>
      </c>
      <c r="BZ30" s="190">
        <v>70</v>
      </c>
      <c r="CA30" s="190">
        <v>472</v>
      </c>
      <c r="CB30" s="190">
        <v>542</v>
      </c>
      <c r="CC30" s="190">
        <v>1131</v>
      </c>
      <c r="CD30" s="190">
        <v>0</v>
      </c>
      <c r="CE30" s="190">
        <v>2</v>
      </c>
      <c r="CF30" s="190">
        <v>1</v>
      </c>
      <c r="CG30" s="190">
        <v>1</v>
      </c>
      <c r="CH30" s="190">
        <v>2</v>
      </c>
      <c r="CI30" s="190">
        <v>2</v>
      </c>
      <c r="CJ30" s="190">
        <v>0</v>
      </c>
      <c r="CK30" s="190">
        <v>0</v>
      </c>
      <c r="CL30" s="190">
        <v>1</v>
      </c>
      <c r="CM30" s="190">
        <v>1</v>
      </c>
      <c r="CN30" s="190">
        <v>5</v>
      </c>
      <c r="CO30" s="190">
        <v>49</v>
      </c>
      <c r="CP30" s="190">
        <v>54</v>
      </c>
      <c r="CQ30" s="190">
        <v>0</v>
      </c>
      <c r="CR30" s="190">
        <v>0</v>
      </c>
      <c r="CS30" s="190">
        <v>0</v>
      </c>
      <c r="CT30" s="190">
        <v>66</v>
      </c>
      <c r="CU30" s="190">
        <v>425</v>
      </c>
      <c r="CV30" s="190">
        <v>491</v>
      </c>
      <c r="CW30" s="190">
        <v>4</v>
      </c>
      <c r="CX30" s="190">
        <v>8</v>
      </c>
      <c r="CY30" s="190">
        <v>12</v>
      </c>
      <c r="CZ30" s="190">
        <v>4</v>
      </c>
      <c r="DA30" s="190">
        <v>0</v>
      </c>
      <c r="DB30" s="190">
        <v>0</v>
      </c>
      <c r="DC30" s="190">
        <v>8</v>
      </c>
      <c r="DD30" s="190">
        <v>0</v>
      </c>
      <c r="DE30" s="190">
        <v>0</v>
      </c>
      <c r="DF30" s="190">
        <v>4</v>
      </c>
      <c r="DG30" s="190">
        <v>8</v>
      </c>
      <c r="DH30" s="190">
        <v>12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56</v>
      </c>
      <c r="C31" s="190">
        <v>15</v>
      </c>
      <c r="D31" s="190">
        <v>47</v>
      </c>
      <c r="E31" s="190">
        <v>30</v>
      </c>
      <c r="F31" s="190">
        <v>0</v>
      </c>
      <c r="G31" s="190">
        <v>0</v>
      </c>
      <c r="H31" s="190">
        <v>0</v>
      </c>
      <c r="I31" s="190">
        <v>0</v>
      </c>
      <c r="J31" s="190">
        <v>13</v>
      </c>
      <c r="K31" s="190">
        <v>13</v>
      </c>
      <c r="L31" s="190">
        <v>0</v>
      </c>
      <c r="M31" s="190">
        <v>4</v>
      </c>
      <c r="N31" s="190">
        <v>4</v>
      </c>
      <c r="O31" s="190">
        <v>0</v>
      </c>
      <c r="P31" s="190">
        <v>9</v>
      </c>
      <c r="Q31" s="190">
        <v>9</v>
      </c>
      <c r="R31" s="190">
        <v>0</v>
      </c>
      <c r="S31" s="190">
        <v>0</v>
      </c>
      <c r="T31" s="190">
        <v>0</v>
      </c>
      <c r="U31" s="190">
        <v>0</v>
      </c>
      <c r="V31" s="190">
        <v>4</v>
      </c>
      <c r="W31" s="190">
        <v>4</v>
      </c>
      <c r="X31" s="190">
        <v>0</v>
      </c>
      <c r="Y31" s="190">
        <v>47</v>
      </c>
      <c r="Z31" s="190">
        <v>47</v>
      </c>
      <c r="AA31" s="190">
        <v>0</v>
      </c>
      <c r="AB31" s="190">
        <v>23</v>
      </c>
      <c r="AC31" s="190">
        <v>23</v>
      </c>
      <c r="AD31" s="190">
        <v>0</v>
      </c>
      <c r="AE31" s="190">
        <v>21</v>
      </c>
      <c r="AF31" s="190">
        <v>21</v>
      </c>
      <c r="AG31" s="190">
        <v>0</v>
      </c>
      <c r="AH31" s="190">
        <v>1</v>
      </c>
      <c r="AI31" s="190">
        <v>1</v>
      </c>
      <c r="AJ31" s="190">
        <v>0</v>
      </c>
      <c r="AK31" s="190">
        <v>1</v>
      </c>
      <c r="AL31" s="190">
        <v>1</v>
      </c>
      <c r="AM31" s="190">
        <v>0</v>
      </c>
      <c r="AN31" s="190">
        <v>24</v>
      </c>
      <c r="AO31" s="190">
        <v>24</v>
      </c>
      <c r="AP31" s="190">
        <v>14</v>
      </c>
      <c r="AQ31" s="190">
        <v>399</v>
      </c>
      <c r="AR31" s="190">
        <v>413</v>
      </c>
      <c r="AS31" s="190">
        <v>14</v>
      </c>
      <c r="AT31" s="190">
        <v>399</v>
      </c>
      <c r="AU31" s="190">
        <v>413</v>
      </c>
      <c r="AV31" s="190">
        <v>0</v>
      </c>
      <c r="AW31" s="190">
        <v>0</v>
      </c>
      <c r="AX31" s="190">
        <v>0</v>
      </c>
      <c r="AY31" s="190">
        <v>0</v>
      </c>
      <c r="AZ31" s="190">
        <v>50</v>
      </c>
      <c r="BA31" s="190">
        <v>50</v>
      </c>
      <c r="BB31" s="190">
        <v>1</v>
      </c>
      <c r="BC31" s="190">
        <v>0</v>
      </c>
      <c r="BD31" s="190">
        <v>0</v>
      </c>
      <c r="BE31" s="190">
        <v>29</v>
      </c>
      <c r="BF31" s="190">
        <v>0</v>
      </c>
      <c r="BG31" s="190">
        <v>0</v>
      </c>
      <c r="BH31" s="190">
        <v>1</v>
      </c>
      <c r="BI31" s="190">
        <v>29</v>
      </c>
      <c r="BJ31" s="190">
        <v>30</v>
      </c>
      <c r="BK31" s="190">
        <v>-1</v>
      </c>
      <c r="BL31" s="190">
        <v>1</v>
      </c>
      <c r="BM31" s="190">
        <v>0</v>
      </c>
      <c r="BN31" s="190">
        <v>0</v>
      </c>
      <c r="BO31" s="190">
        <v>1</v>
      </c>
      <c r="BP31" s="190">
        <v>1</v>
      </c>
      <c r="BQ31" s="190">
        <v>0</v>
      </c>
      <c r="BR31" s="190">
        <v>7</v>
      </c>
      <c r="BS31" s="190">
        <v>7</v>
      </c>
      <c r="BT31" s="190">
        <v>0</v>
      </c>
      <c r="BU31" s="190">
        <v>12</v>
      </c>
      <c r="BV31" s="190">
        <v>12</v>
      </c>
      <c r="BW31" s="190">
        <v>14</v>
      </c>
      <c r="BX31" s="190">
        <v>449</v>
      </c>
      <c r="BY31" s="190">
        <v>463</v>
      </c>
      <c r="BZ31" s="190">
        <v>14</v>
      </c>
      <c r="CA31" s="190">
        <v>445</v>
      </c>
      <c r="CB31" s="190">
        <v>459</v>
      </c>
      <c r="CC31" s="190">
        <v>789</v>
      </c>
      <c r="CD31" s="190">
        <v>0</v>
      </c>
      <c r="CE31" s="190">
        <v>4</v>
      </c>
      <c r="CF31" s="190">
        <v>0</v>
      </c>
      <c r="CG31" s="190">
        <v>4</v>
      </c>
      <c r="CH31" s="190">
        <v>4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1</v>
      </c>
      <c r="CO31" s="190">
        <v>44</v>
      </c>
      <c r="CP31" s="190">
        <v>45</v>
      </c>
      <c r="CQ31" s="190">
        <v>0</v>
      </c>
      <c r="CR31" s="190">
        <v>0</v>
      </c>
      <c r="CS31" s="190">
        <v>0</v>
      </c>
      <c r="CT31" s="190">
        <v>13</v>
      </c>
      <c r="CU31" s="190">
        <v>405</v>
      </c>
      <c r="CV31" s="190">
        <v>418</v>
      </c>
      <c r="CW31" s="190">
        <v>1</v>
      </c>
      <c r="CX31" s="190">
        <v>12</v>
      </c>
      <c r="CY31" s="190">
        <v>13</v>
      </c>
      <c r="CZ31" s="190">
        <v>1</v>
      </c>
      <c r="DA31" s="190">
        <v>0</v>
      </c>
      <c r="DB31" s="190">
        <v>0</v>
      </c>
      <c r="DC31" s="190">
        <v>12</v>
      </c>
      <c r="DD31" s="190">
        <v>0</v>
      </c>
      <c r="DE31" s="190">
        <v>0</v>
      </c>
      <c r="DF31" s="190">
        <v>1</v>
      </c>
      <c r="DG31" s="190">
        <v>12</v>
      </c>
      <c r="DH31" s="190">
        <v>13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3293</v>
      </c>
      <c r="C32" s="190">
        <v>407</v>
      </c>
      <c r="D32" s="190">
        <v>2586</v>
      </c>
      <c r="E32" s="190">
        <v>1754</v>
      </c>
      <c r="F32" s="190">
        <v>1</v>
      </c>
      <c r="G32" s="190">
        <v>2</v>
      </c>
      <c r="H32" s="190">
        <v>3</v>
      </c>
      <c r="I32" s="190">
        <v>0</v>
      </c>
      <c r="J32" s="190">
        <v>766</v>
      </c>
      <c r="K32" s="190">
        <v>766</v>
      </c>
      <c r="L32" s="190">
        <v>0</v>
      </c>
      <c r="M32" s="190">
        <v>460</v>
      </c>
      <c r="N32" s="190">
        <v>460</v>
      </c>
      <c r="O32" s="190">
        <v>0</v>
      </c>
      <c r="P32" s="190">
        <v>306</v>
      </c>
      <c r="Q32" s="190">
        <v>306</v>
      </c>
      <c r="R32" s="190">
        <v>0</v>
      </c>
      <c r="S32" s="190">
        <v>2</v>
      </c>
      <c r="T32" s="190">
        <v>2</v>
      </c>
      <c r="U32" s="190">
        <v>0</v>
      </c>
      <c r="V32" s="190">
        <v>66</v>
      </c>
      <c r="W32" s="190">
        <v>66</v>
      </c>
      <c r="X32" s="190">
        <v>49</v>
      </c>
      <c r="Y32" s="190">
        <v>2537</v>
      </c>
      <c r="Z32" s="190">
        <v>2586</v>
      </c>
      <c r="AA32" s="190">
        <v>27</v>
      </c>
      <c r="AB32" s="190">
        <v>766</v>
      </c>
      <c r="AC32" s="190">
        <v>793</v>
      </c>
      <c r="AD32" s="190">
        <v>22</v>
      </c>
      <c r="AE32" s="190">
        <v>716</v>
      </c>
      <c r="AF32" s="190">
        <v>738</v>
      </c>
      <c r="AG32" s="190">
        <v>3</v>
      </c>
      <c r="AH32" s="190">
        <v>27</v>
      </c>
      <c r="AI32" s="190">
        <v>30</v>
      </c>
      <c r="AJ32" s="190">
        <v>2</v>
      </c>
      <c r="AK32" s="190">
        <v>23</v>
      </c>
      <c r="AL32" s="190">
        <v>25</v>
      </c>
      <c r="AM32" s="190">
        <v>22</v>
      </c>
      <c r="AN32" s="190">
        <v>1771</v>
      </c>
      <c r="AO32" s="190">
        <v>1793</v>
      </c>
      <c r="AP32" s="190">
        <v>1924</v>
      </c>
      <c r="AQ32" s="190">
        <v>16081</v>
      </c>
      <c r="AR32" s="190">
        <v>18005</v>
      </c>
      <c r="AS32" s="190">
        <v>1924</v>
      </c>
      <c r="AT32" s="190">
        <v>16083</v>
      </c>
      <c r="AU32" s="190">
        <v>18007</v>
      </c>
      <c r="AV32" s="190">
        <v>0</v>
      </c>
      <c r="AW32" s="190">
        <v>-2</v>
      </c>
      <c r="AX32" s="190">
        <v>-2</v>
      </c>
      <c r="AY32" s="190">
        <v>221</v>
      </c>
      <c r="AZ32" s="190">
        <v>2653</v>
      </c>
      <c r="BA32" s="190">
        <v>2874</v>
      </c>
      <c r="BB32" s="190">
        <v>73</v>
      </c>
      <c r="BC32" s="190">
        <v>1</v>
      </c>
      <c r="BD32" s="190">
        <v>0</v>
      </c>
      <c r="BE32" s="190">
        <v>1644</v>
      </c>
      <c r="BF32" s="190">
        <v>35</v>
      </c>
      <c r="BG32" s="190">
        <v>1</v>
      </c>
      <c r="BH32" s="190">
        <v>74</v>
      </c>
      <c r="BI32" s="190">
        <v>1680</v>
      </c>
      <c r="BJ32" s="190">
        <v>1754</v>
      </c>
      <c r="BK32" s="190">
        <v>49</v>
      </c>
      <c r="BL32" s="190">
        <v>-49</v>
      </c>
      <c r="BM32" s="190">
        <v>0</v>
      </c>
      <c r="BN32" s="190">
        <v>5</v>
      </c>
      <c r="BO32" s="190">
        <v>28</v>
      </c>
      <c r="BP32" s="190">
        <v>33</v>
      </c>
      <c r="BQ32" s="190">
        <v>14</v>
      </c>
      <c r="BR32" s="190">
        <v>115</v>
      </c>
      <c r="BS32" s="190">
        <v>129</v>
      </c>
      <c r="BT32" s="190">
        <v>79</v>
      </c>
      <c r="BU32" s="190">
        <v>879</v>
      </c>
      <c r="BV32" s="190">
        <v>958</v>
      </c>
      <c r="BW32" s="190">
        <v>2145</v>
      </c>
      <c r="BX32" s="190">
        <v>18734</v>
      </c>
      <c r="BY32" s="190">
        <v>20879</v>
      </c>
      <c r="BZ32" s="190">
        <v>2122</v>
      </c>
      <c r="CA32" s="190">
        <v>18507</v>
      </c>
      <c r="CB32" s="190">
        <v>20629</v>
      </c>
      <c r="CC32" s="190">
        <v>45386</v>
      </c>
      <c r="CD32" s="190">
        <v>11</v>
      </c>
      <c r="CE32" s="190">
        <v>249</v>
      </c>
      <c r="CF32" s="190">
        <v>23</v>
      </c>
      <c r="CG32" s="190">
        <v>201</v>
      </c>
      <c r="CH32" s="190">
        <v>224</v>
      </c>
      <c r="CI32" s="190">
        <v>31</v>
      </c>
      <c r="CJ32" s="190">
        <v>4</v>
      </c>
      <c r="CK32" s="190">
        <v>0</v>
      </c>
      <c r="CL32" s="190">
        <v>26</v>
      </c>
      <c r="CM32" s="190">
        <v>26</v>
      </c>
      <c r="CN32" s="190">
        <v>118</v>
      </c>
      <c r="CO32" s="190">
        <v>2185</v>
      </c>
      <c r="CP32" s="190">
        <v>2303</v>
      </c>
      <c r="CQ32" s="190">
        <v>0</v>
      </c>
      <c r="CR32" s="190">
        <v>0</v>
      </c>
      <c r="CS32" s="190">
        <v>0</v>
      </c>
      <c r="CT32" s="190">
        <v>2027</v>
      </c>
      <c r="CU32" s="190">
        <v>16549</v>
      </c>
      <c r="CV32" s="190">
        <v>18576</v>
      </c>
      <c r="CW32" s="190">
        <v>190</v>
      </c>
      <c r="CX32" s="190">
        <v>1141</v>
      </c>
      <c r="CY32" s="190">
        <v>1331</v>
      </c>
      <c r="CZ32" s="190">
        <v>189</v>
      </c>
      <c r="DA32" s="190">
        <v>1</v>
      </c>
      <c r="DB32" s="190">
        <v>0</v>
      </c>
      <c r="DC32" s="190">
        <v>1093</v>
      </c>
      <c r="DD32" s="190">
        <v>9</v>
      </c>
      <c r="DE32" s="190">
        <v>1</v>
      </c>
      <c r="DF32" s="190">
        <v>190</v>
      </c>
      <c r="DG32" s="190">
        <v>1103</v>
      </c>
      <c r="DH32" s="190">
        <v>1293</v>
      </c>
      <c r="DI32" s="190">
        <v>0</v>
      </c>
      <c r="DJ32" s="190">
        <v>0</v>
      </c>
      <c r="DK32" s="190">
        <v>0</v>
      </c>
      <c r="DL32" s="190">
        <v>38</v>
      </c>
      <c r="DM32" s="190">
        <v>0</v>
      </c>
      <c r="DN32" s="190">
        <v>0</v>
      </c>
      <c r="DO32" s="190">
        <v>0</v>
      </c>
      <c r="DP32" s="190">
        <v>38</v>
      </c>
      <c r="DQ32" s="190">
        <v>38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265</v>
      </c>
      <c r="C33" s="190">
        <v>68</v>
      </c>
      <c r="D33" s="190">
        <v>253</v>
      </c>
      <c r="E33" s="190">
        <v>144</v>
      </c>
      <c r="F33" s="190">
        <v>0</v>
      </c>
      <c r="G33" s="190">
        <v>4</v>
      </c>
      <c r="H33" s="190">
        <v>4</v>
      </c>
      <c r="I33" s="190">
        <v>0</v>
      </c>
      <c r="J33" s="190">
        <v>84</v>
      </c>
      <c r="K33" s="190">
        <v>84</v>
      </c>
      <c r="L33" s="190">
        <v>0</v>
      </c>
      <c r="M33" s="190">
        <v>32</v>
      </c>
      <c r="N33" s="190">
        <v>32</v>
      </c>
      <c r="O33" s="190">
        <v>0</v>
      </c>
      <c r="P33" s="190">
        <v>52</v>
      </c>
      <c r="Q33" s="190">
        <v>52</v>
      </c>
      <c r="R33" s="190">
        <v>0</v>
      </c>
      <c r="S33" s="190">
        <v>1</v>
      </c>
      <c r="T33" s="190">
        <v>1</v>
      </c>
      <c r="U33" s="190">
        <v>0</v>
      </c>
      <c r="V33" s="190">
        <v>25</v>
      </c>
      <c r="W33" s="190">
        <v>25</v>
      </c>
      <c r="X33" s="190">
        <v>4</v>
      </c>
      <c r="Y33" s="190">
        <v>249</v>
      </c>
      <c r="Z33" s="190">
        <v>253</v>
      </c>
      <c r="AA33" s="190">
        <v>4</v>
      </c>
      <c r="AB33" s="190">
        <v>80</v>
      </c>
      <c r="AC33" s="190">
        <v>84</v>
      </c>
      <c r="AD33" s="190">
        <v>4</v>
      </c>
      <c r="AE33" s="190">
        <v>75</v>
      </c>
      <c r="AF33" s="190">
        <v>79</v>
      </c>
      <c r="AG33" s="190">
        <v>0</v>
      </c>
      <c r="AH33" s="190">
        <v>2</v>
      </c>
      <c r="AI33" s="190">
        <v>2</v>
      </c>
      <c r="AJ33" s="190">
        <v>0</v>
      </c>
      <c r="AK33" s="190">
        <v>3</v>
      </c>
      <c r="AL33" s="190">
        <v>3</v>
      </c>
      <c r="AM33" s="190">
        <v>0</v>
      </c>
      <c r="AN33" s="190">
        <v>169</v>
      </c>
      <c r="AO33" s="190">
        <v>169</v>
      </c>
      <c r="AP33" s="190">
        <v>295</v>
      </c>
      <c r="AQ33" s="190">
        <v>2862</v>
      </c>
      <c r="AR33" s="190">
        <v>3157</v>
      </c>
      <c r="AS33" s="190">
        <v>295</v>
      </c>
      <c r="AT33" s="190">
        <v>2862</v>
      </c>
      <c r="AU33" s="190">
        <v>3157</v>
      </c>
      <c r="AV33" s="190">
        <v>0</v>
      </c>
      <c r="AW33" s="190">
        <v>0</v>
      </c>
      <c r="AX33" s="190">
        <v>0</v>
      </c>
      <c r="AY33" s="190">
        <v>11</v>
      </c>
      <c r="AZ33" s="190">
        <v>295</v>
      </c>
      <c r="BA33" s="190">
        <v>306</v>
      </c>
      <c r="BB33" s="190">
        <v>5</v>
      </c>
      <c r="BC33" s="190">
        <v>1</v>
      </c>
      <c r="BD33" s="190">
        <v>0</v>
      </c>
      <c r="BE33" s="190">
        <v>137</v>
      </c>
      <c r="BF33" s="190">
        <v>1</v>
      </c>
      <c r="BG33" s="190">
        <v>0</v>
      </c>
      <c r="BH33" s="190">
        <v>6</v>
      </c>
      <c r="BI33" s="190">
        <v>138</v>
      </c>
      <c r="BJ33" s="190">
        <v>144</v>
      </c>
      <c r="BK33" s="190">
        <v>-5</v>
      </c>
      <c r="BL33" s="190">
        <v>5</v>
      </c>
      <c r="BM33" s="190">
        <v>0</v>
      </c>
      <c r="BN33" s="190">
        <v>1</v>
      </c>
      <c r="BO33" s="190">
        <v>12</v>
      </c>
      <c r="BP33" s="190">
        <v>13</v>
      </c>
      <c r="BQ33" s="190">
        <v>3</v>
      </c>
      <c r="BR33" s="190">
        <v>13</v>
      </c>
      <c r="BS33" s="190">
        <v>16</v>
      </c>
      <c r="BT33" s="190">
        <v>6</v>
      </c>
      <c r="BU33" s="190">
        <v>127</v>
      </c>
      <c r="BV33" s="190">
        <v>133</v>
      </c>
      <c r="BW33" s="190">
        <v>306</v>
      </c>
      <c r="BX33" s="190">
        <v>3157</v>
      </c>
      <c r="BY33" s="190">
        <v>3463</v>
      </c>
      <c r="BZ33" s="190">
        <v>299</v>
      </c>
      <c r="CA33" s="190">
        <v>3105</v>
      </c>
      <c r="CB33" s="190">
        <v>3404</v>
      </c>
      <c r="CC33" s="190">
        <v>6973</v>
      </c>
      <c r="CD33" s="190">
        <v>2</v>
      </c>
      <c r="CE33" s="190">
        <v>57</v>
      </c>
      <c r="CF33" s="190">
        <v>7</v>
      </c>
      <c r="CG33" s="190">
        <v>47</v>
      </c>
      <c r="CH33" s="190">
        <v>54</v>
      </c>
      <c r="CI33" s="190">
        <v>5</v>
      </c>
      <c r="CJ33" s="190">
        <v>0</v>
      </c>
      <c r="CK33" s="190">
        <v>0</v>
      </c>
      <c r="CL33" s="190">
        <v>5</v>
      </c>
      <c r="CM33" s="190">
        <v>5</v>
      </c>
      <c r="CN33" s="190">
        <v>17</v>
      </c>
      <c r="CO33" s="190">
        <v>326</v>
      </c>
      <c r="CP33" s="190">
        <v>343</v>
      </c>
      <c r="CQ33" s="190">
        <v>0</v>
      </c>
      <c r="CR33" s="190">
        <v>0</v>
      </c>
      <c r="CS33" s="190">
        <v>0</v>
      </c>
      <c r="CT33" s="190">
        <v>289</v>
      </c>
      <c r="CU33" s="190">
        <v>2831</v>
      </c>
      <c r="CV33" s="190">
        <v>3120</v>
      </c>
      <c r="CW33" s="190">
        <v>16</v>
      </c>
      <c r="CX33" s="190">
        <v>168</v>
      </c>
      <c r="CY33" s="190">
        <v>184</v>
      </c>
      <c r="CZ33" s="190">
        <v>16</v>
      </c>
      <c r="DA33" s="190">
        <v>0</v>
      </c>
      <c r="DB33" s="190">
        <v>0</v>
      </c>
      <c r="DC33" s="190">
        <v>159</v>
      </c>
      <c r="DD33" s="190">
        <v>7</v>
      </c>
      <c r="DE33" s="190">
        <v>1</v>
      </c>
      <c r="DF33" s="190">
        <v>16</v>
      </c>
      <c r="DG33" s="190">
        <v>167</v>
      </c>
      <c r="DH33" s="190">
        <v>183</v>
      </c>
      <c r="DI33" s="190">
        <v>0</v>
      </c>
      <c r="DJ33" s="190">
        <v>0</v>
      </c>
      <c r="DK33" s="190">
        <v>0</v>
      </c>
      <c r="DL33" s="190">
        <v>1</v>
      </c>
      <c r="DM33" s="190">
        <v>0</v>
      </c>
      <c r="DN33" s="190">
        <v>0</v>
      </c>
      <c r="DO33" s="190">
        <v>0</v>
      </c>
      <c r="DP33" s="190">
        <v>1</v>
      </c>
      <c r="DQ33" s="190">
        <v>1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363</v>
      </c>
      <c r="C34" s="190">
        <v>102</v>
      </c>
      <c r="D34" s="190">
        <v>347</v>
      </c>
      <c r="E34" s="190">
        <v>230</v>
      </c>
      <c r="F34" s="190">
        <v>2</v>
      </c>
      <c r="G34" s="190">
        <v>22</v>
      </c>
      <c r="H34" s="190">
        <v>24</v>
      </c>
      <c r="I34" s="190">
        <v>0</v>
      </c>
      <c r="J34" s="190">
        <v>108</v>
      </c>
      <c r="K34" s="190">
        <v>108</v>
      </c>
      <c r="L34" s="190">
        <v>0</v>
      </c>
      <c r="M34" s="190">
        <v>39</v>
      </c>
      <c r="N34" s="190">
        <v>39</v>
      </c>
      <c r="O34" s="190">
        <v>0</v>
      </c>
      <c r="P34" s="190">
        <v>69</v>
      </c>
      <c r="Q34" s="190">
        <v>69</v>
      </c>
      <c r="R34" s="190">
        <v>0</v>
      </c>
      <c r="S34" s="190">
        <v>7</v>
      </c>
      <c r="T34" s="190">
        <v>7</v>
      </c>
      <c r="U34" s="190">
        <v>0</v>
      </c>
      <c r="V34" s="190">
        <v>9</v>
      </c>
      <c r="W34" s="190">
        <v>9</v>
      </c>
      <c r="X34" s="190">
        <v>5</v>
      </c>
      <c r="Y34" s="190">
        <v>342</v>
      </c>
      <c r="Z34" s="190">
        <v>347</v>
      </c>
      <c r="AA34" s="190">
        <v>1</v>
      </c>
      <c r="AB34" s="190">
        <v>158</v>
      </c>
      <c r="AC34" s="190">
        <v>159</v>
      </c>
      <c r="AD34" s="190">
        <v>1</v>
      </c>
      <c r="AE34" s="190">
        <v>128</v>
      </c>
      <c r="AF34" s="190">
        <v>129</v>
      </c>
      <c r="AG34" s="190">
        <v>0</v>
      </c>
      <c r="AH34" s="190">
        <v>9</v>
      </c>
      <c r="AI34" s="190">
        <v>9</v>
      </c>
      <c r="AJ34" s="190">
        <v>0</v>
      </c>
      <c r="AK34" s="190">
        <v>21</v>
      </c>
      <c r="AL34" s="190">
        <v>21</v>
      </c>
      <c r="AM34" s="190">
        <v>4</v>
      </c>
      <c r="AN34" s="190">
        <v>184</v>
      </c>
      <c r="AO34" s="190">
        <v>188</v>
      </c>
      <c r="AP34" s="190">
        <v>207</v>
      </c>
      <c r="AQ34" s="190">
        <v>3812</v>
      </c>
      <c r="AR34" s="190">
        <v>4019</v>
      </c>
      <c r="AS34" s="190">
        <v>207</v>
      </c>
      <c r="AT34" s="190">
        <v>3812</v>
      </c>
      <c r="AU34" s="190">
        <v>4019</v>
      </c>
      <c r="AV34" s="190">
        <v>0</v>
      </c>
      <c r="AW34" s="190">
        <v>0</v>
      </c>
      <c r="AX34" s="190">
        <v>0</v>
      </c>
      <c r="AY34" s="190">
        <v>30</v>
      </c>
      <c r="AZ34" s="190">
        <v>375</v>
      </c>
      <c r="BA34" s="190">
        <v>405</v>
      </c>
      <c r="BB34" s="190">
        <v>5</v>
      </c>
      <c r="BC34" s="190">
        <v>0</v>
      </c>
      <c r="BD34" s="190">
        <v>0</v>
      </c>
      <c r="BE34" s="190">
        <v>225</v>
      </c>
      <c r="BF34" s="190">
        <v>0</v>
      </c>
      <c r="BG34" s="190">
        <v>0</v>
      </c>
      <c r="BH34" s="190">
        <v>5</v>
      </c>
      <c r="BI34" s="190">
        <v>225</v>
      </c>
      <c r="BJ34" s="190">
        <v>230</v>
      </c>
      <c r="BK34" s="190">
        <v>11</v>
      </c>
      <c r="BL34" s="190">
        <v>-11</v>
      </c>
      <c r="BM34" s="190">
        <v>0</v>
      </c>
      <c r="BN34" s="190">
        <v>3</v>
      </c>
      <c r="BO34" s="190">
        <v>13</v>
      </c>
      <c r="BP34" s="190">
        <v>16</v>
      </c>
      <c r="BQ34" s="190">
        <v>1</v>
      </c>
      <c r="BR34" s="190">
        <v>38</v>
      </c>
      <c r="BS34" s="190">
        <v>39</v>
      </c>
      <c r="BT34" s="190">
        <v>10</v>
      </c>
      <c r="BU34" s="190">
        <v>110</v>
      </c>
      <c r="BV34" s="190">
        <v>120</v>
      </c>
      <c r="BW34" s="190">
        <v>237</v>
      </c>
      <c r="BX34" s="190">
        <v>4187</v>
      </c>
      <c r="BY34" s="190">
        <v>4424</v>
      </c>
      <c r="BZ34" s="190">
        <v>237</v>
      </c>
      <c r="CA34" s="190">
        <v>4179</v>
      </c>
      <c r="CB34" s="190">
        <v>4416</v>
      </c>
      <c r="CC34" s="190">
        <v>7619</v>
      </c>
      <c r="CD34" s="190">
        <v>0</v>
      </c>
      <c r="CE34" s="190">
        <v>7</v>
      </c>
      <c r="CF34" s="190">
        <v>0</v>
      </c>
      <c r="CG34" s="190">
        <v>6</v>
      </c>
      <c r="CH34" s="190">
        <v>6</v>
      </c>
      <c r="CI34" s="190">
        <v>2</v>
      </c>
      <c r="CJ34" s="190">
        <v>0</v>
      </c>
      <c r="CK34" s="190">
        <v>0</v>
      </c>
      <c r="CL34" s="190">
        <v>2</v>
      </c>
      <c r="CM34" s="190">
        <v>2</v>
      </c>
      <c r="CN34" s="190">
        <v>25</v>
      </c>
      <c r="CO34" s="190">
        <v>396</v>
      </c>
      <c r="CP34" s="190">
        <v>421</v>
      </c>
      <c r="CQ34" s="190">
        <v>0</v>
      </c>
      <c r="CR34" s="190">
        <v>4</v>
      </c>
      <c r="CS34" s="190">
        <v>4</v>
      </c>
      <c r="CT34" s="190">
        <v>212</v>
      </c>
      <c r="CU34" s="190">
        <v>3791</v>
      </c>
      <c r="CV34" s="190">
        <v>4003</v>
      </c>
      <c r="CW34" s="190">
        <v>14</v>
      </c>
      <c r="CX34" s="190">
        <v>149</v>
      </c>
      <c r="CY34" s="190">
        <v>163</v>
      </c>
      <c r="CZ34" s="190">
        <v>13</v>
      </c>
      <c r="DA34" s="190">
        <v>0</v>
      </c>
      <c r="DB34" s="190">
        <v>0</v>
      </c>
      <c r="DC34" s="190">
        <v>147</v>
      </c>
      <c r="DD34" s="190">
        <v>0</v>
      </c>
      <c r="DE34" s="190">
        <v>0</v>
      </c>
      <c r="DF34" s="190">
        <v>13</v>
      </c>
      <c r="DG34" s="190">
        <v>147</v>
      </c>
      <c r="DH34" s="190">
        <v>160</v>
      </c>
      <c r="DI34" s="190">
        <v>1</v>
      </c>
      <c r="DJ34" s="190">
        <v>0</v>
      </c>
      <c r="DK34" s="190">
        <v>0</v>
      </c>
      <c r="DL34" s="190">
        <v>2</v>
      </c>
      <c r="DM34" s="190">
        <v>0</v>
      </c>
      <c r="DN34" s="190">
        <v>0</v>
      </c>
      <c r="DO34" s="190">
        <v>1</v>
      </c>
      <c r="DP34" s="190">
        <v>2</v>
      </c>
      <c r="DQ34" s="190">
        <v>3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6899</v>
      </c>
      <c r="C35" s="190">
        <v>1714</v>
      </c>
      <c r="D35" s="190">
        <v>6539</v>
      </c>
      <c r="E35" s="190">
        <v>4553</v>
      </c>
      <c r="F35" s="190">
        <v>10</v>
      </c>
      <c r="G35" s="190">
        <v>39</v>
      </c>
      <c r="H35" s="190">
        <v>49</v>
      </c>
      <c r="I35" s="190">
        <v>4</v>
      </c>
      <c r="J35" s="190">
        <v>1732</v>
      </c>
      <c r="K35" s="190">
        <v>1736</v>
      </c>
      <c r="L35" s="190">
        <v>4</v>
      </c>
      <c r="M35" s="190">
        <v>887</v>
      </c>
      <c r="N35" s="190">
        <v>891</v>
      </c>
      <c r="O35" s="190">
        <v>0</v>
      </c>
      <c r="P35" s="190">
        <v>845</v>
      </c>
      <c r="Q35" s="190">
        <v>845</v>
      </c>
      <c r="R35" s="190">
        <v>4</v>
      </c>
      <c r="S35" s="190">
        <v>151</v>
      </c>
      <c r="T35" s="190">
        <v>155</v>
      </c>
      <c r="U35" s="190">
        <v>0</v>
      </c>
      <c r="V35" s="190">
        <v>250</v>
      </c>
      <c r="W35" s="190">
        <v>250</v>
      </c>
      <c r="X35" s="190">
        <v>102</v>
      </c>
      <c r="Y35" s="190">
        <v>4860</v>
      </c>
      <c r="Z35" s="190">
        <v>4962</v>
      </c>
      <c r="AA35" s="190">
        <v>63</v>
      </c>
      <c r="AB35" s="190">
        <v>1802</v>
      </c>
      <c r="AC35" s="190">
        <v>1865</v>
      </c>
      <c r="AD35" s="190">
        <v>62</v>
      </c>
      <c r="AE35" s="190">
        <v>1791</v>
      </c>
      <c r="AF35" s="190">
        <v>1853</v>
      </c>
      <c r="AG35" s="190">
        <v>1</v>
      </c>
      <c r="AH35" s="190">
        <v>10</v>
      </c>
      <c r="AI35" s="190">
        <v>11</v>
      </c>
      <c r="AJ35" s="190">
        <v>0</v>
      </c>
      <c r="AK35" s="190">
        <v>1</v>
      </c>
      <c r="AL35" s="190">
        <v>1</v>
      </c>
      <c r="AM35" s="190">
        <v>39</v>
      </c>
      <c r="AN35" s="190">
        <v>3058</v>
      </c>
      <c r="AO35" s="190">
        <v>3097</v>
      </c>
      <c r="AP35" s="190">
        <v>10080</v>
      </c>
      <c r="AQ35" s="190">
        <v>103543</v>
      </c>
      <c r="AR35" s="190">
        <v>113623</v>
      </c>
      <c r="AS35" s="190">
        <v>10077</v>
      </c>
      <c r="AT35" s="190">
        <v>103556</v>
      </c>
      <c r="AU35" s="190">
        <v>113633</v>
      </c>
      <c r="AV35" s="190">
        <v>3</v>
      </c>
      <c r="AW35" s="190">
        <v>-13</v>
      </c>
      <c r="AX35" s="190">
        <v>-10</v>
      </c>
      <c r="AY35" s="190">
        <v>451</v>
      </c>
      <c r="AZ35" s="190">
        <v>8189</v>
      </c>
      <c r="BA35" s="190">
        <v>8640</v>
      </c>
      <c r="BB35" s="190">
        <v>263</v>
      </c>
      <c r="BC35" s="190">
        <v>6</v>
      </c>
      <c r="BD35" s="190">
        <v>0</v>
      </c>
      <c r="BE35" s="190">
        <v>4130</v>
      </c>
      <c r="BF35" s="190">
        <v>85</v>
      </c>
      <c r="BG35" s="190">
        <v>69</v>
      </c>
      <c r="BH35" s="190">
        <v>269</v>
      </c>
      <c r="BI35" s="190">
        <v>4284</v>
      </c>
      <c r="BJ35" s="190">
        <v>4553</v>
      </c>
      <c r="BK35" s="190">
        <v>-174</v>
      </c>
      <c r="BL35" s="190">
        <v>174</v>
      </c>
      <c r="BM35" s="190">
        <v>0</v>
      </c>
      <c r="BN35" s="190">
        <v>7</v>
      </c>
      <c r="BO35" s="190">
        <v>77</v>
      </c>
      <c r="BP35" s="190">
        <v>84</v>
      </c>
      <c r="BQ35" s="190">
        <v>47</v>
      </c>
      <c r="BR35" s="190">
        <v>744</v>
      </c>
      <c r="BS35" s="190">
        <v>791</v>
      </c>
      <c r="BT35" s="190">
        <v>302</v>
      </c>
      <c r="BU35" s="190">
        <v>2910</v>
      </c>
      <c r="BV35" s="190">
        <v>3212</v>
      </c>
      <c r="BW35" s="190">
        <v>10531</v>
      </c>
      <c r="BX35" s="190">
        <v>111732</v>
      </c>
      <c r="BY35" s="190">
        <v>122263</v>
      </c>
      <c r="BZ35" s="190">
        <v>10337</v>
      </c>
      <c r="CA35" s="190">
        <v>108521</v>
      </c>
      <c r="CB35" s="190">
        <v>118858</v>
      </c>
      <c r="CC35" s="190">
        <v>250397</v>
      </c>
      <c r="CD35" s="190">
        <v>271</v>
      </c>
      <c r="CE35" s="190">
        <v>2946</v>
      </c>
      <c r="CF35" s="190">
        <v>190</v>
      </c>
      <c r="CG35" s="190">
        <v>2082</v>
      </c>
      <c r="CH35" s="190">
        <v>2272</v>
      </c>
      <c r="CI35" s="190">
        <v>1574</v>
      </c>
      <c r="CJ35" s="190">
        <v>8</v>
      </c>
      <c r="CK35" s="190">
        <v>4</v>
      </c>
      <c r="CL35" s="190">
        <v>1129</v>
      </c>
      <c r="CM35" s="190">
        <v>1133</v>
      </c>
      <c r="CN35" s="190">
        <v>580</v>
      </c>
      <c r="CO35" s="190">
        <v>9525</v>
      </c>
      <c r="CP35" s="190">
        <v>10105</v>
      </c>
      <c r="CQ35" s="190">
        <v>0</v>
      </c>
      <c r="CR35" s="190">
        <v>11</v>
      </c>
      <c r="CS35" s="190">
        <v>11</v>
      </c>
      <c r="CT35" s="190">
        <v>9951</v>
      </c>
      <c r="CU35" s="190">
        <v>102207</v>
      </c>
      <c r="CV35" s="190">
        <v>112158</v>
      </c>
      <c r="CW35" s="190">
        <v>756</v>
      </c>
      <c r="CX35" s="190">
        <v>5970</v>
      </c>
      <c r="CY35" s="190">
        <v>6726</v>
      </c>
      <c r="CZ35" s="190">
        <v>732</v>
      </c>
      <c r="DA35" s="190">
        <v>11</v>
      </c>
      <c r="DB35" s="190">
        <v>0</v>
      </c>
      <c r="DC35" s="190">
        <v>4505</v>
      </c>
      <c r="DD35" s="190">
        <v>101</v>
      </c>
      <c r="DE35" s="190">
        <v>28</v>
      </c>
      <c r="DF35" s="190">
        <v>743</v>
      </c>
      <c r="DG35" s="190">
        <v>4634</v>
      </c>
      <c r="DH35" s="190">
        <v>5377</v>
      </c>
      <c r="DI35" s="190">
        <v>13</v>
      </c>
      <c r="DJ35" s="190">
        <v>0</v>
      </c>
      <c r="DK35" s="190">
        <v>0</v>
      </c>
      <c r="DL35" s="190">
        <v>1294</v>
      </c>
      <c r="DM35" s="190">
        <v>35</v>
      </c>
      <c r="DN35" s="190">
        <v>7</v>
      </c>
      <c r="DO35" s="190">
        <v>13</v>
      </c>
      <c r="DP35" s="190">
        <v>1336</v>
      </c>
      <c r="DQ35" s="190">
        <v>1349</v>
      </c>
      <c r="DR35" s="190">
        <v>4</v>
      </c>
      <c r="DS35" s="190">
        <v>43</v>
      </c>
      <c r="DT35" s="191">
        <v>47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560</v>
      </c>
      <c r="C36" s="190">
        <v>222</v>
      </c>
      <c r="D36" s="190">
        <v>508</v>
      </c>
      <c r="E36" s="190">
        <v>250</v>
      </c>
      <c r="F36" s="190">
        <v>0</v>
      </c>
      <c r="G36" s="190">
        <v>0</v>
      </c>
      <c r="H36" s="190">
        <v>0</v>
      </c>
      <c r="I36" s="190">
        <v>0</v>
      </c>
      <c r="J36" s="190">
        <v>227</v>
      </c>
      <c r="K36" s="190">
        <v>227</v>
      </c>
      <c r="L36" s="190">
        <v>0</v>
      </c>
      <c r="M36" s="190">
        <v>60</v>
      </c>
      <c r="N36" s="190">
        <v>60</v>
      </c>
      <c r="O36" s="190">
        <v>0</v>
      </c>
      <c r="P36" s="190">
        <v>167</v>
      </c>
      <c r="Q36" s="190">
        <v>167</v>
      </c>
      <c r="R36" s="190">
        <v>0</v>
      </c>
      <c r="S36" s="190">
        <v>20</v>
      </c>
      <c r="T36" s="190">
        <v>20</v>
      </c>
      <c r="U36" s="190">
        <v>0</v>
      </c>
      <c r="V36" s="190">
        <v>31</v>
      </c>
      <c r="W36" s="190">
        <v>31</v>
      </c>
      <c r="X36" s="190">
        <v>3</v>
      </c>
      <c r="Y36" s="190">
        <v>314</v>
      </c>
      <c r="Z36" s="190">
        <v>317</v>
      </c>
      <c r="AA36" s="190">
        <v>3</v>
      </c>
      <c r="AB36" s="190">
        <v>154</v>
      </c>
      <c r="AC36" s="190">
        <v>157</v>
      </c>
      <c r="AD36" s="190">
        <v>2</v>
      </c>
      <c r="AE36" s="190">
        <v>141</v>
      </c>
      <c r="AF36" s="190">
        <v>143</v>
      </c>
      <c r="AG36" s="190">
        <v>1</v>
      </c>
      <c r="AH36" s="190">
        <v>9</v>
      </c>
      <c r="AI36" s="190">
        <v>10</v>
      </c>
      <c r="AJ36" s="190">
        <v>0</v>
      </c>
      <c r="AK36" s="190">
        <v>4</v>
      </c>
      <c r="AL36" s="190">
        <v>4</v>
      </c>
      <c r="AM36" s="190">
        <v>0</v>
      </c>
      <c r="AN36" s="190">
        <v>160</v>
      </c>
      <c r="AO36" s="190">
        <v>160</v>
      </c>
      <c r="AP36" s="190">
        <v>645</v>
      </c>
      <c r="AQ36" s="190">
        <v>7969</v>
      </c>
      <c r="AR36" s="190">
        <v>8614</v>
      </c>
      <c r="AS36" s="190">
        <v>634</v>
      </c>
      <c r="AT36" s="190">
        <v>7739</v>
      </c>
      <c r="AU36" s="190">
        <v>8373</v>
      </c>
      <c r="AV36" s="190">
        <v>11</v>
      </c>
      <c r="AW36" s="190">
        <v>230</v>
      </c>
      <c r="AX36" s="190">
        <v>241</v>
      </c>
      <c r="AY36" s="190">
        <v>40</v>
      </c>
      <c r="AZ36" s="190">
        <v>561</v>
      </c>
      <c r="BA36" s="190">
        <v>601</v>
      </c>
      <c r="BB36" s="190">
        <v>24</v>
      </c>
      <c r="BC36" s="190">
        <v>1</v>
      </c>
      <c r="BD36" s="190">
        <v>0</v>
      </c>
      <c r="BE36" s="190">
        <v>224</v>
      </c>
      <c r="BF36" s="190">
        <v>0</v>
      </c>
      <c r="BG36" s="190">
        <v>1</v>
      </c>
      <c r="BH36" s="190">
        <v>25</v>
      </c>
      <c r="BI36" s="190">
        <v>225</v>
      </c>
      <c r="BJ36" s="190">
        <v>250</v>
      </c>
      <c r="BK36" s="190">
        <v>-9</v>
      </c>
      <c r="BL36" s="190">
        <v>9</v>
      </c>
      <c r="BM36" s="190">
        <v>0</v>
      </c>
      <c r="BN36" s="190">
        <v>7</v>
      </c>
      <c r="BO36" s="190">
        <v>51</v>
      </c>
      <c r="BP36" s="190">
        <v>58</v>
      </c>
      <c r="BQ36" s="190">
        <v>4</v>
      </c>
      <c r="BR36" s="190">
        <v>83</v>
      </c>
      <c r="BS36" s="190">
        <v>87</v>
      </c>
      <c r="BT36" s="190">
        <v>13</v>
      </c>
      <c r="BU36" s="190">
        <v>193</v>
      </c>
      <c r="BV36" s="190">
        <v>206</v>
      </c>
      <c r="BW36" s="190">
        <v>685</v>
      </c>
      <c r="BX36" s="190">
        <v>8530</v>
      </c>
      <c r="BY36" s="190">
        <v>9215</v>
      </c>
      <c r="BZ36" s="190">
        <v>674</v>
      </c>
      <c r="CA36" s="190">
        <v>8451</v>
      </c>
      <c r="CB36" s="190">
        <v>9125</v>
      </c>
      <c r="CC36" s="190">
        <v>17022</v>
      </c>
      <c r="CD36" s="190">
        <v>7</v>
      </c>
      <c r="CE36" s="190">
        <v>66</v>
      </c>
      <c r="CF36" s="190">
        <v>9</v>
      </c>
      <c r="CG36" s="190">
        <v>44</v>
      </c>
      <c r="CH36" s="190">
        <v>53</v>
      </c>
      <c r="CI36" s="190">
        <v>52</v>
      </c>
      <c r="CJ36" s="190">
        <v>9</v>
      </c>
      <c r="CK36" s="190">
        <v>2</v>
      </c>
      <c r="CL36" s="190">
        <v>35</v>
      </c>
      <c r="CM36" s="190">
        <v>37</v>
      </c>
      <c r="CN36" s="190">
        <v>72</v>
      </c>
      <c r="CO36" s="190">
        <v>918</v>
      </c>
      <c r="CP36" s="190">
        <v>990</v>
      </c>
      <c r="CQ36" s="190">
        <v>0</v>
      </c>
      <c r="CR36" s="190">
        <v>15</v>
      </c>
      <c r="CS36" s="190">
        <v>15</v>
      </c>
      <c r="CT36" s="190">
        <v>613</v>
      </c>
      <c r="CU36" s="190">
        <v>7612</v>
      </c>
      <c r="CV36" s="190">
        <v>8225</v>
      </c>
      <c r="CW36" s="190">
        <v>35</v>
      </c>
      <c r="CX36" s="190">
        <v>353</v>
      </c>
      <c r="CY36" s="190">
        <v>388</v>
      </c>
      <c r="CZ36" s="190">
        <v>33</v>
      </c>
      <c r="DA36" s="190">
        <v>1</v>
      </c>
      <c r="DB36" s="190">
        <v>0</v>
      </c>
      <c r="DC36" s="190">
        <v>336</v>
      </c>
      <c r="DD36" s="190">
        <v>4</v>
      </c>
      <c r="DE36" s="190">
        <v>1</v>
      </c>
      <c r="DF36" s="190">
        <v>34</v>
      </c>
      <c r="DG36" s="190">
        <v>341</v>
      </c>
      <c r="DH36" s="190">
        <v>375</v>
      </c>
      <c r="DI36" s="190">
        <v>1</v>
      </c>
      <c r="DJ36" s="190">
        <v>0</v>
      </c>
      <c r="DK36" s="190">
        <v>0</v>
      </c>
      <c r="DL36" s="190">
        <v>12</v>
      </c>
      <c r="DM36" s="190">
        <v>0</v>
      </c>
      <c r="DN36" s="190">
        <v>0</v>
      </c>
      <c r="DO36" s="190">
        <v>1</v>
      </c>
      <c r="DP36" s="190">
        <v>12</v>
      </c>
      <c r="DQ36" s="190">
        <v>13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100</v>
      </c>
      <c r="C37" s="190">
        <v>15</v>
      </c>
      <c r="D37" s="190">
        <v>86</v>
      </c>
      <c r="E37" s="190">
        <v>60</v>
      </c>
      <c r="F37" s="190">
        <v>0</v>
      </c>
      <c r="G37" s="190">
        <v>1</v>
      </c>
      <c r="H37" s="190">
        <v>1</v>
      </c>
      <c r="I37" s="190">
        <v>0</v>
      </c>
      <c r="J37" s="190">
        <v>25</v>
      </c>
      <c r="K37" s="190">
        <v>25</v>
      </c>
      <c r="L37" s="190">
        <v>0</v>
      </c>
      <c r="M37" s="190">
        <v>9</v>
      </c>
      <c r="N37" s="190">
        <v>9</v>
      </c>
      <c r="O37" s="190">
        <v>0</v>
      </c>
      <c r="P37" s="190">
        <v>16</v>
      </c>
      <c r="Q37" s="190">
        <v>16</v>
      </c>
      <c r="R37" s="190">
        <v>0</v>
      </c>
      <c r="S37" s="190">
        <v>0</v>
      </c>
      <c r="T37" s="190">
        <v>0</v>
      </c>
      <c r="U37" s="190">
        <v>0</v>
      </c>
      <c r="V37" s="190">
        <v>1</v>
      </c>
      <c r="W37" s="190">
        <v>1</v>
      </c>
      <c r="X37" s="190">
        <v>1</v>
      </c>
      <c r="Y37" s="190">
        <v>85</v>
      </c>
      <c r="Z37" s="190">
        <v>86</v>
      </c>
      <c r="AA37" s="190">
        <v>1</v>
      </c>
      <c r="AB37" s="190">
        <v>39</v>
      </c>
      <c r="AC37" s="190">
        <v>40</v>
      </c>
      <c r="AD37" s="190">
        <v>1</v>
      </c>
      <c r="AE37" s="190">
        <v>33</v>
      </c>
      <c r="AF37" s="190">
        <v>34</v>
      </c>
      <c r="AG37" s="190">
        <v>0</v>
      </c>
      <c r="AH37" s="190">
        <v>3</v>
      </c>
      <c r="AI37" s="190">
        <v>3</v>
      </c>
      <c r="AJ37" s="190">
        <v>0</v>
      </c>
      <c r="AK37" s="190">
        <v>3</v>
      </c>
      <c r="AL37" s="190">
        <v>3</v>
      </c>
      <c r="AM37" s="190">
        <v>0</v>
      </c>
      <c r="AN37" s="190">
        <v>46</v>
      </c>
      <c r="AO37" s="190">
        <v>46</v>
      </c>
      <c r="AP37" s="190">
        <v>74</v>
      </c>
      <c r="AQ37" s="190">
        <v>962</v>
      </c>
      <c r="AR37" s="190">
        <v>1036</v>
      </c>
      <c r="AS37" s="190">
        <v>74</v>
      </c>
      <c r="AT37" s="190">
        <v>962</v>
      </c>
      <c r="AU37" s="190">
        <v>1036</v>
      </c>
      <c r="AV37" s="190">
        <v>0</v>
      </c>
      <c r="AW37" s="190">
        <v>0</v>
      </c>
      <c r="AX37" s="190">
        <v>0</v>
      </c>
      <c r="AY37" s="190">
        <v>5</v>
      </c>
      <c r="AZ37" s="190">
        <v>107</v>
      </c>
      <c r="BA37" s="190">
        <v>112</v>
      </c>
      <c r="BB37" s="190">
        <v>3</v>
      </c>
      <c r="BC37" s="190">
        <v>0</v>
      </c>
      <c r="BD37" s="190">
        <v>0</v>
      </c>
      <c r="BE37" s="190">
        <v>57</v>
      </c>
      <c r="BF37" s="190">
        <v>0</v>
      </c>
      <c r="BG37" s="190">
        <v>0</v>
      </c>
      <c r="BH37" s="190">
        <v>3</v>
      </c>
      <c r="BI37" s="190">
        <v>57</v>
      </c>
      <c r="BJ37" s="190">
        <v>60</v>
      </c>
      <c r="BK37" s="190">
        <v>-3</v>
      </c>
      <c r="BL37" s="190">
        <v>3</v>
      </c>
      <c r="BM37" s="190">
        <v>0</v>
      </c>
      <c r="BN37" s="190">
        <v>2</v>
      </c>
      <c r="BO37" s="190">
        <v>6</v>
      </c>
      <c r="BP37" s="190">
        <v>8</v>
      </c>
      <c r="BQ37" s="190">
        <v>1</v>
      </c>
      <c r="BR37" s="190">
        <v>12</v>
      </c>
      <c r="BS37" s="190">
        <v>13</v>
      </c>
      <c r="BT37" s="190">
        <v>2</v>
      </c>
      <c r="BU37" s="190">
        <v>29</v>
      </c>
      <c r="BV37" s="190">
        <v>31</v>
      </c>
      <c r="BW37" s="190">
        <v>79</v>
      </c>
      <c r="BX37" s="190">
        <v>1069</v>
      </c>
      <c r="BY37" s="190">
        <v>1148</v>
      </c>
      <c r="BZ37" s="190">
        <v>79</v>
      </c>
      <c r="CA37" s="190">
        <v>1068</v>
      </c>
      <c r="CB37" s="190">
        <v>1147</v>
      </c>
      <c r="CC37" s="190">
        <v>2079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2</v>
      </c>
      <c r="CO37" s="190">
        <v>103</v>
      </c>
      <c r="CP37" s="190">
        <v>105</v>
      </c>
      <c r="CQ37" s="190">
        <v>0</v>
      </c>
      <c r="CR37" s="190">
        <v>0</v>
      </c>
      <c r="CS37" s="190">
        <v>0</v>
      </c>
      <c r="CT37" s="190">
        <v>77</v>
      </c>
      <c r="CU37" s="190">
        <v>966</v>
      </c>
      <c r="CV37" s="190">
        <v>1043</v>
      </c>
      <c r="CW37" s="190">
        <v>5</v>
      </c>
      <c r="CX37" s="190">
        <v>58</v>
      </c>
      <c r="CY37" s="190">
        <v>63</v>
      </c>
      <c r="CZ37" s="190">
        <v>5</v>
      </c>
      <c r="DA37" s="190">
        <v>0</v>
      </c>
      <c r="DB37" s="190">
        <v>0</v>
      </c>
      <c r="DC37" s="190">
        <v>55</v>
      </c>
      <c r="DD37" s="190">
        <v>0</v>
      </c>
      <c r="DE37" s="190">
        <v>0</v>
      </c>
      <c r="DF37" s="190">
        <v>5</v>
      </c>
      <c r="DG37" s="190">
        <v>55</v>
      </c>
      <c r="DH37" s="190">
        <v>60</v>
      </c>
      <c r="DI37" s="190">
        <v>0</v>
      </c>
      <c r="DJ37" s="190">
        <v>0</v>
      </c>
      <c r="DK37" s="190">
        <v>0</v>
      </c>
      <c r="DL37" s="190">
        <v>3</v>
      </c>
      <c r="DM37" s="190">
        <v>0</v>
      </c>
      <c r="DN37" s="190">
        <v>0</v>
      </c>
      <c r="DO37" s="190">
        <v>0</v>
      </c>
      <c r="DP37" s="190">
        <v>3</v>
      </c>
      <c r="DQ37" s="190">
        <v>3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9404</v>
      </c>
      <c r="C38" s="190">
        <v>2474</v>
      </c>
      <c r="D38" s="190">
        <v>9630</v>
      </c>
      <c r="E38" s="190">
        <v>5798</v>
      </c>
      <c r="F38" s="190">
        <v>0</v>
      </c>
      <c r="G38" s="190">
        <v>19</v>
      </c>
      <c r="H38" s="190">
        <v>19</v>
      </c>
      <c r="I38" s="190">
        <v>1</v>
      </c>
      <c r="J38" s="190">
        <v>3490</v>
      </c>
      <c r="K38" s="190">
        <v>3491</v>
      </c>
      <c r="L38" s="190">
        <v>1</v>
      </c>
      <c r="M38" s="190">
        <v>1460</v>
      </c>
      <c r="N38" s="190">
        <v>1461</v>
      </c>
      <c r="O38" s="190">
        <v>0</v>
      </c>
      <c r="P38" s="190">
        <v>2030</v>
      </c>
      <c r="Q38" s="190">
        <v>2030</v>
      </c>
      <c r="R38" s="190">
        <v>0</v>
      </c>
      <c r="S38" s="190">
        <v>13</v>
      </c>
      <c r="T38" s="190">
        <v>13</v>
      </c>
      <c r="U38" s="190">
        <v>0</v>
      </c>
      <c r="V38" s="190">
        <v>341</v>
      </c>
      <c r="W38" s="190">
        <v>341</v>
      </c>
      <c r="X38" s="190">
        <v>276</v>
      </c>
      <c r="Y38" s="190">
        <v>9353</v>
      </c>
      <c r="Z38" s="190">
        <v>9629</v>
      </c>
      <c r="AA38" s="190">
        <v>207</v>
      </c>
      <c r="AB38" s="190">
        <v>3789</v>
      </c>
      <c r="AC38" s="190">
        <v>3996</v>
      </c>
      <c r="AD38" s="190">
        <v>198</v>
      </c>
      <c r="AE38" s="190">
        <v>3601</v>
      </c>
      <c r="AF38" s="190">
        <v>3799</v>
      </c>
      <c r="AG38" s="190">
        <v>7</v>
      </c>
      <c r="AH38" s="190">
        <v>101</v>
      </c>
      <c r="AI38" s="190">
        <v>108</v>
      </c>
      <c r="AJ38" s="190">
        <v>2</v>
      </c>
      <c r="AK38" s="190">
        <v>87</v>
      </c>
      <c r="AL38" s="190">
        <v>89</v>
      </c>
      <c r="AM38" s="190">
        <v>69</v>
      </c>
      <c r="AN38" s="190">
        <v>5564</v>
      </c>
      <c r="AO38" s="190">
        <v>5633</v>
      </c>
      <c r="AP38" s="190">
        <v>14602</v>
      </c>
      <c r="AQ38" s="190">
        <v>105218</v>
      </c>
      <c r="AR38" s="190">
        <v>119820</v>
      </c>
      <c r="AS38" s="190">
        <v>14602</v>
      </c>
      <c r="AT38" s="190">
        <v>105220</v>
      </c>
      <c r="AU38" s="190">
        <v>119822</v>
      </c>
      <c r="AV38" s="190">
        <v>0</v>
      </c>
      <c r="AW38" s="190">
        <v>-2</v>
      </c>
      <c r="AX38" s="190">
        <v>-2</v>
      </c>
      <c r="AY38" s="190">
        <v>696</v>
      </c>
      <c r="AZ38" s="190">
        <v>9314</v>
      </c>
      <c r="BA38" s="190">
        <v>10010</v>
      </c>
      <c r="BB38" s="190">
        <v>314</v>
      </c>
      <c r="BC38" s="190">
        <v>7</v>
      </c>
      <c r="BD38" s="190">
        <v>1</v>
      </c>
      <c r="BE38" s="190">
        <v>5418</v>
      </c>
      <c r="BF38" s="190">
        <v>46</v>
      </c>
      <c r="BG38" s="190">
        <v>12</v>
      </c>
      <c r="BH38" s="190">
        <v>322</v>
      </c>
      <c r="BI38" s="190">
        <v>5476</v>
      </c>
      <c r="BJ38" s="190">
        <v>5798</v>
      </c>
      <c r="BK38" s="190">
        <v>-60</v>
      </c>
      <c r="BL38" s="190">
        <v>60</v>
      </c>
      <c r="BM38" s="190">
        <v>0</v>
      </c>
      <c r="BN38" s="190">
        <v>25</v>
      </c>
      <c r="BO38" s="190">
        <v>210</v>
      </c>
      <c r="BP38" s="190">
        <v>235</v>
      </c>
      <c r="BQ38" s="190">
        <v>120</v>
      </c>
      <c r="BR38" s="190">
        <v>1511</v>
      </c>
      <c r="BS38" s="190">
        <v>1631</v>
      </c>
      <c r="BT38" s="190">
        <v>289</v>
      </c>
      <c r="BU38" s="190">
        <v>2057</v>
      </c>
      <c r="BV38" s="190">
        <v>2346</v>
      </c>
      <c r="BW38" s="190">
        <v>15298</v>
      </c>
      <c r="BX38" s="190">
        <v>114532</v>
      </c>
      <c r="BY38" s="190">
        <v>129830</v>
      </c>
      <c r="BZ38" s="190">
        <v>15175</v>
      </c>
      <c r="CA38" s="190">
        <v>113487</v>
      </c>
      <c r="CB38" s="190">
        <v>128662</v>
      </c>
      <c r="CC38" s="190">
        <v>286171</v>
      </c>
      <c r="CD38" s="190">
        <v>121</v>
      </c>
      <c r="CE38" s="190">
        <v>968</v>
      </c>
      <c r="CF38" s="190">
        <v>110</v>
      </c>
      <c r="CG38" s="190">
        <v>862</v>
      </c>
      <c r="CH38" s="190">
        <v>972</v>
      </c>
      <c r="CI38" s="190">
        <v>228</v>
      </c>
      <c r="CJ38" s="190">
        <v>17</v>
      </c>
      <c r="CK38" s="190">
        <v>13</v>
      </c>
      <c r="CL38" s="190">
        <v>183</v>
      </c>
      <c r="CM38" s="190">
        <v>196</v>
      </c>
      <c r="CN38" s="190">
        <v>805</v>
      </c>
      <c r="CO38" s="190">
        <v>10630</v>
      </c>
      <c r="CP38" s="190">
        <v>11435</v>
      </c>
      <c r="CQ38" s="190">
        <v>0</v>
      </c>
      <c r="CR38" s="190">
        <v>82</v>
      </c>
      <c r="CS38" s="190">
        <v>82</v>
      </c>
      <c r="CT38" s="190">
        <v>14493</v>
      </c>
      <c r="CU38" s="190">
        <v>103902</v>
      </c>
      <c r="CV38" s="190">
        <v>118395</v>
      </c>
      <c r="CW38" s="190">
        <v>902</v>
      </c>
      <c r="CX38" s="190">
        <v>4308</v>
      </c>
      <c r="CY38" s="190">
        <v>5210</v>
      </c>
      <c r="CZ38" s="190">
        <v>895</v>
      </c>
      <c r="DA38" s="190">
        <v>5</v>
      </c>
      <c r="DB38" s="190">
        <v>0</v>
      </c>
      <c r="DC38" s="190">
        <v>4226</v>
      </c>
      <c r="DD38" s="190">
        <v>28</v>
      </c>
      <c r="DE38" s="190">
        <v>8</v>
      </c>
      <c r="DF38" s="190">
        <v>900</v>
      </c>
      <c r="DG38" s="190">
        <v>4262</v>
      </c>
      <c r="DH38" s="190">
        <v>5162</v>
      </c>
      <c r="DI38" s="190">
        <v>2</v>
      </c>
      <c r="DJ38" s="190">
        <v>0</v>
      </c>
      <c r="DK38" s="190">
        <v>0</v>
      </c>
      <c r="DL38" s="190">
        <v>46</v>
      </c>
      <c r="DM38" s="190">
        <v>0</v>
      </c>
      <c r="DN38" s="190">
        <v>0</v>
      </c>
      <c r="DO38" s="190">
        <v>2</v>
      </c>
      <c r="DP38" s="190">
        <v>46</v>
      </c>
      <c r="DQ38" s="190">
        <v>48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7347</v>
      </c>
      <c r="C39" s="190">
        <v>1973</v>
      </c>
      <c r="D39" s="190">
        <v>5931</v>
      </c>
      <c r="E39" s="190">
        <v>3876</v>
      </c>
      <c r="F39" s="190">
        <v>1</v>
      </c>
      <c r="G39" s="190">
        <v>35</v>
      </c>
      <c r="H39" s="190">
        <v>36</v>
      </c>
      <c r="I39" s="190">
        <v>0</v>
      </c>
      <c r="J39" s="190">
        <v>1915</v>
      </c>
      <c r="K39" s="190">
        <v>1915</v>
      </c>
      <c r="L39" s="190">
        <v>0</v>
      </c>
      <c r="M39" s="190">
        <v>624</v>
      </c>
      <c r="N39" s="190">
        <v>624</v>
      </c>
      <c r="O39" s="190">
        <v>0</v>
      </c>
      <c r="P39" s="190">
        <v>1291</v>
      </c>
      <c r="Q39" s="190">
        <v>1291</v>
      </c>
      <c r="R39" s="190">
        <v>0</v>
      </c>
      <c r="S39" s="190">
        <v>135</v>
      </c>
      <c r="T39" s="190">
        <v>135</v>
      </c>
      <c r="U39" s="190">
        <v>0</v>
      </c>
      <c r="V39" s="190">
        <v>140</v>
      </c>
      <c r="W39" s="190">
        <v>140</v>
      </c>
      <c r="X39" s="190">
        <v>287</v>
      </c>
      <c r="Y39" s="190">
        <v>5644</v>
      </c>
      <c r="Z39" s="190">
        <v>5931</v>
      </c>
      <c r="AA39" s="190">
        <v>146</v>
      </c>
      <c r="AB39" s="190">
        <v>1576</v>
      </c>
      <c r="AC39" s="190">
        <v>1722</v>
      </c>
      <c r="AD39" s="190">
        <v>143</v>
      </c>
      <c r="AE39" s="190">
        <v>1556</v>
      </c>
      <c r="AF39" s="190">
        <v>1699</v>
      </c>
      <c r="AG39" s="190">
        <v>2</v>
      </c>
      <c r="AH39" s="190">
        <v>19</v>
      </c>
      <c r="AI39" s="190">
        <v>21</v>
      </c>
      <c r="AJ39" s="190">
        <v>1</v>
      </c>
      <c r="AK39" s="190">
        <v>1</v>
      </c>
      <c r="AL39" s="190">
        <v>2</v>
      </c>
      <c r="AM39" s="190">
        <v>141</v>
      </c>
      <c r="AN39" s="190">
        <v>4068</v>
      </c>
      <c r="AO39" s="190">
        <v>4209</v>
      </c>
      <c r="AP39" s="190">
        <v>13374</v>
      </c>
      <c r="AQ39" s="190">
        <v>79195</v>
      </c>
      <c r="AR39" s="190">
        <v>92569</v>
      </c>
      <c r="AS39" s="190">
        <v>13258</v>
      </c>
      <c r="AT39" s="190">
        <v>78354</v>
      </c>
      <c r="AU39" s="190">
        <v>91612</v>
      </c>
      <c r="AV39" s="190">
        <v>116</v>
      </c>
      <c r="AW39" s="190">
        <v>841</v>
      </c>
      <c r="AX39" s="190">
        <v>957</v>
      </c>
      <c r="AY39" s="190">
        <v>775</v>
      </c>
      <c r="AZ39" s="190">
        <v>7399</v>
      </c>
      <c r="BA39" s="190">
        <v>8174</v>
      </c>
      <c r="BB39" s="190">
        <v>404</v>
      </c>
      <c r="BC39" s="190">
        <v>18</v>
      </c>
      <c r="BD39" s="190">
        <v>1</v>
      </c>
      <c r="BE39" s="190">
        <v>3381</v>
      </c>
      <c r="BF39" s="190">
        <v>40</v>
      </c>
      <c r="BG39" s="190">
        <v>32</v>
      </c>
      <c r="BH39" s="190">
        <v>423</v>
      </c>
      <c r="BI39" s="190">
        <v>3453</v>
      </c>
      <c r="BJ39" s="190">
        <v>3876</v>
      </c>
      <c r="BK39" s="190">
        <v>-272</v>
      </c>
      <c r="BL39" s="190">
        <v>272</v>
      </c>
      <c r="BM39" s="190">
        <v>0</v>
      </c>
      <c r="BN39" s="190">
        <v>20</v>
      </c>
      <c r="BO39" s="190">
        <v>112</v>
      </c>
      <c r="BP39" s="190">
        <v>132</v>
      </c>
      <c r="BQ39" s="190">
        <v>78</v>
      </c>
      <c r="BR39" s="190">
        <v>661</v>
      </c>
      <c r="BS39" s="190">
        <v>739</v>
      </c>
      <c r="BT39" s="190">
        <v>526</v>
      </c>
      <c r="BU39" s="190">
        <v>2901</v>
      </c>
      <c r="BV39" s="190">
        <v>3427</v>
      </c>
      <c r="BW39" s="190">
        <v>14149</v>
      </c>
      <c r="BX39" s="190">
        <v>86594</v>
      </c>
      <c r="BY39" s="190">
        <v>100743</v>
      </c>
      <c r="BZ39" s="190">
        <v>13571</v>
      </c>
      <c r="CA39" s="190">
        <v>84926</v>
      </c>
      <c r="CB39" s="190">
        <v>98497</v>
      </c>
      <c r="CC39" s="190">
        <v>211083</v>
      </c>
      <c r="CD39" s="190">
        <v>127</v>
      </c>
      <c r="CE39" s="190">
        <v>2535</v>
      </c>
      <c r="CF39" s="190">
        <v>568</v>
      </c>
      <c r="CG39" s="190">
        <v>1080</v>
      </c>
      <c r="CH39" s="190">
        <v>1648</v>
      </c>
      <c r="CI39" s="190">
        <v>789</v>
      </c>
      <c r="CJ39" s="190">
        <v>24</v>
      </c>
      <c r="CK39" s="190">
        <v>10</v>
      </c>
      <c r="CL39" s="190">
        <v>588</v>
      </c>
      <c r="CM39" s="190">
        <v>598</v>
      </c>
      <c r="CN39" s="190">
        <v>1009</v>
      </c>
      <c r="CO39" s="190">
        <v>8879</v>
      </c>
      <c r="CP39" s="190">
        <v>9888</v>
      </c>
      <c r="CQ39" s="190">
        <v>0</v>
      </c>
      <c r="CR39" s="190">
        <v>19</v>
      </c>
      <c r="CS39" s="190">
        <v>19</v>
      </c>
      <c r="CT39" s="190">
        <v>13140</v>
      </c>
      <c r="CU39" s="190">
        <v>77715</v>
      </c>
      <c r="CV39" s="190">
        <v>90855</v>
      </c>
      <c r="CW39" s="190">
        <v>885</v>
      </c>
      <c r="CX39" s="190">
        <v>3866</v>
      </c>
      <c r="CY39" s="190">
        <v>4751</v>
      </c>
      <c r="CZ39" s="190">
        <v>818</v>
      </c>
      <c r="DA39" s="190">
        <v>33</v>
      </c>
      <c r="DB39" s="190">
        <v>0</v>
      </c>
      <c r="DC39" s="190">
        <v>3458</v>
      </c>
      <c r="DD39" s="190">
        <v>74</v>
      </c>
      <c r="DE39" s="190">
        <v>21</v>
      </c>
      <c r="DF39" s="190">
        <v>851</v>
      </c>
      <c r="DG39" s="190">
        <v>3553</v>
      </c>
      <c r="DH39" s="190">
        <v>4404</v>
      </c>
      <c r="DI39" s="190">
        <v>31</v>
      </c>
      <c r="DJ39" s="190">
        <v>3</v>
      </c>
      <c r="DK39" s="190">
        <v>0</v>
      </c>
      <c r="DL39" s="190">
        <v>299</v>
      </c>
      <c r="DM39" s="190">
        <v>12</v>
      </c>
      <c r="DN39" s="190">
        <v>2</v>
      </c>
      <c r="DO39" s="190">
        <v>34</v>
      </c>
      <c r="DP39" s="190">
        <v>313</v>
      </c>
      <c r="DQ39" s="190">
        <v>347</v>
      </c>
      <c r="DR39" s="190">
        <v>6</v>
      </c>
      <c r="DS39" s="190">
        <v>14</v>
      </c>
      <c r="DT39" s="191">
        <v>20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184</v>
      </c>
      <c r="C40" s="190">
        <v>31</v>
      </c>
      <c r="D40" s="190">
        <v>158</v>
      </c>
      <c r="E40" s="190">
        <v>108</v>
      </c>
      <c r="F40" s="190">
        <v>1</v>
      </c>
      <c r="G40" s="190">
        <v>7</v>
      </c>
      <c r="H40" s="190">
        <v>8</v>
      </c>
      <c r="I40" s="190">
        <v>0</v>
      </c>
      <c r="J40" s="190">
        <v>42</v>
      </c>
      <c r="K40" s="190">
        <v>42</v>
      </c>
      <c r="L40" s="190">
        <v>0</v>
      </c>
      <c r="M40" s="190">
        <v>14</v>
      </c>
      <c r="N40" s="190">
        <v>14</v>
      </c>
      <c r="O40" s="190">
        <v>0</v>
      </c>
      <c r="P40" s="190">
        <v>28</v>
      </c>
      <c r="Q40" s="190">
        <v>28</v>
      </c>
      <c r="R40" s="190">
        <v>0</v>
      </c>
      <c r="S40" s="190">
        <v>1</v>
      </c>
      <c r="T40" s="190">
        <v>1</v>
      </c>
      <c r="U40" s="190">
        <v>0</v>
      </c>
      <c r="V40" s="190">
        <v>8</v>
      </c>
      <c r="W40" s="190">
        <v>8</v>
      </c>
      <c r="X40" s="190">
        <v>4</v>
      </c>
      <c r="Y40" s="190">
        <v>154</v>
      </c>
      <c r="Z40" s="190">
        <v>158</v>
      </c>
      <c r="AA40" s="190">
        <v>3</v>
      </c>
      <c r="AB40" s="190">
        <v>60</v>
      </c>
      <c r="AC40" s="190">
        <v>63</v>
      </c>
      <c r="AD40" s="190">
        <v>3</v>
      </c>
      <c r="AE40" s="190">
        <v>55</v>
      </c>
      <c r="AF40" s="190">
        <v>58</v>
      </c>
      <c r="AG40" s="190">
        <v>0</v>
      </c>
      <c r="AH40" s="190">
        <v>2</v>
      </c>
      <c r="AI40" s="190">
        <v>2</v>
      </c>
      <c r="AJ40" s="190">
        <v>0</v>
      </c>
      <c r="AK40" s="190">
        <v>3</v>
      </c>
      <c r="AL40" s="190">
        <v>3</v>
      </c>
      <c r="AM40" s="190">
        <v>1</v>
      </c>
      <c r="AN40" s="190">
        <v>94</v>
      </c>
      <c r="AO40" s="190">
        <v>95</v>
      </c>
      <c r="AP40" s="190">
        <v>233</v>
      </c>
      <c r="AQ40" s="190">
        <v>1927</v>
      </c>
      <c r="AR40" s="190">
        <v>2160</v>
      </c>
      <c r="AS40" s="190">
        <v>233</v>
      </c>
      <c r="AT40" s="190">
        <v>1926</v>
      </c>
      <c r="AU40" s="190">
        <v>2159</v>
      </c>
      <c r="AV40" s="190">
        <v>0</v>
      </c>
      <c r="AW40" s="190">
        <v>1</v>
      </c>
      <c r="AX40" s="190">
        <v>1</v>
      </c>
      <c r="AY40" s="190">
        <v>17</v>
      </c>
      <c r="AZ40" s="190">
        <v>228</v>
      </c>
      <c r="BA40" s="190">
        <v>245</v>
      </c>
      <c r="BB40" s="190">
        <v>7</v>
      </c>
      <c r="BC40" s="190">
        <v>0</v>
      </c>
      <c r="BD40" s="190">
        <v>0</v>
      </c>
      <c r="BE40" s="190">
        <v>100</v>
      </c>
      <c r="BF40" s="190">
        <v>1</v>
      </c>
      <c r="BG40" s="190">
        <v>0</v>
      </c>
      <c r="BH40" s="190">
        <v>7</v>
      </c>
      <c r="BI40" s="190">
        <v>101</v>
      </c>
      <c r="BJ40" s="190">
        <v>108</v>
      </c>
      <c r="BK40" s="190">
        <v>-5</v>
      </c>
      <c r="BL40" s="190">
        <v>5</v>
      </c>
      <c r="BM40" s="190">
        <v>0</v>
      </c>
      <c r="BN40" s="190">
        <v>5</v>
      </c>
      <c r="BO40" s="190">
        <v>14</v>
      </c>
      <c r="BP40" s="190">
        <v>19</v>
      </c>
      <c r="BQ40" s="190">
        <v>0</v>
      </c>
      <c r="BR40" s="190">
        <v>17</v>
      </c>
      <c r="BS40" s="190">
        <v>17</v>
      </c>
      <c r="BT40" s="190">
        <v>10</v>
      </c>
      <c r="BU40" s="190">
        <v>91</v>
      </c>
      <c r="BV40" s="190">
        <v>101</v>
      </c>
      <c r="BW40" s="190">
        <v>250</v>
      </c>
      <c r="BX40" s="190">
        <v>2155</v>
      </c>
      <c r="BY40" s="190">
        <v>2405</v>
      </c>
      <c r="BZ40" s="190">
        <v>248</v>
      </c>
      <c r="CA40" s="190">
        <v>2134</v>
      </c>
      <c r="CB40" s="190">
        <v>2382</v>
      </c>
      <c r="CC40" s="190">
        <v>5317</v>
      </c>
      <c r="CD40" s="190">
        <v>3</v>
      </c>
      <c r="CE40" s="190">
        <v>23</v>
      </c>
      <c r="CF40" s="190">
        <v>2</v>
      </c>
      <c r="CG40" s="190">
        <v>21</v>
      </c>
      <c r="CH40" s="190">
        <v>23</v>
      </c>
      <c r="CI40" s="190">
        <v>0</v>
      </c>
      <c r="CJ40" s="190">
        <v>0</v>
      </c>
      <c r="CK40" s="190">
        <v>0</v>
      </c>
      <c r="CL40" s="190">
        <v>0</v>
      </c>
      <c r="CM40" s="190">
        <v>0</v>
      </c>
      <c r="CN40" s="190">
        <v>18</v>
      </c>
      <c r="CO40" s="190">
        <v>212</v>
      </c>
      <c r="CP40" s="190">
        <v>230</v>
      </c>
      <c r="CQ40" s="190">
        <v>0</v>
      </c>
      <c r="CR40" s="190">
        <v>0</v>
      </c>
      <c r="CS40" s="190">
        <v>0</v>
      </c>
      <c r="CT40" s="190">
        <v>232</v>
      </c>
      <c r="CU40" s="190">
        <v>1943</v>
      </c>
      <c r="CV40" s="190">
        <v>2175</v>
      </c>
      <c r="CW40" s="190">
        <v>11</v>
      </c>
      <c r="CX40" s="190">
        <v>136</v>
      </c>
      <c r="CY40" s="190">
        <v>147</v>
      </c>
      <c r="CZ40" s="190">
        <v>11</v>
      </c>
      <c r="DA40" s="190">
        <v>0</v>
      </c>
      <c r="DB40" s="190">
        <v>0</v>
      </c>
      <c r="DC40" s="190">
        <v>124</v>
      </c>
      <c r="DD40" s="190">
        <v>2</v>
      </c>
      <c r="DE40" s="190">
        <v>0</v>
      </c>
      <c r="DF40" s="190">
        <v>11</v>
      </c>
      <c r="DG40" s="190">
        <v>126</v>
      </c>
      <c r="DH40" s="190">
        <v>137</v>
      </c>
      <c r="DI40" s="190">
        <v>0</v>
      </c>
      <c r="DJ40" s="190">
        <v>0</v>
      </c>
      <c r="DK40" s="190">
        <v>0</v>
      </c>
      <c r="DL40" s="190">
        <v>10</v>
      </c>
      <c r="DM40" s="190">
        <v>0</v>
      </c>
      <c r="DN40" s="190">
        <v>0</v>
      </c>
      <c r="DO40" s="190">
        <v>0</v>
      </c>
      <c r="DP40" s="190">
        <v>10</v>
      </c>
      <c r="DQ40" s="190">
        <v>10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11080</v>
      </c>
      <c r="C41" s="190">
        <v>2832</v>
      </c>
      <c r="D41" s="190">
        <v>11077</v>
      </c>
      <c r="E41" s="190">
        <v>7758</v>
      </c>
      <c r="F41" s="190">
        <v>6</v>
      </c>
      <c r="G41" s="190">
        <v>37</v>
      </c>
      <c r="H41" s="190">
        <v>43</v>
      </c>
      <c r="I41" s="190">
        <v>3</v>
      </c>
      <c r="J41" s="190">
        <v>3039</v>
      </c>
      <c r="K41" s="190">
        <v>3042</v>
      </c>
      <c r="L41" s="190">
        <v>3</v>
      </c>
      <c r="M41" s="190">
        <v>1341</v>
      </c>
      <c r="N41" s="190">
        <v>1344</v>
      </c>
      <c r="O41" s="190">
        <v>0</v>
      </c>
      <c r="P41" s="190">
        <v>1698</v>
      </c>
      <c r="Q41" s="190">
        <v>1698</v>
      </c>
      <c r="R41" s="190">
        <v>0</v>
      </c>
      <c r="S41" s="190">
        <v>21</v>
      </c>
      <c r="T41" s="190">
        <v>21</v>
      </c>
      <c r="U41" s="190">
        <v>0</v>
      </c>
      <c r="V41" s="190">
        <v>277</v>
      </c>
      <c r="W41" s="190">
        <v>277</v>
      </c>
      <c r="X41" s="190">
        <v>322</v>
      </c>
      <c r="Y41" s="190">
        <v>10754</v>
      </c>
      <c r="Z41" s="190">
        <v>11076</v>
      </c>
      <c r="AA41" s="190">
        <v>221</v>
      </c>
      <c r="AB41" s="190">
        <v>5134</v>
      </c>
      <c r="AC41" s="190">
        <v>5355</v>
      </c>
      <c r="AD41" s="190">
        <v>203</v>
      </c>
      <c r="AE41" s="190">
        <v>4871</v>
      </c>
      <c r="AF41" s="190">
        <v>5074</v>
      </c>
      <c r="AG41" s="190">
        <v>10</v>
      </c>
      <c r="AH41" s="190">
        <v>179</v>
      </c>
      <c r="AI41" s="190">
        <v>189</v>
      </c>
      <c r="AJ41" s="190">
        <v>8</v>
      </c>
      <c r="AK41" s="190">
        <v>84</v>
      </c>
      <c r="AL41" s="190">
        <v>92</v>
      </c>
      <c r="AM41" s="190">
        <v>101</v>
      </c>
      <c r="AN41" s="190">
        <v>5620</v>
      </c>
      <c r="AO41" s="190">
        <v>5721</v>
      </c>
      <c r="AP41" s="190">
        <v>23240</v>
      </c>
      <c r="AQ41" s="190">
        <v>141186</v>
      </c>
      <c r="AR41" s="190">
        <v>164426</v>
      </c>
      <c r="AS41" s="190">
        <v>23241</v>
      </c>
      <c r="AT41" s="190">
        <v>141187</v>
      </c>
      <c r="AU41" s="190">
        <v>164428</v>
      </c>
      <c r="AV41" s="190">
        <v>-1</v>
      </c>
      <c r="AW41" s="190">
        <v>-1</v>
      </c>
      <c r="AX41" s="190">
        <v>-2</v>
      </c>
      <c r="AY41" s="190">
        <v>1211</v>
      </c>
      <c r="AZ41" s="190">
        <v>11810</v>
      </c>
      <c r="BA41" s="190">
        <v>13021</v>
      </c>
      <c r="BB41" s="190">
        <v>374</v>
      </c>
      <c r="BC41" s="190">
        <v>3</v>
      </c>
      <c r="BD41" s="190">
        <v>0</v>
      </c>
      <c r="BE41" s="190">
        <v>7315</v>
      </c>
      <c r="BF41" s="190">
        <v>51</v>
      </c>
      <c r="BG41" s="190">
        <v>15</v>
      </c>
      <c r="BH41" s="190">
        <v>377</v>
      </c>
      <c r="BI41" s="190">
        <v>7381</v>
      </c>
      <c r="BJ41" s="190">
        <v>7758</v>
      </c>
      <c r="BK41" s="190">
        <v>36</v>
      </c>
      <c r="BL41" s="190">
        <v>-36</v>
      </c>
      <c r="BM41" s="190">
        <v>0</v>
      </c>
      <c r="BN41" s="190">
        <v>44</v>
      </c>
      <c r="BO41" s="190">
        <v>161</v>
      </c>
      <c r="BP41" s="190">
        <v>205</v>
      </c>
      <c r="BQ41" s="190">
        <v>75</v>
      </c>
      <c r="BR41" s="190">
        <v>1200</v>
      </c>
      <c r="BS41" s="190">
        <v>1275</v>
      </c>
      <c r="BT41" s="190">
        <v>679</v>
      </c>
      <c r="BU41" s="190">
        <v>3104</v>
      </c>
      <c r="BV41" s="190">
        <v>3783</v>
      </c>
      <c r="BW41" s="190">
        <v>24451</v>
      </c>
      <c r="BX41" s="190">
        <v>152996</v>
      </c>
      <c r="BY41" s="190">
        <v>177447</v>
      </c>
      <c r="BZ41" s="190">
        <v>24282</v>
      </c>
      <c r="CA41" s="190">
        <v>151672</v>
      </c>
      <c r="CB41" s="190">
        <v>175954</v>
      </c>
      <c r="CC41" s="190">
        <v>385040</v>
      </c>
      <c r="CD41" s="190">
        <v>107</v>
      </c>
      <c r="CE41" s="190">
        <v>1202</v>
      </c>
      <c r="CF41" s="190">
        <v>162</v>
      </c>
      <c r="CG41" s="190">
        <v>949</v>
      </c>
      <c r="CH41" s="190">
        <v>1111</v>
      </c>
      <c r="CI41" s="190">
        <v>438</v>
      </c>
      <c r="CJ41" s="190">
        <v>47</v>
      </c>
      <c r="CK41" s="190">
        <v>7</v>
      </c>
      <c r="CL41" s="190">
        <v>375</v>
      </c>
      <c r="CM41" s="190">
        <v>382</v>
      </c>
      <c r="CN41" s="190">
        <v>1450</v>
      </c>
      <c r="CO41" s="190">
        <v>13886</v>
      </c>
      <c r="CP41" s="190">
        <v>15336</v>
      </c>
      <c r="CQ41" s="190">
        <v>1</v>
      </c>
      <c r="CR41" s="190">
        <v>36</v>
      </c>
      <c r="CS41" s="190">
        <v>37</v>
      </c>
      <c r="CT41" s="190">
        <v>23001</v>
      </c>
      <c r="CU41" s="190">
        <v>139110</v>
      </c>
      <c r="CV41" s="190">
        <v>162111</v>
      </c>
      <c r="CW41" s="190">
        <v>1435</v>
      </c>
      <c r="CX41" s="190">
        <v>5826</v>
      </c>
      <c r="CY41" s="190">
        <v>7261</v>
      </c>
      <c r="CZ41" s="190">
        <v>1415</v>
      </c>
      <c r="DA41" s="190">
        <v>16</v>
      </c>
      <c r="DB41" s="190">
        <v>0</v>
      </c>
      <c r="DC41" s="190">
        <v>5715</v>
      </c>
      <c r="DD41" s="190">
        <v>44</v>
      </c>
      <c r="DE41" s="190">
        <v>11</v>
      </c>
      <c r="DF41" s="190">
        <v>1431</v>
      </c>
      <c r="DG41" s="190">
        <v>5770</v>
      </c>
      <c r="DH41" s="190">
        <v>7201</v>
      </c>
      <c r="DI41" s="190">
        <v>4</v>
      </c>
      <c r="DJ41" s="190">
        <v>0</v>
      </c>
      <c r="DK41" s="190">
        <v>0</v>
      </c>
      <c r="DL41" s="190">
        <v>55</v>
      </c>
      <c r="DM41" s="190">
        <v>1</v>
      </c>
      <c r="DN41" s="190">
        <v>0</v>
      </c>
      <c r="DO41" s="190">
        <v>4</v>
      </c>
      <c r="DP41" s="190">
        <v>56</v>
      </c>
      <c r="DQ41" s="190">
        <v>60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10250</v>
      </c>
      <c r="C42" s="190">
        <v>3506</v>
      </c>
      <c r="D42" s="190">
        <v>10462</v>
      </c>
      <c r="E42" s="190">
        <v>5890</v>
      </c>
      <c r="F42" s="190">
        <v>5</v>
      </c>
      <c r="G42" s="190">
        <v>123</v>
      </c>
      <c r="H42" s="190">
        <v>128</v>
      </c>
      <c r="I42" s="190">
        <v>10</v>
      </c>
      <c r="J42" s="190">
        <v>4228</v>
      </c>
      <c r="K42" s="190">
        <v>4238</v>
      </c>
      <c r="L42" s="190">
        <v>10</v>
      </c>
      <c r="M42" s="190">
        <v>4223</v>
      </c>
      <c r="N42" s="190">
        <v>4233</v>
      </c>
      <c r="O42" s="190">
        <v>0</v>
      </c>
      <c r="P42" s="190">
        <v>5</v>
      </c>
      <c r="Q42" s="190">
        <v>5</v>
      </c>
      <c r="R42" s="190">
        <v>5</v>
      </c>
      <c r="S42" s="190">
        <v>628</v>
      </c>
      <c r="T42" s="190">
        <v>633</v>
      </c>
      <c r="U42" s="190">
        <v>0</v>
      </c>
      <c r="V42" s="190">
        <v>334</v>
      </c>
      <c r="W42" s="190">
        <v>334</v>
      </c>
      <c r="X42" s="190">
        <v>145</v>
      </c>
      <c r="Y42" s="190">
        <v>6604</v>
      </c>
      <c r="Z42" s="190">
        <v>6749</v>
      </c>
      <c r="AA42" s="190">
        <v>85</v>
      </c>
      <c r="AB42" s="190">
        <v>2413</v>
      </c>
      <c r="AC42" s="190">
        <v>2498</v>
      </c>
      <c r="AD42" s="190">
        <v>82</v>
      </c>
      <c r="AE42" s="190">
        <v>2373</v>
      </c>
      <c r="AF42" s="190">
        <v>2455</v>
      </c>
      <c r="AG42" s="190">
        <v>2</v>
      </c>
      <c r="AH42" s="190">
        <v>31</v>
      </c>
      <c r="AI42" s="190">
        <v>33</v>
      </c>
      <c r="AJ42" s="190">
        <v>1</v>
      </c>
      <c r="AK42" s="190">
        <v>9</v>
      </c>
      <c r="AL42" s="190">
        <v>10</v>
      </c>
      <c r="AM42" s="190">
        <v>60</v>
      </c>
      <c r="AN42" s="190">
        <v>4191</v>
      </c>
      <c r="AO42" s="190">
        <v>4251</v>
      </c>
      <c r="AP42" s="190">
        <v>12191</v>
      </c>
      <c r="AQ42" s="190">
        <v>117182</v>
      </c>
      <c r="AR42" s="190">
        <v>129373</v>
      </c>
      <c r="AS42" s="190">
        <v>12162</v>
      </c>
      <c r="AT42" s="190">
        <v>116428</v>
      </c>
      <c r="AU42" s="190">
        <v>128590</v>
      </c>
      <c r="AV42" s="190">
        <v>29</v>
      </c>
      <c r="AW42" s="190">
        <v>754</v>
      </c>
      <c r="AX42" s="190">
        <v>783</v>
      </c>
      <c r="AY42" s="190">
        <v>697</v>
      </c>
      <c r="AZ42" s="190">
        <v>9927</v>
      </c>
      <c r="BA42" s="190">
        <v>10624</v>
      </c>
      <c r="BB42" s="190">
        <v>229</v>
      </c>
      <c r="BC42" s="190">
        <v>4</v>
      </c>
      <c r="BD42" s="190">
        <v>1</v>
      </c>
      <c r="BE42" s="190">
        <v>5511</v>
      </c>
      <c r="BF42" s="190">
        <v>101</v>
      </c>
      <c r="BG42" s="190">
        <v>44</v>
      </c>
      <c r="BH42" s="190">
        <v>234</v>
      </c>
      <c r="BI42" s="190">
        <v>5656</v>
      </c>
      <c r="BJ42" s="190">
        <v>5890</v>
      </c>
      <c r="BK42" s="190">
        <v>-27</v>
      </c>
      <c r="BL42" s="190">
        <v>27</v>
      </c>
      <c r="BM42" s="190">
        <v>0</v>
      </c>
      <c r="BN42" s="190">
        <v>17</v>
      </c>
      <c r="BO42" s="190">
        <v>147</v>
      </c>
      <c r="BP42" s="190">
        <v>164</v>
      </c>
      <c r="BQ42" s="190">
        <v>6</v>
      </c>
      <c r="BR42" s="190">
        <v>304</v>
      </c>
      <c r="BS42" s="190">
        <v>310</v>
      </c>
      <c r="BT42" s="190">
        <v>467</v>
      </c>
      <c r="BU42" s="190">
        <v>3793</v>
      </c>
      <c r="BV42" s="190">
        <v>4260</v>
      </c>
      <c r="BW42" s="190">
        <v>12888</v>
      </c>
      <c r="BX42" s="190">
        <v>127109</v>
      </c>
      <c r="BY42" s="190">
        <v>139997</v>
      </c>
      <c r="BZ42" s="190">
        <v>12569</v>
      </c>
      <c r="CA42" s="190">
        <v>124598</v>
      </c>
      <c r="CB42" s="190">
        <v>137167</v>
      </c>
      <c r="CC42" s="190">
        <v>283341</v>
      </c>
      <c r="CD42" s="190">
        <v>272</v>
      </c>
      <c r="CE42" s="190">
        <v>2519</v>
      </c>
      <c r="CF42" s="190">
        <v>312</v>
      </c>
      <c r="CG42" s="190">
        <v>1762</v>
      </c>
      <c r="CH42" s="190">
        <v>2074</v>
      </c>
      <c r="CI42" s="190">
        <v>917</v>
      </c>
      <c r="CJ42" s="190">
        <v>53</v>
      </c>
      <c r="CK42" s="190">
        <v>7</v>
      </c>
      <c r="CL42" s="190">
        <v>749</v>
      </c>
      <c r="CM42" s="190">
        <v>756</v>
      </c>
      <c r="CN42" s="190">
        <v>821</v>
      </c>
      <c r="CO42" s="190">
        <v>12073</v>
      </c>
      <c r="CP42" s="190">
        <v>12894</v>
      </c>
      <c r="CQ42" s="190">
        <v>0</v>
      </c>
      <c r="CR42" s="190">
        <v>9</v>
      </c>
      <c r="CS42" s="190">
        <v>9</v>
      </c>
      <c r="CT42" s="190">
        <v>12067</v>
      </c>
      <c r="CU42" s="190">
        <v>115036</v>
      </c>
      <c r="CV42" s="190">
        <v>127103</v>
      </c>
      <c r="CW42" s="190">
        <v>824</v>
      </c>
      <c r="CX42" s="190">
        <v>5765</v>
      </c>
      <c r="CY42" s="190">
        <v>6589</v>
      </c>
      <c r="CZ42" s="190">
        <v>770</v>
      </c>
      <c r="DA42" s="190">
        <v>15</v>
      </c>
      <c r="DB42" s="190">
        <v>0</v>
      </c>
      <c r="DC42" s="190">
        <v>5063</v>
      </c>
      <c r="DD42" s="190">
        <v>88</v>
      </c>
      <c r="DE42" s="190">
        <v>25</v>
      </c>
      <c r="DF42" s="190">
        <v>785</v>
      </c>
      <c r="DG42" s="190">
        <v>5176</v>
      </c>
      <c r="DH42" s="190">
        <v>5961</v>
      </c>
      <c r="DI42" s="190">
        <v>36</v>
      </c>
      <c r="DJ42" s="190">
        <v>3</v>
      </c>
      <c r="DK42" s="190">
        <v>0</v>
      </c>
      <c r="DL42" s="190">
        <v>572</v>
      </c>
      <c r="DM42" s="190">
        <v>13</v>
      </c>
      <c r="DN42" s="190">
        <v>4</v>
      </c>
      <c r="DO42" s="190">
        <v>39</v>
      </c>
      <c r="DP42" s="190">
        <v>589</v>
      </c>
      <c r="DQ42" s="190">
        <v>628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2532</v>
      </c>
      <c r="C43" s="190">
        <v>632</v>
      </c>
      <c r="D43" s="190">
        <v>2161</v>
      </c>
      <c r="E43" s="190">
        <v>1454</v>
      </c>
      <c r="F43" s="190">
        <v>0</v>
      </c>
      <c r="G43" s="190">
        <v>22</v>
      </c>
      <c r="H43" s="190">
        <v>22</v>
      </c>
      <c r="I43" s="190">
        <v>0</v>
      </c>
      <c r="J43" s="190">
        <v>623</v>
      </c>
      <c r="K43" s="190">
        <v>623</v>
      </c>
      <c r="L43" s="190">
        <v>0</v>
      </c>
      <c r="M43" s="190">
        <v>216</v>
      </c>
      <c r="N43" s="190">
        <v>216</v>
      </c>
      <c r="O43" s="190">
        <v>0</v>
      </c>
      <c r="P43" s="190">
        <v>407</v>
      </c>
      <c r="Q43" s="190">
        <v>407</v>
      </c>
      <c r="R43" s="190">
        <v>0</v>
      </c>
      <c r="S43" s="190">
        <v>33</v>
      </c>
      <c r="T43" s="190">
        <v>33</v>
      </c>
      <c r="U43" s="190">
        <v>0</v>
      </c>
      <c r="V43" s="190">
        <v>84</v>
      </c>
      <c r="W43" s="190">
        <v>84</v>
      </c>
      <c r="X43" s="190">
        <v>35</v>
      </c>
      <c r="Y43" s="190">
        <v>1546</v>
      </c>
      <c r="Z43" s="190">
        <v>1581</v>
      </c>
      <c r="AA43" s="190">
        <v>24</v>
      </c>
      <c r="AB43" s="190">
        <v>681</v>
      </c>
      <c r="AC43" s="190">
        <v>705</v>
      </c>
      <c r="AD43" s="190">
        <v>20</v>
      </c>
      <c r="AE43" s="190">
        <v>649</v>
      </c>
      <c r="AF43" s="190">
        <v>669</v>
      </c>
      <c r="AG43" s="190">
        <v>4</v>
      </c>
      <c r="AH43" s="190">
        <v>27</v>
      </c>
      <c r="AI43" s="190">
        <v>31</v>
      </c>
      <c r="AJ43" s="190">
        <v>0</v>
      </c>
      <c r="AK43" s="190">
        <v>5</v>
      </c>
      <c r="AL43" s="190">
        <v>5</v>
      </c>
      <c r="AM43" s="190">
        <v>11</v>
      </c>
      <c r="AN43" s="190">
        <v>865</v>
      </c>
      <c r="AO43" s="190">
        <v>876</v>
      </c>
      <c r="AP43" s="190">
        <v>2151</v>
      </c>
      <c r="AQ43" s="190">
        <v>29854</v>
      </c>
      <c r="AR43" s="190">
        <v>32005</v>
      </c>
      <c r="AS43" s="190">
        <v>2121</v>
      </c>
      <c r="AT43" s="190">
        <v>29742</v>
      </c>
      <c r="AU43" s="190">
        <v>31863</v>
      </c>
      <c r="AV43" s="190">
        <v>30</v>
      </c>
      <c r="AW43" s="190">
        <v>112</v>
      </c>
      <c r="AX43" s="190">
        <v>142</v>
      </c>
      <c r="AY43" s="190">
        <v>94</v>
      </c>
      <c r="AZ43" s="190">
        <v>2547</v>
      </c>
      <c r="BA43" s="190">
        <v>2641</v>
      </c>
      <c r="BB43" s="190">
        <v>41</v>
      </c>
      <c r="BC43" s="190">
        <v>3</v>
      </c>
      <c r="BD43" s="190">
        <v>0</v>
      </c>
      <c r="BE43" s="190">
        <v>1320</v>
      </c>
      <c r="BF43" s="190">
        <v>34</v>
      </c>
      <c r="BG43" s="190">
        <v>56</v>
      </c>
      <c r="BH43" s="190">
        <v>44</v>
      </c>
      <c r="BI43" s="190">
        <v>1410</v>
      </c>
      <c r="BJ43" s="190">
        <v>1454</v>
      </c>
      <c r="BK43" s="190">
        <v>-46</v>
      </c>
      <c r="BL43" s="190">
        <v>46</v>
      </c>
      <c r="BM43" s="190">
        <v>0</v>
      </c>
      <c r="BN43" s="190">
        <v>8</v>
      </c>
      <c r="BO43" s="190">
        <v>28</v>
      </c>
      <c r="BP43" s="190">
        <v>36</v>
      </c>
      <c r="BQ43" s="190">
        <v>17</v>
      </c>
      <c r="BR43" s="190">
        <v>241</v>
      </c>
      <c r="BS43" s="190">
        <v>258</v>
      </c>
      <c r="BT43" s="190">
        <v>71</v>
      </c>
      <c r="BU43" s="190">
        <v>822</v>
      </c>
      <c r="BV43" s="190">
        <v>893</v>
      </c>
      <c r="BW43" s="190">
        <v>2245</v>
      </c>
      <c r="BX43" s="190">
        <v>32401</v>
      </c>
      <c r="BY43" s="190">
        <v>34646</v>
      </c>
      <c r="BZ43" s="190">
        <v>2092</v>
      </c>
      <c r="CA43" s="190">
        <v>30640</v>
      </c>
      <c r="CB43" s="190">
        <v>32732</v>
      </c>
      <c r="CC43" s="190">
        <v>51539</v>
      </c>
      <c r="CD43" s="190">
        <v>99</v>
      </c>
      <c r="CE43" s="190">
        <v>1226</v>
      </c>
      <c r="CF43" s="190">
        <v>144</v>
      </c>
      <c r="CG43" s="190">
        <v>817</v>
      </c>
      <c r="CH43" s="190">
        <v>961</v>
      </c>
      <c r="CI43" s="190">
        <v>1268</v>
      </c>
      <c r="CJ43" s="190">
        <v>62</v>
      </c>
      <c r="CK43" s="190">
        <v>9</v>
      </c>
      <c r="CL43" s="190">
        <v>944</v>
      </c>
      <c r="CM43" s="190">
        <v>953</v>
      </c>
      <c r="CN43" s="190">
        <v>157</v>
      </c>
      <c r="CO43" s="190">
        <v>2901</v>
      </c>
      <c r="CP43" s="190">
        <v>3058</v>
      </c>
      <c r="CQ43" s="190">
        <v>0</v>
      </c>
      <c r="CR43" s="190">
        <v>1</v>
      </c>
      <c r="CS43" s="190">
        <v>1</v>
      </c>
      <c r="CT43" s="190">
        <v>2088</v>
      </c>
      <c r="CU43" s="190">
        <v>29500</v>
      </c>
      <c r="CV43" s="190">
        <v>31588</v>
      </c>
      <c r="CW43" s="190">
        <v>128</v>
      </c>
      <c r="CX43" s="190">
        <v>1082</v>
      </c>
      <c r="CY43" s="190">
        <v>1210</v>
      </c>
      <c r="CZ43" s="190">
        <v>120</v>
      </c>
      <c r="DA43" s="190">
        <v>6</v>
      </c>
      <c r="DB43" s="190">
        <v>1</v>
      </c>
      <c r="DC43" s="190">
        <v>980</v>
      </c>
      <c r="DD43" s="190">
        <v>49</v>
      </c>
      <c r="DE43" s="190">
        <v>21</v>
      </c>
      <c r="DF43" s="190">
        <v>127</v>
      </c>
      <c r="DG43" s="190">
        <v>1050</v>
      </c>
      <c r="DH43" s="190">
        <v>1177</v>
      </c>
      <c r="DI43" s="190">
        <v>1</v>
      </c>
      <c r="DJ43" s="190">
        <v>0</v>
      </c>
      <c r="DK43" s="190">
        <v>0</v>
      </c>
      <c r="DL43" s="190">
        <v>31</v>
      </c>
      <c r="DM43" s="190">
        <v>0</v>
      </c>
      <c r="DN43" s="190">
        <v>1</v>
      </c>
      <c r="DO43" s="190">
        <v>1</v>
      </c>
      <c r="DP43" s="190">
        <v>32</v>
      </c>
      <c r="DQ43" s="190">
        <v>33</v>
      </c>
      <c r="DR43" s="190">
        <v>1</v>
      </c>
      <c r="DS43" s="190">
        <v>1</v>
      </c>
      <c r="DT43" s="191">
        <v>2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2965</v>
      </c>
      <c r="C44" s="190">
        <v>946</v>
      </c>
      <c r="D44" s="190">
        <v>2910</v>
      </c>
      <c r="E44" s="190">
        <v>1894</v>
      </c>
      <c r="F44" s="190">
        <v>6</v>
      </c>
      <c r="G44" s="190">
        <v>59</v>
      </c>
      <c r="H44" s="190">
        <v>65</v>
      </c>
      <c r="I44" s="190">
        <v>1</v>
      </c>
      <c r="J44" s="190">
        <v>876</v>
      </c>
      <c r="K44" s="190">
        <v>877</v>
      </c>
      <c r="L44" s="190">
        <v>1</v>
      </c>
      <c r="M44" s="190">
        <v>434</v>
      </c>
      <c r="N44" s="190">
        <v>435</v>
      </c>
      <c r="O44" s="190">
        <v>0</v>
      </c>
      <c r="P44" s="190">
        <v>442</v>
      </c>
      <c r="Q44" s="190">
        <v>442</v>
      </c>
      <c r="R44" s="190">
        <v>0</v>
      </c>
      <c r="S44" s="190">
        <v>21</v>
      </c>
      <c r="T44" s="190">
        <v>21</v>
      </c>
      <c r="U44" s="190">
        <v>0</v>
      </c>
      <c r="V44" s="190">
        <v>139</v>
      </c>
      <c r="W44" s="190">
        <v>139</v>
      </c>
      <c r="X44" s="190">
        <v>108</v>
      </c>
      <c r="Y44" s="190">
        <v>2798</v>
      </c>
      <c r="Z44" s="190">
        <v>2906</v>
      </c>
      <c r="AA44" s="190">
        <v>69</v>
      </c>
      <c r="AB44" s="190">
        <v>1121</v>
      </c>
      <c r="AC44" s="190">
        <v>1190</v>
      </c>
      <c r="AD44" s="190">
        <v>64</v>
      </c>
      <c r="AE44" s="190">
        <v>1024</v>
      </c>
      <c r="AF44" s="190">
        <v>1088</v>
      </c>
      <c r="AG44" s="190">
        <v>3</v>
      </c>
      <c r="AH44" s="190">
        <v>49</v>
      </c>
      <c r="AI44" s="190">
        <v>52</v>
      </c>
      <c r="AJ44" s="190">
        <v>2</v>
      </c>
      <c r="AK44" s="190">
        <v>48</v>
      </c>
      <c r="AL44" s="190">
        <v>50</v>
      </c>
      <c r="AM44" s="190">
        <v>39</v>
      </c>
      <c r="AN44" s="190">
        <v>1677</v>
      </c>
      <c r="AO44" s="190">
        <v>1716</v>
      </c>
      <c r="AP44" s="190">
        <v>6642</v>
      </c>
      <c r="AQ44" s="190">
        <v>40439</v>
      </c>
      <c r="AR44" s="190">
        <v>47081</v>
      </c>
      <c r="AS44" s="190">
        <v>6643</v>
      </c>
      <c r="AT44" s="190">
        <v>40440</v>
      </c>
      <c r="AU44" s="190">
        <v>47083</v>
      </c>
      <c r="AV44" s="190">
        <v>-1</v>
      </c>
      <c r="AW44" s="190">
        <v>-1</v>
      </c>
      <c r="AX44" s="190">
        <v>-2</v>
      </c>
      <c r="AY44" s="190">
        <v>327</v>
      </c>
      <c r="AZ44" s="190">
        <v>3337</v>
      </c>
      <c r="BA44" s="190">
        <v>3664</v>
      </c>
      <c r="BB44" s="190">
        <v>147</v>
      </c>
      <c r="BC44" s="190">
        <v>3</v>
      </c>
      <c r="BD44" s="190">
        <v>0</v>
      </c>
      <c r="BE44" s="190">
        <v>1714</v>
      </c>
      <c r="BF44" s="190">
        <v>24</v>
      </c>
      <c r="BG44" s="190">
        <v>6</v>
      </c>
      <c r="BH44" s="190">
        <v>150</v>
      </c>
      <c r="BI44" s="190">
        <v>1744</v>
      </c>
      <c r="BJ44" s="190">
        <v>1894</v>
      </c>
      <c r="BK44" s="190">
        <v>-43</v>
      </c>
      <c r="BL44" s="190">
        <v>43</v>
      </c>
      <c r="BM44" s="190">
        <v>0</v>
      </c>
      <c r="BN44" s="190">
        <v>27</v>
      </c>
      <c r="BO44" s="190">
        <v>125</v>
      </c>
      <c r="BP44" s="190">
        <v>152</v>
      </c>
      <c r="BQ44" s="190">
        <v>59</v>
      </c>
      <c r="BR44" s="190">
        <v>554</v>
      </c>
      <c r="BS44" s="190">
        <v>613</v>
      </c>
      <c r="BT44" s="190">
        <v>134</v>
      </c>
      <c r="BU44" s="190">
        <v>871</v>
      </c>
      <c r="BV44" s="190">
        <v>1005</v>
      </c>
      <c r="BW44" s="190">
        <v>6969</v>
      </c>
      <c r="BX44" s="190">
        <v>43776</v>
      </c>
      <c r="BY44" s="190">
        <v>50745</v>
      </c>
      <c r="BZ44" s="190">
        <v>6908</v>
      </c>
      <c r="CA44" s="190">
        <v>43155</v>
      </c>
      <c r="CB44" s="190">
        <v>50063</v>
      </c>
      <c r="CC44" s="190">
        <v>112679</v>
      </c>
      <c r="CD44" s="190">
        <v>43</v>
      </c>
      <c r="CE44" s="190">
        <v>604</v>
      </c>
      <c r="CF44" s="190">
        <v>60</v>
      </c>
      <c r="CG44" s="190">
        <v>461</v>
      </c>
      <c r="CH44" s="190">
        <v>521</v>
      </c>
      <c r="CI44" s="190">
        <v>206</v>
      </c>
      <c r="CJ44" s="190">
        <v>20</v>
      </c>
      <c r="CK44" s="190">
        <v>1</v>
      </c>
      <c r="CL44" s="190">
        <v>160</v>
      </c>
      <c r="CM44" s="190">
        <v>161</v>
      </c>
      <c r="CN44" s="190">
        <v>429</v>
      </c>
      <c r="CO44" s="190">
        <v>3809</v>
      </c>
      <c r="CP44" s="190">
        <v>4238</v>
      </c>
      <c r="CQ44" s="190">
        <v>0</v>
      </c>
      <c r="CR44" s="190">
        <v>1</v>
      </c>
      <c r="CS44" s="190">
        <v>1</v>
      </c>
      <c r="CT44" s="190">
        <v>6540</v>
      </c>
      <c r="CU44" s="190">
        <v>39967</v>
      </c>
      <c r="CV44" s="190">
        <v>46507</v>
      </c>
      <c r="CW44" s="190">
        <v>356</v>
      </c>
      <c r="CX44" s="190">
        <v>2004</v>
      </c>
      <c r="CY44" s="190">
        <v>2360</v>
      </c>
      <c r="CZ44" s="190">
        <v>349</v>
      </c>
      <c r="DA44" s="190">
        <v>4</v>
      </c>
      <c r="DB44" s="190">
        <v>0</v>
      </c>
      <c r="DC44" s="190">
        <v>1956</v>
      </c>
      <c r="DD44" s="190">
        <v>23</v>
      </c>
      <c r="DE44" s="190">
        <v>7</v>
      </c>
      <c r="DF44" s="190">
        <v>353</v>
      </c>
      <c r="DG44" s="190">
        <v>1986</v>
      </c>
      <c r="DH44" s="190">
        <v>2339</v>
      </c>
      <c r="DI44" s="190">
        <v>3</v>
      </c>
      <c r="DJ44" s="190">
        <v>0</v>
      </c>
      <c r="DK44" s="190">
        <v>0</v>
      </c>
      <c r="DL44" s="190">
        <v>18</v>
      </c>
      <c r="DM44" s="190">
        <v>0</v>
      </c>
      <c r="DN44" s="190">
        <v>0</v>
      </c>
      <c r="DO44" s="190">
        <v>3</v>
      </c>
      <c r="DP44" s="190">
        <v>18</v>
      </c>
      <c r="DQ44" s="190">
        <v>21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678</v>
      </c>
      <c r="C45" s="190">
        <v>153</v>
      </c>
      <c r="D45" s="190">
        <v>684</v>
      </c>
      <c r="E45" s="190">
        <v>368</v>
      </c>
      <c r="F45" s="190">
        <v>0</v>
      </c>
      <c r="G45" s="190">
        <v>7</v>
      </c>
      <c r="H45" s="190">
        <v>7</v>
      </c>
      <c r="I45" s="190">
        <v>1</v>
      </c>
      <c r="J45" s="190">
        <v>211</v>
      </c>
      <c r="K45" s="190">
        <v>212</v>
      </c>
      <c r="L45" s="190">
        <v>0</v>
      </c>
      <c r="M45" s="190">
        <v>61</v>
      </c>
      <c r="N45" s="190">
        <v>61</v>
      </c>
      <c r="O45" s="190">
        <v>1</v>
      </c>
      <c r="P45" s="190">
        <v>150</v>
      </c>
      <c r="Q45" s="190">
        <v>151</v>
      </c>
      <c r="R45" s="190">
        <v>0</v>
      </c>
      <c r="S45" s="190">
        <v>13</v>
      </c>
      <c r="T45" s="190">
        <v>13</v>
      </c>
      <c r="U45" s="190">
        <v>0</v>
      </c>
      <c r="V45" s="190">
        <v>104</v>
      </c>
      <c r="W45" s="190">
        <v>104</v>
      </c>
      <c r="X45" s="190">
        <v>10</v>
      </c>
      <c r="Y45" s="190">
        <v>289</v>
      </c>
      <c r="Z45" s="190">
        <v>299</v>
      </c>
      <c r="AA45" s="190">
        <v>7</v>
      </c>
      <c r="AB45" s="190">
        <v>180</v>
      </c>
      <c r="AC45" s="190">
        <v>187</v>
      </c>
      <c r="AD45" s="190">
        <v>7</v>
      </c>
      <c r="AE45" s="190">
        <v>177</v>
      </c>
      <c r="AF45" s="190">
        <v>184</v>
      </c>
      <c r="AG45" s="190">
        <v>0</v>
      </c>
      <c r="AH45" s="190">
        <v>2</v>
      </c>
      <c r="AI45" s="190">
        <v>2</v>
      </c>
      <c r="AJ45" s="190">
        <v>0</v>
      </c>
      <c r="AK45" s="190">
        <v>1</v>
      </c>
      <c r="AL45" s="190">
        <v>1</v>
      </c>
      <c r="AM45" s="190">
        <v>3</v>
      </c>
      <c r="AN45" s="190">
        <v>109</v>
      </c>
      <c r="AO45" s="190">
        <v>112</v>
      </c>
      <c r="AP45" s="190">
        <v>809</v>
      </c>
      <c r="AQ45" s="190">
        <v>8069</v>
      </c>
      <c r="AR45" s="190">
        <v>8878</v>
      </c>
      <c r="AS45" s="190">
        <v>809</v>
      </c>
      <c r="AT45" s="190">
        <v>8069</v>
      </c>
      <c r="AU45" s="190">
        <v>8878</v>
      </c>
      <c r="AV45" s="190">
        <v>0</v>
      </c>
      <c r="AW45" s="190">
        <v>0</v>
      </c>
      <c r="AX45" s="190">
        <v>0</v>
      </c>
      <c r="AY45" s="190">
        <v>32</v>
      </c>
      <c r="AZ45" s="190">
        <v>771</v>
      </c>
      <c r="BA45" s="190">
        <v>803</v>
      </c>
      <c r="BB45" s="190">
        <v>25</v>
      </c>
      <c r="BC45" s="190">
        <v>1</v>
      </c>
      <c r="BD45" s="190">
        <v>0</v>
      </c>
      <c r="BE45" s="190">
        <v>337</v>
      </c>
      <c r="BF45" s="190">
        <v>5</v>
      </c>
      <c r="BG45" s="190">
        <v>0</v>
      </c>
      <c r="BH45" s="190">
        <v>26</v>
      </c>
      <c r="BI45" s="190">
        <v>342</v>
      </c>
      <c r="BJ45" s="190">
        <v>368</v>
      </c>
      <c r="BK45" s="190">
        <v>-28</v>
      </c>
      <c r="BL45" s="190">
        <v>28</v>
      </c>
      <c r="BM45" s="190">
        <v>0</v>
      </c>
      <c r="BN45" s="190">
        <v>0</v>
      </c>
      <c r="BO45" s="190">
        <v>19</v>
      </c>
      <c r="BP45" s="190">
        <v>19</v>
      </c>
      <c r="BQ45" s="190">
        <v>14</v>
      </c>
      <c r="BR45" s="190">
        <v>139</v>
      </c>
      <c r="BS45" s="190">
        <v>153</v>
      </c>
      <c r="BT45" s="190">
        <v>20</v>
      </c>
      <c r="BU45" s="190">
        <v>243</v>
      </c>
      <c r="BV45" s="190">
        <v>263</v>
      </c>
      <c r="BW45" s="190">
        <v>841</v>
      </c>
      <c r="BX45" s="190">
        <v>8840</v>
      </c>
      <c r="BY45" s="190">
        <v>9681</v>
      </c>
      <c r="BZ45" s="190">
        <v>835</v>
      </c>
      <c r="CA45" s="190">
        <v>8791</v>
      </c>
      <c r="CB45" s="190">
        <v>9626</v>
      </c>
      <c r="CC45" s="190">
        <v>17483</v>
      </c>
      <c r="CD45" s="190">
        <v>0</v>
      </c>
      <c r="CE45" s="190">
        <v>57</v>
      </c>
      <c r="CF45" s="190">
        <v>6</v>
      </c>
      <c r="CG45" s="190">
        <v>41</v>
      </c>
      <c r="CH45" s="190">
        <v>47</v>
      </c>
      <c r="CI45" s="190">
        <v>7</v>
      </c>
      <c r="CJ45" s="190">
        <v>2</v>
      </c>
      <c r="CK45" s="190">
        <v>0</v>
      </c>
      <c r="CL45" s="190">
        <v>8</v>
      </c>
      <c r="CM45" s="190">
        <v>8</v>
      </c>
      <c r="CN45" s="190">
        <v>62</v>
      </c>
      <c r="CO45" s="190">
        <v>874</v>
      </c>
      <c r="CP45" s="190">
        <v>936</v>
      </c>
      <c r="CQ45" s="190">
        <v>0</v>
      </c>
      <c r="CR45" s="190">
        <v>2</v>
      </c>
      <c r="CS45" s="190">
        <v>2</v>
      </c>
      <c r="CT45" s="190">
        <v>779</v>
      </c>
      <c r="CU45" s="190">
        <v>7966</v>
      </c>
      <c r="CV45" s="190">
        <v>8745</v>
      </c>
      <c r="CW45" s="190">
        <v>62</v>
      </c>
      <c r="CX45" s="190">
        <v>473</v>
      </c>
      <c r="CY45" s="190">
        <v>535</v>
      </c>
      <c r="CZ45" s="190">
        <v>60</v>
      </c>
      <c r="DA45" s="190">
        <v>0</v>
      </c>
      <c r="DB45" s="190">
        <v>0</v>
      </c>
      <c r="DC45" s="190">
        <v>435</v>
      </c>
      <c r="DD45" s="190">
        <v>3</v>
      </c>
      <c r="DE45" s="190">
        <v>0</v>
      </c>
      <c r="DF45" s="190">
        <v>60</v>
      </c>
      <c r="DG45" s="190">
        <v>438</v>
      </c>
      <c r="DH45" s="190">
        <v>498</v>
      </c>
      <c r="DI45" s="190">
        <v>2</v>
      </c>
      <c r="DJ45" s="190">
        <v>0</v>
      </c>
      <c r="DK45" s="190">
        <v>0</v>
      </c>
      <c r="DL45" s="190">
        <v>35</v>
      </c>
      <c r="DM45" s="190">
        <v>0</v>
      </c>
      <c r="DN45" s="190">
        <v>0</v>
      </c>
      <c r="DO45" s="190">
        <v>2</v>
      </c>
      <c r="DP45" s="190">
        <v>35</v>
      </c>
      <c r="DQ45" s="190">
        <v>37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 ht="15.75">
      <c r="A46" s="189" t="s">
        <v>367</v>
      </c>
      <c r="B46" s="190">
        <v>1001</v>
      </c>
      <c r="C46" s="190">
        <v>209</v>
      </c>
      <c r="D46" s="190">
        <v>1039</v>
      </c>
      <c r="E46" s="190">
        <v>534</v>
      </c>
      <c r="F46" s="190">
        <v>0</v>
      </c>
      <c r="G46" s="190">
        <v>17</v>
      </c>
      <c r="H46" s="190">
        <v>17</v>
      </c>
      <c r="I46" s="190">
        <v>1</v>
      </c>
      <c r="J46" s="190">
        <v>418</v>
      </c>
      <c r="K46" s="190">
        <v>419</v>
      </c>
      <c r="L46" s="190">
        <v>1</v>
      </c>
      <c r="M46" s="190">
        <v>418</v>
      </c>
      <c r="N46" s="190">
        <v>419</v>
      </c>
      <c r="O46" s="190">
        <v>0</v>
      </c>
      <c r="P46" s="190">
        <v>0</v>
      </c>
      <c r="Q46" s="190">
        <v>0</v>
      </c>
      <c r="R46" s="190">
        <v>0</v>
      </c>
      <c r="S46" s="190">
        <v>36</v>
      </c>
      <c r="T46" s="190">
        <v>36</v>
      </c>
      <c r="U46" s="190">
        <v>0</v>
      </c>
      <c r="V46" s="190">
        <v>86</v>
      </c>
      <c r="W46" s="190">
        <v>86</v>
      </c>
      <c r="X46" s="190">
        <v>12</v>
      </c>
      <c r="Y46" s="190">
        <v>1027</v>
      </c>
      <c r="Z46" s="190">
        <v>1039</v>
      </c>
      <c r="AA46" s="190">
        <v>9</v>
      </c>
      <c r="AB46" s="190">
        <v>285</v>
      </c>
      <c r="AC46" s="190">
        <v>294</v>
      </c>
      <c r="AD46" s="190">
        <v>7</v>
      </c>
      <c r="AE46" s="190">
        <v>249</v>
      </c>
      <c r="AF46" s="190">
        <v>256</v>
      </c>
      <c r="AG46" s="190">
        <v>0</v>
      </c>
      <c r="AH46" s="190">
        <v>17</v>
      </c>
      <c r="AI46" s="190">
        <v>17</v>
      </c>
      <c r="AJ46" s="190">
        <v>2</v>
      </c>
      <c r="AK46" s="190">
        <v>19</v>
      </c>
      <c r="AL46" s="190">
        <v>21</v>
      </c>
      <c r="AM46" s="190">
        <v>3</v>
      </c>
      <c r="AN46" s="190">
        <v>742</v>
      </c>
      <c r="AO46" s="190">
        <v>745</v>
      </c>
      <c r="AP46" s="190">
        <v>766</v>
      </c>
      <c r="AQ46" s="190">
        <v>12356</v>
      </c>
      <c r="AR46" s="190">
        <v>13122</v>
      </c>
      <c r="AS46" s="190">
        <v>780</v>
      </c>
      <c r="AT46" s="190">
        <v>12451</v>
      </c>
      <c r="AU46" s="190">
        <v>13231</v>
      </c>
      <c r="AV46" s="190">
        <v>-14</v>
      </c>
      <c r="AW46" s="190">
        <v>-95</v>
      </c>
      <c r="AX46" s="190">
        <v>-109</v>
      </c>
      <c r="AY46" s="190">
        <v>45</v>
      </c>
      <c r="AZ46" s="190">
        <v>1410</v>
      </c>
      <c r="BA46" s="190">
        <v>1455</v>
      </c>
      <c r="BB46" s="190">
        <v>12</v>
      </c>
      <c r="BC46" s="190">
        <v>2</v>
      </c>
      <c r="BD46" s="190">
        <v>0</v>
      </c>
      <c r="BE46" s="190">
        <v>500</v>
      </c>
      <c r="BF46" s="190">
        <v>12</v>
      </c>
      <c r="BG46" s="190">
        <v>8</v>
      </c>
      <c r="BH46" s="190">
        <v>14</v>
      </c>
      <c r="BI46" s="190">
        <v>520</v>
      </c>
      <c r="BJ46" s="190">
        <v>534</v>
      </c>
      <c r="BK46" s="190">
        <v>-6</v>
      </c>
      <c r="BL46" s="190">
        <v>6</v>
      </c>
      <c r="BM46" s="190">
        <v>0</v>
      </c>
      <c r="BN46" s="190">
        <v>16</v>
      </c>
      <c r="BO46" s="190">
        <v>16</v>
      </c>
      <c r="BP46" s="190">
        <v>32</v>
      </c>
      <c r="BQ46" s="190">
        <v>0</v>
      </c>
      <c r="BR46" s="190">
        <v>219</v>
      </c>
      <c r="BS46" s="190">
        <v>219</v>
      </c>
      <c r="BT46" s="190">
        <v>21</v>
      </c>
      <c r="BU46" s="190">
        <v>649</v>
      </c>
      <c r="BV46" s="190">
        <v>670</v>
      </c>
      <c r="BW46" s="190">
        <v>811</v>
      </c>
      <c r="BX46" s="190">
        <v>13766</v>
      </c>
      <c r="BY46" s="190">
        <v>14577</v>
      </c>
      <c r="BZ46" s="190">
        <v>787</v>
      </c>
      <c r="CA46" s="190">
        <v>13189</v>
      </c>
      <c r="CB46" s="190">
        <v>13976</v>
      </c>
      <c r="CC46" s="190">
        <v>27679</v>
      </c>
      <c r="CD46" s="190">
        <v>32</v>
      </c>
      <c r="CE46" s="190">
        <v>545</v>
      </c>
      <c r="CF46" s="190">
        <v>23</v>
      </c>
      <c r="CG46" s="190">
        <v>421</v>
      </c>
      <c r="CH46" s="190">
        <v>444</v>
      </c>
      <c r="CI46" s="190">
        <v>199</v>
      </c>
      <c r="CJ46" s="190">
        <v>5</v>
      </c>
      <c r="CK46" s="190">
        <v>1</v>
      </c>
      <c r="CL46" s="190">
        <v>156</v>
      </c>
      <c r="CM46" s="190">
        <v>157</v>
      </c>
      <c r="CN46" s="190">
        <v>42</v>
      </c>
      <c r="CO46" s="190">
        <v>1357</v>
      </c>
      <c r="CP46" s="190">
        <v>1399</v>
      </c>
      <c r="CQ46" s="190">
        <v>0</v>
      </c>
      <c r="CR46" s="190">
        <v>0</v>
      </c>
      <c r="CS46" s="190">
        <v>0</v>
      </c>
      <c r="CT46" s="190">
        <v>769</v>
      </c>
      <c r="CU46" s="190">
        <v>12409</v>
      </c>
      <c r="CV46" s="190">
        <v>13178</v>
      </c>
      <c r="CW46" s="190">
        <v>49</v>
      </c>
      <c r="CX46" s="190">
        <v>606</v>
      </c>
      <c r="CY46" s="190">
        <v>655</v>
      </c>
      <c r="CZ46" s="190">
        <v>46</v>
      </c>
      <c r="DA46" s="190">
        <v>3</v>
      </c>
      <c r="DB46" s="190">
        <v>0</v>
      </c>
      <c r="DC46" s="190">
        <v>571</v>
      </c>
      <c r="DD46" s="190">
        <v>12</v>
      </c>
      <c r="DE46" s="190">
        <v>6</v>
      </c>
      <c r="DF46" s="190">
        <v>49</v>
      </c>
      <c r="DG46" s="190">
        <v>589</v>
      </c>
      <c r="DH46" s="190">
        <v>638</v>
      </c>
      <c r="DI46" s="190">
        <v>0</v>
      </c>
      <c r="DJ46" s="190">
        <v>0</v>
      </c>
      <c r="DK46" s="190">
        <v>0</v>
      </c>
      <c r="DL46" s="190">
        <v>15</v>
      </c>
      <c r="DM46" s="190">
        <v>2</v>
      </c>
      <c r="DN46" s="190">
        <v>0</v>
      </c>
      <c r="DO46" s="190">
        <v>0</v>
      </c>
      <c r="DP46" s="190">
        <v>17</v>
      </c>
      <c r="DQ46" s="190">
        <v>17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1949</v>
      </c>
      <c r="C47" s="190">
        <v>433</v>
      </c>
      <c r="D47" s="190">
        <v>1560</v>
      </c>
      <c r="E47" s="190">
        <v>1088</v>
      </c>
      <c r="F47" s="190">
        <v>6</v>
      </c>
      <c r="G47" s="190">
        <v>88</v>
      </c>
      <c r="H47" s="190">
        <v>94</v>
      </c>
      <c r="I47" s="190">
        <v>2</v>
      </c>
      <c r="J47" s="190">
        <v>408</v>
      </c>
      <c r="K47" s="190">
        <v>410</v>
      </c>
      <c r="L47" s="190">
        <v>1</v>
      </c>
      <c r="M47" s="190">
        <v>153</v>
      </c>
      <c r="N47" s="190">
        <v>154</v>
      </c>
      <c r="O47" s="190">
        <v>1</v>
      </c>
      <c r="P47" s="190">
        <v>255</v>
      </c>
      <c r="Q47" s="190">
        <v>256</v>
      </c>
      <c r="R47" s="190">
        <v>0</v>
      </c>
      <c r="S47" s="190">
        <v>54</v>
      </c>
      <c r="T47" s="190">
        <v>54</v>
      </c>
      <c r="U47" s="190">
        <v>0</v>
      </c>
      <c r="V47" s="190">
        <v>62</v>
      </c>
      <c r="W47" s="190">
        <v>62</v>
      </c>
      <c r="X47" s="190">
        <v>33</v>
      </c>
      <c r="Y47" s="190">
        <v>529</v>
      </c>
      <c r="Z47" s="190">
        <v>562</v>
      </c>
      <c r="AA47" s="190">
        <v>24</v>
      </c>
      <c r="AB47" s="190">
        <v>306</v>
      </c>
      <c r="AC47" s="190">
        <v>330</v>
      </c>
      <c r="AD47" s="190">
        <v>21</v>
      </c>
      <c r="AE47" s="190">
        <v>267</v>
      </c>
      <c r="AF47" s="190">
        <v>288</v>
      </c>
      <c r="AG47" s="190">
        <v>3</v>
      </c>
      <c r="AH47" s="190">
        <v>27</v>
      </c>
      <c r="AI47" s="190">
        <v>30</v>
      </c>
      <c r="AJ47" s="190">
        <v>0</v>
      </c>
      <c r="AK47" s="190">
        <v>12</v>
      </c>
      <c r="AL47" s="190">
        <v>12</v>
      </c>
      <c r="AM47" s="190">
        <v>9</v>
      </c>
      <c r="AN47" s="190">
        <v>223</v>
      </c>
      <c r="AO47" s="190">
        <v>232</v>
      </c>
      <c r="AP47" s="190">
        <v>1807</v>
      </c>
      <c r="AQ47" s="190">
        <v>14256</v>
      </c>
      <c r="AR47" s="190">
        <v>16063</v>
      </c>
      <c r="AS47" s="190">
        <v>1818</v>
      </c>
      <c r="AT47" s="190">
        <v>14257</v>
      </c>
      <c r="AU47" s="190">
        <v>16075</v>
      </c>
      <c r="AV47" s="190">
        <v>-11</v>
      </c>
      <c r="AW47" s="190">
        <v>-1</v>
      </c>
      <c r="AX47" s="190">
        <v>-12</v>
      </c>
      <c r="AY47" s="190">
        <v>176</v>
      </c>
      <c r="AZ47" s="190">
        <v>1617</v>
      </c>
      <c r="BA47" s="190">
        <v>1793</v>
      </c>
      <c r="BB47" s="190">
        <v>64</v>
      </c>
      <c r="BC47" s="190">
        <v>5</v>
      </c>
      <c r="BD47" s="190">
        <v>0</v>
      </c>
      <c r="BE47" s="190">
        <v>1000</v>
      </c>
      <c r="BF47" s="190">
        <v>15</v>
      </c>
      <c r="BG47" s="190">
        <v>4</v>
      </c>
      <c r="BH47" s="190">
        <v>69</v>
      </c>
      <c r="BI47" s="190">
        <v>1019</v>
      </c>
      <c r="BJ47" s="190">
        <v>1088</v>
      </c>
      <c r="BK47" s="190">
        <v>32</v>
      </c>
      <c r="BL47" s="190">
        <v>-32</v>
      </c>
      <c r="BM47" s="190">
        <v>0</v>
      </c>
      <c r="BN47" s="190">
        <v>2</v>
      </c>
      <c r="BO47" s="190">
        <v>22</v>
      </c>
      <c r="BP47" s="190">
        <v>24</v>
      </c>
      <c r="BQ47" s="190">
        <v>8</v>
      </c>
      <c r="BR47" s="190">
        <v>149</v>
      </c>
      <c r="BS47" s="190">
        <v>157</v>
      </c>
      <c r="BT47" s="190">
        <v>65</v>
      </c>
      <c r="BU47" s="190">
        <v>459</v>
      </c>
      <c r="BV47" s="190">
        <v>524</v>
      </c>
      <c r="BW47" s="190">
        <v>1983</v>
      </c>
      <c r="BX47" s="190">
        <v>15873</v>
      </c>
      <c r="BY47" s="190">
        <v>17856</v>
      </c>
      <c r="BZ47" s="190">
        <v>1962</v>
      </c>
      <c r="CA47" s="190">
        <v>15677</v>
      </c>
      <c r="CB47" s="190">
        <v>17639</v>
      </c>
      <c r="CC47" s="190">
        <v>37035</v>
      </c>
      <c r="CD47" s="190">
        <v>20</v>
      </c>
      <c r="CE47" s="190">
        <v>131</v>
      </c>
      <c r="CF47" s="190">
        <v>21</v>
      </c>
      <c r="CG47" s="190">
        <v>130</v>
      </c>
      <c r="CH47" s="190">
        <v>151</v>
      </c>
      <c r="CI47" s="190">
        <v>0</v>
      </c>
      <c r="CJ47" s="190">
        <v>82</v>
      </c>
      <c r="CK47" s="190">
        <v>0</v>
      </c>
      <c r="CL47" s="190">
        <v>66</v>
      </c>
      <c r="CM47" s="190">
        <v>66</v>
      </c>
      <c r="CN47" s="190">
        <v>134</v>
      </c>
      <c r="CO47" s="190">
        <v>1513</v>
      </c>
      <c r="CP47" s="190">
        <v>1647</v>
      </c>
      <c r="CQ47" s="190">
        <v>0</v>
      </c>
      <c r="CR47" s="190">
        <v>0</v>
      </c>
      <c r="CS47" s="190">
        <v>0</v>
      </c>
      <c r="CT47" s="190">
        <v>1849</v>
      </c>
      <c r="CU47" s="190">
        <v>14360</v>
      </c>
      <c r="CV47" s="190">
        <v>16209</v>
      </c>
      <c r="CW47" s="190">
        <v>167</v>
      </c>
      <c r="CX47" s="190">
        <v>775</v>
      </c>
      <c r="CY47" s="190">
        <v>942</v>
      </c>
      <c r="CZ47" s="190">
        <v>164</v>
      </c>
      <c r="DA47" s="190">
        <v>1</v>
      </c>
      <c r="DB47" s="190">
        <v>0</v>
      </c>
      <c r="DC47" s="190">
        <v>743</v>
      </c>
      <c r="DD47" s="190">
        <v>6</v>
      </c>
      <c r="DE47" s="190">
        <v>1</v>
      </c>
      <c r="DF47" s="190">
        <v>165</v>
      </c>
      <c r="DG47" s="190">
        <v>750</v>
      </c>
      <c r="DH47" s="190">
        <v>915</v>
      </c>
      <c r="DI47" s="190">
        <v>2</v>
      </c>
      <c r="DJ47" s="190">
        <v>0</v>
      </c>
      <c r="DK47" s="190">
        <v>0</v>
      </c>
      <c r="DL47" s="190">
        <v>24</v>
      </c>
      <c r="DM47" s="190">
        <v>1</v>
      </c>
      <c r="DN47" s="190">
        <v>0</v>
      </c>
      <c r="DO47" s="190">
        <v>2</v>
      </c>
      <c r="DP47" s="190">
        <v>25</v>
      </c>
      <c r="DQ47" s="190">
        <v>27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2693</v>
      </c>
      <c r="C48" s="190">
        <v>626</v>
      </c>
      <c r="D48" s="190">
        <v>2587</v>
      </c>
      <c r="E48" s="190">
        <v>1608</v>
      </c>
      <c r="F48" s="190">
        <v>1</v>
      </c>
      <c r="G48" s="190">
        <v>12</v>
      </c>
      <c r="H48" s="190">
        <v>13</v>
      </c>
      <c r="I48" s="190">
        <v>2</v>
      </c>
      <c r="J48" s="190">
        <v>729</v>
      </c>
      <c r="K48" s="190">
        <v>731</v>
      </c>
      <c r="L48" s="190">
        <v>2</v>
      </c>
      <c r="M48" s="190">
        <v>727</v>
      </c>
      <c r="N48" s="190">
        <v>729</v>
      </c>
      <c r="O48" s="190">
        <v>0</v>
      </c>
      <c r="P48" s="190">
        <v>2</v>
      </c>
      <c r="Q48" s="190">
        <v>2</v>
      </c>
      <c r="R48" s="190">
        <v>1</v>
      </c>
      <c r="S48" s="190">
        <v>24</v>
      </c>
      <c r="T48" s="190">
        <v>25</v>
      </c>
      <c r="U48" s="190">
        <v>0</v>
      </c>
      <c r="V48" s="190">
        <v>248</v>
      </c>
      <c r="W48" s="190">
        <v>248</v>
      </c>
      <c r="X48" s="190">
        <v>26</v>
      </c>
      <c r="Y48" s="190">
        <v>1253</v>
      </c>
      <c r="Z48" s="190">
        <v>1279</v>
      </c>
      <c r="AA48" s="190">
        <v>11</v>
      </c>
      <c r="AB48" s="190">
        <v>429</v>
      </c>
      <c r="AC48" s="190">
        <v>440</v>
      </c>
      <c r="AD48" s="190">
        <v>11</v>
      </c>
      <c r="AE48" s="190">
        <v>402</v>
      </c>
      <c r="AF48" s="190">
        <v>413</v>
      </c>
      <c r="AG48" s="190">
        <v>0</v>
      </c>
      <c r="AH48" s="190">
        <v>24</v>
      </c>
      <c r="AI48" s="190">
        <v>24</v>
      </c>
      <c r="AJ48" s="190">
        <v>0</v>
      </c>
      <c r="AK48" s="190">
        <v>3</v>
      </c>
      <c r="AL48" s="190">
        <v>3</v>
      </c>
      <c r="AM48" s="190">
        <v>15</v>
      </c>
      <c r="AN48" s="190">
        <v>824</v>
      </c>
      <c r="AO48" s="190">
        <v>839</v>
      </c>
      <c r="AP48" s="190">
        <v>3972</v>
      </c>
      <c r="AQ48" s="190">
        <v>44177</v>
      </c>
      <c r="AR48" s="190">
        <v>48149</v>
      </c>
      <c r="AS48" s="190">
        <v>4198</v>
      </c>
      <c r="AT48" s="190">
        <v>43722</v>
      </c>
      <c r="AU48" s="190">
        <v>47920</v>
      </c>
      <c r="AV48" s="190">
        <v>-226</v>
      </c>
      <c r="AW48" s="190">
        <v>455</v>
      </c>
      <c r="AX48" s="190">
        <v>229</v>
      </c>
      <c r="AY48" s="190">
        <v>359</v>
      </c>
      <c r="AZ48" s="190">
        <v>2932</v>
      </c>
      <c r="BA48" s="190">
        <v>3291</v>
      </c>
      <c r="BB48" s="190">
        <v>112</v>
      </c>
      <c r="BC48" s="190">
        <v>4</v>
      </c>
      <c r="BD48" s="190">
        <v>0</v>
      </c>
      <c r="BE48" s="190">
        <v>1425</v>
      </c>
      <c r="BF48" s="190">
        <v>21</v>
      </c>
      <c r="BG48" s="190">
        <v>46</v>
      </c>
      <c r="BH48" s="190">
        <v>116</v>
      </c>
      <c r="BI48" s="190">
        <v>1492</v>
      </c>
      <c r="BJ48" s="190">
        <v>1608</v>
      </c>
      <c r="BK48" s="190">
        <v>104</v>
      </c>
      <c r="BL48" s="190">
        <v>-104</v>
      </c>
      <c r="BM48" s="190">
        <v>0</v>
      </c>
      <c r="BN48" s="190">
        <v>8</v>
      </c>
      <c r="BO48" s="190">
        <v>60</v>
      </c>
      <c r="BP48" s="190">
        <v>68</v>
      </c>
      <c r="BQ48" s="190">
        <v>17</v>
      </c>
      <c r="BR48" s="190">
        <v>187</v>
      </c>
      <c r="BS48" s="190">
        <v>204</v>
      </c>
      <c r="BT48" s="190">
        <v>114</v>
      </c>
      <c r="BU48" s="190">
        <v>1297</v>
      </c>
      <c r="BV48" s="190">
        <v>1411</v>
      </c>
      <c r="BW48" s="190">
        <v>4331</v>
      </c>
      <c r="BX48" s="190">
        <v>47109</v>
      </c>
      <c r="BY48" s="190">
        <v>51440</v>
      </c>
      <c r="BZ48" s="190">
        <v>4227</v>
      </c>
      <c r="CA48" s="190">
        <v>45593</v>
      </c>
      <c r="CB48" s="190">
        <v>49820</v>
      </c>
      <c r="CC48" s="190">
        <v>98636</v>
      </c>
      <c r="CD48" s="190">
        <v>97</v>
      </c>
      <c r="CE48" s="190">
        <v>1125</v>
      </c>
      <c r="CF48" s="190">
        <v>102</v>
      </c>
      <c r="CG48" s="190">
        <v>832</v>
      </c>
      <c r="CH48" s="190">
        <v>934</v>
      </c>
      <c r="CI48" s="190">
        <v>946</v>
      </c>
      <c r="CJ48" s="190">
        <v>18</v>
      </c>
      <c r="CK48" s="190">
        <v>2</v>
      </c>
      <c r="CL48" s="190">
        <v>684</v>
      </c>
      <c r="CM48" s="190">
        <v>686</v>
      </c>
      <c r="CN48" s="190">
        <v>270</v>
      </c>
      <c r="CO48" s="190">
        <v>3736</v>
      </c>
      <c r="CP48" s="190">
        <v>4006</v>
      </c>
      <c r="CQ48" s="190">
        <v>0</v>
      </c>
      <c r="CR48" s="190">
        <v>0</v>
      </c>
      <c r="CS48" s="190">
        <v>0</v>
      </c>
      <c r="CT48" s="190">
        <v>4061</v>
      </c>
      <c r="CU48" s="190">
        <v>43373</v>
      </c>
      <c r="CV48" s="190">
        <v>47434</v>
      </c>
      <c r="CW48" s="190">
        <v>300</v>
      </c>
      <c r="CX48" s="190">
        <v>2666</v>
      </c>
      <c r="CY48" s="190">
        <v>2966</v>
      </c>
      <c r="CZ48" s="190">
        <v>272</v>
      </c>
      <c r="DA48" s="190">
        <v>8</v>
      </c>
      <c r="DB48" s="190">
        <v>0</v>
      </c>
      <c r="DC48" s="190">
        <v>2232</v>
      </c>
      <c r="DD48" s="190">
        <v>47</v>
      </c>
      <c r="DE48" s="190">
        <v>37</v>
      </c>
      <c r="DF48" s="190">
        <v>280</v>
      </c>
      <c r="DG48" s="190">
        <v>2316</v>
      </c>
      <c r="DH48" s="190">
        <v>2596</v>
      </c>
      <c r="DI48" s="190">
        <v>19</v>
      </c>
      <c r="DJ48" s="190">
        <v>1</v>
      </c>
      <c r="DK48" s="190">
        <v>0</v>
      </c>
      <c r="DL48" s="190">
        <v>335</v>
      </c>
      <c r="DM48" s="190">
        <v>8</v>
      </c>
      <c r="DN48" s="190">
        <v>7</v>
      </c>
      <c r="DO48" s="190">
        <v>20</v>
      </c>
      <c r="DP48" s="190">
        <v>350</v>
      </c>
      <c r="DQ48" s="190">
        <v>370</v>
      </c>
      <c r="DR48" s="190">
        <v>1</v>
      </c>
      <c r="DS48" s="190">
        <v>10</v>
      </c>
      <c r="DT48" s="191">
        <v>11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1091</v>
      </c>
      <c r="C49" s="190">
        <v>300</v>
      </c>
      <c r="D49" s="190">
        <v>1004</v>
      </c>
      <c r="E49" s="190">
        <v>694</v>
      </c>
      <c r="F49" s="190">
        <v>3</v>
      </c>
      <c r="G49" s="190">
        <v>20</v>
      </c>
      <c r="H49" s="190">
        <v>23</v>
      </c>
      <c r="I49" s="190">
        <v>0</v>
      </c>
      <c r="J49" s="190">
        <v>253</v>
      </c>
      <c r="K49" s="190">
        <v>253</v>
      </c>
      <c r="L49" s="190">
        <v>0</v>
      </c>
      <c r="M49" s="190">
        <v>90</v>
      </c>
      <c r="N49" s="190">
        <v>90</v>
      </c>
      <c r="O49" s="190">
        <v>0</v>
      </c>
      <c r="P49" s="190">
        <v>163</v>
      </c>
      <c r="Q49" s="190">
        <v>163</v>
      </c>
      <c r="R49" s="190">
        <v>0</v>
      </c>
      <c r="S49" s="190">
        <v>55</v>
      </c>
      <c r="T49" s="190">
        <v>55</v>
      </c>
      <c r="U49" s="190">
        <v>0</v>
      </c>
      <c r="V49" s="190">
        <v>57</v>
      </c>
      <c r="W49" s="190">
        <v>57</v>
      </c>
      <c r="X49" s="190">
        <v>12</v>
      </c>
      <c r="Y49" s="190">
        <v>612</v>
      </c>
      <c r="Z49" s="190">
        <v>624</v>
      </c>
      <c r="AA49" s="190">
        <v>5</v>
      </c>
      <c r="AB49" s="190">
        <v>219</v>
      </c>
      <c r="AC49" s="190">
        <v>224</v>
      </c>
      <c r="AD49" s="190">
        <v>5</v>
      </c>
      <c r="AE49" s="190">
        <v>212</v>
      </c>
      <c r="AF49" s="190">
        <v>217</v>
      </c>
      <c r="AG49" s="190">
        <v>0</v>
      </c>
      <c r="AH49" s="190">
        <v>7</v>
      </c>
      <c r="AI49" s="190">
        <v>7</v>
      </c>
      <c r="AJ49" s="190">
        <v>0</v>
      </c>
      <c r="AK49" s="190">
        <v>0</v>
      </c>
      <c r="AL49" s="190">
        <v>0</v>
      </c>
      <c r="AM49" s="190">
        <v>7</v>
      </c>
      <c r="AN49" s="190">
        <v>393</v>
      </c>
      <c r="AO49" s="190">
        <v>400</v>
      </c>
      <c r="AP49" s="190">
        <v>972</v>
      </c>
      <c r="AQ49" s="190">
        <v>11774</v>
      </c>
      <c r="AR49" s="190">
        <v>12746</v>
      </c>
      <c r="AS49" s="190">
        <v>952</v>
      </c>
      <c r="AT49" s="190">
        <v>11715</v>
      </c>
      <c r="AU49" s="190">
        <v>12667</v>
      </c>
      <c r="AV49" s="190">
        <v>20</v>
      </c>
      <c r="AW49" s="190">
        <v>59</v>
      </c>
      <c r="AX49" s="190">
        <v>79</v>
      </c>
      <c r="AY49" s="190">
        <v>53</v>
      </c>
      <c r="AZ49" s="190">
        <v>1468</v>
      </c>
      <c r="BA49" s="190">
        <v>1521</v>
      </c>
      <c r="BB49" s="190">
        <v>27</v>
      </c>
      <c r="BC49" s="190">
        <v>0</v>
      </c>
      <c r="BD49" s="190">
        <v>0</v>
      </c>
      <c r="BE49" s="190">
        <v>666</v>
      </c>
      <c r="BF49" s="190">
        <v>1</v>
      </c>
      <c r="BG49" s="190">
        <v>0</v>
      </c>
      <c r="BH49" s="190">
        <v>27</v>
      </c>
      <c r="BI49" s="190">
        <v>667</v>
      </c>
      <c r="BJ49" s="190">
        <v>694</v>
      </c>
      <c r="BK49" s="190">
        <v>-37</v>
      </c>
      <c r="BL49" s="190">
        <v>37</v>
      </c>
      <c r="BM49" s="190">
        <v>0</v>
      </c>
      <c r="BN49" s="190">
        <v>2</v>
      </c>
      <c r="BO49" s="190">
        <v>21</v>
      </c>
      <c r="BP49" s="190">
        <v>23</v>
      </c>
      <c r="BQ49" s="190">
        <v>0</v>
      </c>
      <c r="BR49" s="190">
        <v>2</v>
      </c>
      <c r="BS49" s="190">
        <v>2</v>
      </c>
      <c r="BT49" s="190">
        <v>61</v>
      </c>
      <c r="BU49" s="190">
        <v>741</v>
      </c>
      <c r="BV49" s="190">
        <v>802</v>
      </c>
      <c r="BW49" s="190">
        <v>1025</v>
      </c>
      <c r="BX49" s="190">
        <v>13242</v>
      </c>
      <c r="BY49" s="190">
        <v>14267</v>
      </c>
      <c r="BZ49" s="190">
        <v>1021</v>
      </c>
      <c r="CA49" s="190">
        <v>13191</v>
      </c>
      <c r="CB49" s="190">
        <v>14212</v>
      </c>
      <c r="CC49" s="190">
        <v>25709</v>
      </c>
      <c r="CD49" s="190">
        <v>0</v>
      </c>
      <c r="CE49" s="190">
        <v>47</v>
      </c>
      <c r="CF49" s="190">
        <v>4</v>
      </c>
      <c r="CG49" s="190">
        <v>40</v>
      </c>
      <c r="CH49" s="190">
        <v>44</v>
      </c>
      <c r="CI49" s="190">
        <v>0</v>
      </c>
      <c r="CJ49" s="190">
        <v>16</v>
      </c>
      <c r="CK49" s="190">
        <v>0</v>
      </c>
      <c r="CL49" s="190">
        <v>11</v>
      </c>
      <c r="CM49" s="190">
        <v>11</v>
      </c>
      <c r="CN49" s="190">
        <v>92</v>
      </c>
      <c r="CO49" s="190">
        <v>1209</v>
      </c>
      <c r="CP49" s="190">
        <v>1301</v>
      </c>
      <c r="CQ49" s="190">
        <v>0</v>
      </c>
      <c r="CR49" s="190">
        <v>2</v>
      </c>
      <c r="CS49" s="190">
        <v>2</v>
      </c>
      <c r="CT49" s="190">
        <v>933</v>
      </c>
      <c r="CU49" s="190">
        <v>12033</v>
      </c>
      <c r="CV49" s="190">
        <v>12966</v>
      </c>
      <c r="CW49" s="190">
        <v>113</v>
      </c>
      <c r="CX49" s="190">
        <v>748</v>
      </c>
      <c r="CY49" s="190">
        <v>861</v>
      </c>
      <c r="CZ49" s="190">
        <v>108</v>
      </c>
      <c r="DA49" s="190">
        <v>0</v>
      </c>
      <c r="DB49" s="190">
        <v>0</v>
      </c>
      <c r="DC49" s="190">
        <v>709</v>
      </c>
      <c r="DD49" s="190">
        <v>0</v>
      </c>
      <c r="DE49" s="190">
        <v>0</v>
      </c>
      <c r="DF49" s="190">
        <v>108</v>
      </c>
      <c r="DG49" s="190">
        <v>709</v>
      </c>
      <c r="DH49" s="190">
        <v>817</v>
      </c>
      <c r="DI49" s="190">
        <v>5</v>
      </c>
      <c r="DJ49" s="190">
        <v>0</v>
      </c>
      <c r="DK49" s="190">
        <v>0</v>
      </c>
      <c r="DL49" s="190">
        <v>38</v>
      </c>
      <c r="DM49" s="190">
        <v>0</v>
      </c>
      <c r="DN49" s="190">
        <v>1</v>
      </c>
      <c r="DO49" s="190">
        <v>5</v>
      </c>
      <c r="DP49" s="190">
        <v>39</v>
      </c>
      <c r="DQ49" s="190">
        <v>44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970</v>
      </c>
      <c r="C50" s="190">
        <v>209</v>
      </c>
      <c r="D50" s="190">
        <v>1020</v>
      </c>
      <c r="E50" s="190">
        <v>624</v>
      </c>
      <c r="F50" s="190">
        <v>1</v>
      </c>
      <c r="G50" s="190">
        <v>26</v>
      </c>
      <c r="H50" s="190">
        <v>27</v>
      </c>
      <c r="I50" s="190">
        <v>0</v>
      </c>
      <c r="J50" s="190">
        <v>378</v>
      </c>
      <c r="K50" s="190">
        <v>378</v>
      </c>
      <c r="L50" s="190">
        <v>0</v>
      </c>
      <c r="M50" s="190">
        <v>145</v>
      </c>
      <c r="N50" s="190">
        <v>145</v>
      </c>
      <c r="O50" s="190">
        <v>0</v>
      </c>
      <c r="P50" s="190">
        <v>233</v>
      </c>
      <c r="Q50" s="190">
        <v>233</v>
      </c>
      <c r="R50" s="190">
        <v>0</v>
      </c>
      <c r="S50" s="190">
        <v>6</v>
      </c>
      <c r="T50" s="190">
        <v>6</v>
      </c>
      <c r="U50" s="190">
        <v>0</v>
      </c>
      <c r="V50" s="190">
        <v>18</v>
      </c>
      <c r="W50" s="190">
        <v>18</v>
      </c>
      <c r="X50" s="190">
        <v>16</v>
      </c>
      <c r="Y50" s="190">
        <v>1004</v>
      </c>
      <c r="Z50" s="190">
        <v>1020</v>
      </c>
      <c r="AA50" s="190">
        <v>10</v>
      </c>
      <c r="AB50" s="190">
        <v>409</v>
      </c>
      <c r="AC50" s="190">
        <v>419</v>
      </c>
      <c r="AD50" s="190">
        <v>10</v>
      </c>
      <c r="AE50" s="190">
        <v>396</v>
      </c>
      <c r="AF50" s="190">
        <v>406</v>
      </c>
      <c r="AG50" s="190">
        <v>0</v>
      </c>
      <c r="AH50" s="190">
        <v>12</v>
      </c>
      <c r="AI50" s="190">
        <v>12</v>
      </c>
      <c r="AJ50" s="190">
        <v>0</v>
      </c>
      <c r="AK50" s="190">
        <v>1</v>
      </c>
      <c r="AL50" s="190">
        <v>1</v>
      </c>
      <c r="AM50" s="190">
        <v>6</v>
      </c>
      <c r="AN50" s="190">
        <v>595</v>
      </c>
      <c r="AO50" s="190">
        <v>601</v>
      </c>
      <c r="AP50" s="190">
        <v>1212</v>
      </c>
      <c r="AQ50" s="190">
        <v>10638</v>
      </c>
      <c r="AR50" s="190">
        <v>11850</v>
      </c>
      <c r="AS50" s="190">
        <v>1212</v>
      </c>
      <c r="AT50" s="190">
        <v>10638</v>
      </c>
      <c r="AU50" s="190">
        <v>11850</v>
      </c>
      <c r="AV50" s="190">
        <v>0</v>
      </c>
      <c r="AW50" s="190">
        <v>0</v>
      </c>
      <c r="AX50" s="190">
        <v>0</v>
      </c>
      <c r="AY50" s="190">
        <v>64</v>
      </c>
      <c r="AZ50" s="190">
        <v>1091</v>
      </c>
      <c r="BA50" s="190">
        <v>1155</v>
      </c>
      <c r="BB50" s="190">
        <v>21</v>
      </c>
      <c r="BC50" s="190">
        <v>0</v>
      </c>
      <c r="BD50" s="190">
        <v>0</v>
      </c>
      <c r="BE50" s="190">
        <v>598</v>
      </c>
      <c r="BF50" s="190">
        <v>2</v>
      </c>
      <c r="BG50" s="190">
        <v>3</v>
      </c>
      <c r="BH50" s="190">
        <v>21</v>
      </c>
      <c r="BI50" s="190">
        <v>603</v>
      </c>
      <c r="BJ50" s="190">
        <v>624</v>
      </c>
      <c r="BK50" s="190">
        <v>9</v>
      </c>
      <c r="BL50" s="190">
        <v>-9</v>
      </c>
      <c r="BM50" s="190">
        <v>0</v>
      </c>
      <c r="BN50" s="190">
        <v>7</v>
      </c>
      <c r="BO50" s="190">
        <v>45</v>
      </c>
      <c r="BP50" s="190">
        <v>52</v>
      </c>
      <c r="BQ50" s="190">
        <v>3</v>
      </c>
      <c r="BR50" s="190">
        <v>169</v>
      </c>
      <c r="BS50" s="190">
        <v>172</v>
      </c>
      <c r="BT50" s="190">
        <v>24</v>
      </c>
      <c r="BU50" s="190">
        <v>283</v>
      </c>
      <c r="BV50" s="190">
        <v>307</v>
      </c>
      <c r="BW50" s="190">
        <v>1276</v>
      </c>
      <c r="BX50" s="190">
        <v>11729</v>
      </c>
      <c r="BY50" s="190">
        <v>13005</v>
      </c>
      <c r="BZ50" s="190">
        <v>1274</v>
      </c>
      <c r="CA50" s="190">
        <v>11685</v>
      </c>
      <c r="CB50" s="190">
        <v>12959</v>
      </c>
      <c r="CC50" s="190">
        <v>24366</v>
      </c>
      <c r="CD50" s="190">
        <v>3</v>
      </c>
      <c r="CE50" s="190">
        <v>27</v>
      </c>
      <c r="CF50" s="190">
        <v>2</v>
      </c>
      <c r="CG50" s="190">
        <v>26</v>
      </c>
      <c r="CH50" s="190">
        <v>28</v>
      </c>
      <c r="CI50" s="190">
        <v>20</v>
      </c>
      <c r="CJ50" s="190">
        <v>0</v>
      </c>
      <c r="CK50" s="190">
        <v>0</v>
      </c>
      <c r="CL50" s="190">
        <v>18</v>
      </c>
      <c r="CM50" s="190">
        <v>18</v>
      </c>
      <c r="CN50" s="190">
        <v>85</v>
      </c>
      <c r="CO50" s="190">
        <v>1197</v>
      </c>
      <c r="CP50" s="190">
        <v>1282</v>
      </c>
      <c r="CQ50" s="190">
        <v>1</v>
      </c>
      <c r="CR50" s="190">
        <v>3</v>
      </c>
      <c r="CS50" s="190">
        <v>4</v>
      </c>
      <c r="CT50" s="190">
        <v>1191</v>
      </c>
      <c r="CU50" s="190">
        <v>10532</v>
      </c>
      <c r="CV50" s="190">
        <v>11723</v>
      </c>
      <c r="CW50" s="190">
        <v>57</v>
      </c>
      <c r="CX50" s="190">
        <v>375</v>
      </c>
      <c r="CY50" s="190">
        <v>432</v>
      </c>
      <c r="CZ50" s="190">
        <v>57</v>
      </c>
      <c r="DA50" s="190">
        <v>0</v>
      </c>
      <c r="DB50" s="190">
        <v>0</v>
      </c>
      <c r="DC50" s="190">
        <v>355</v>
      </c>
      <c r="DD50" s="190">
        <v>0</v>
      </c>
      <c r="DE50" s="190">
        <v>1</v>
      </c>
      <c r="DF50" s="190">
        <v>57</v>
      </c>
      <c r="DG50" s="190">
        <v>356</v>
      </c>
      <c r="DH50" s="190">
        <v>413</v>
      </c>
      <c r="DI50" s="190">
        <v>0</v>
      </c>
      <c r="DJ50" s="190">
        <v>0</v>
      </c>
      <c r="DK50" s="190">
        <v>0</v>
      </c>
      <c r="DL50" s="190">
        <v>19</v>
      </c>
      <c r="DM50" s="190">
        <v>0</v>
      </c>
      <c r="DN50" s="190">
        <v>0</v>
      </c>
      <c r="DO50" s="190">
        <v>0</v>
      </c>
      <c r="DP50" s="190">
        <v>19</v>
      </c>
      <c r="DQ50" s="190">
        <v>19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11</v>
      </c>
      <c r="C51" s="190">
        <v>2</v>
      </c>
      <c r="D51" s="190">
        <v>9</v>
      </c>
      <c r="E51" s="190">
        <v>7</v>
      </c>
      <c r="F51" s="190">
        <v>0</v>
      </c>
      <c r="G51" s="190">
        <v>0</v>
      </c>
      <c r="H51" s="190">
        <v>0</v>
      </c>
      <c r="I51" s="190">
        <v>0</v>
      </c>
      <c r="J51" s="190">
        <v>1</v>
      </c>
      <c r="K51" s="190">
        <v>1</v>
      </c>
      <c r="L51" s="190">
        <v>0</v>
      </c>
      <c r="M51" s="190">
        <v>1</v>
      </c>
      <c r="N51" s="190">
        <v>1</v>
      </c>
      <c r="O51" s="190">
        <v>0</v>
      </c>
      <c r="P51" s="190">
        <v>0</v>
      </c>
      <c r="Q51" s="190">
        <v>0</v>
      </c>
      <c r="R51" s="190">
        <v>0</v>
      </c>
      <c r="S51" s="190">
        <v>0</v>
      </c>
      <c r="T51" s="190">
        <v>0</v>
      </c>
      <c r="U51" s="190">
        <v>0</v>
      </c>
      <c r="V51" s="190">
        <v>1</v>
      </c>
      <c r="W51" s="190">
        <v>1</v>
      </c>
      <c r="X51" s="190">
        <v>0</v>
      </c>
      <c r="Y51" s="190">
        <v>9</v>
      </c>
      <c r="Z51" s="190">
        <v>9</v>
      </c>
      <c r="AA51" s="190">
        <v>0</v>
      </c>
      <c r="AB51" s="190">
        <v>3</v>
      </c>
      <c r="AC51" s="190">
        <v>3</v>
      </c>
      <c r="AD51" s="190">
        <v>0</v>
      </c>
      <c r="AE51" s="190">
        <v>3</v>
      </c>
      <c r="AF51" s="190">
        <v>3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0</v>
      </c>
      <c r="AN51" s="190">
        <v>6</v>
      </c>
      <c r="AO51" s="190">
        <v>6</v>
      </c>
      <c r="AP51" s="190">
        <v>10</v>
      </c>
      <c r="AQ51" s="190">
        <v>138</v>
      </c>
      <c r="AR51" s="190">
        <v>148</v>
      </c>
      <c r="AS51" s="190">
        <v>10</v>
      </c>
      <c r="AT51" s="190">
        <v>138</v>
      </c>
      <c r="AU51" s="190">
        <v>148</v>
      </c>
      <c r="AV51" s="190">
        <v>0</v>
      </c>
      <c r="AW51" s="190">
        <v>0</v>
      </c>
      <c r="AX51" s="190">
        <v>0</v>
      </c>
      <c r="AY51" s="190">
        <v>1</v>
      </c>
      <c r="AZ51" s="190">
        <v>14</v>
      </c>
      <c r="BA51" s="190">
        <v>15</v>
      </c>
      <c r="BB51" s="190">
        <v>0</v>
      </c>
      <c r="BC51" s="190">
        <v>0</v>
      </c>
      <c r="BD51" s="190">
        <v>0</v>
      </c>
      <c r="BE51" s="190">
        <v>7</v>
      </c>
      <c r="BF51" s="190">
        <v>0</v>
      </c>
      <c r="BG51" s="190">
        <v>0</v>
      </c>
      <c r="BH51" s="190">
        <v>0</v>
      </c>
      <c r="BI51" s="190">
        <v>7</v>
      </c>
      <c r="BJ51" s="190">
        <v>7</v>
      </c>
      <c r="BK51" s="190">
        <v>0</v>
      </c>
      <c r="BL51" s="190">
        <v>0</v>
      </c>
      <c r="BM51" s="190">
        <v>0</v>
      </c>
      <c r="BN51" s="190">
        <v>0</v>
      </c>
      <c r="BO51" s="190">
        <v>1</v>
      </c>
      <c r="BP51" s="190">
        <v>1</v>
      </c>
      <c r="BQ51" s="190">
        <v>0</v>
      </c>
      <c r="BR51" s="190">
        <v>1</v>
      </c>
      <c r="BS51" s="190">
        <v>1</v>
      </c>
      <c r="BT51" s="190">
        <v>1</v>
      </c>
      <c r="BU51" s="190">
        <v>5</v>
      </c>
      <c r="BV51" s="190">
        <v>6</v>
      </c>
      <c r="BW51" s="190">
        <v>11</v>
      </c>
      <c r="BX51" s="190">
        <v>152</v>
      </c>
      <c r="BY51" s="190">
        <v>163</v>
      </c>
      <c r="BZ51" s="190">
        <v>11</v>
      </c>
      <c r="CA51" s="190">
        <v>152</v>
      </c>
      <c r="CB51" s="190">
        <v>163</v>
      </c>
      <c r="CC51" s="190">
        <v>277</v>
      </c>
      <c r="CD51" s="190">
        <v>0</v>
      </c>
      <c r="CE51" s="190">
        <v>0</v>
      </c>
      <c r="CF51" s="190">
        <v>0</v>
      </c>
      <c r="CG51" s="190">
        <v>0</v>
      </c>
      <c r="CH51" s="190">
        <v>0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0</v>
      </c>
      <c r="CO51" s="190">
        <v>7</v>
      </c>
      <c r="CP51" s="190">
        <v>7</v>
      </c>
      <c r="CQ51" s="190">
        <v>0</v>
      </c>
      <c r="CR51" s="190">
        <v>0</v>
      </c>
      <c r="CS51" s="190">
        <v>0</v>
      </c>
      <c r="CT51" s="190">
        <v>11</v>
      </c>
      <c r="CU51" s="190">
        <v>145</v>
      </c>
      <c r="CV51" s="190">
        <v>156</v>
      </c>
      <c r="CW51" s="190">
        <v>0</v>
      </c>
      <c r="CX51" s="190">
        <v>7</v>
      </c>
      <c r="CY51" s="190">
        <v>7</v>
      </c>
      <c r="CZ51" s="190">
        <v>0</v>
      </c>
      <c r="DA51" s="190">
        <v>0</v>
      </c>
      <c r="DB51" s="190">
        <v>0</v>
      </c>
      <c r="DC51" s="190">
        <v>7</v>
      </c>
      <c r="DD51" s="190">
        <v>0</v>
      </c>
      <c r="DE51" s="190">
        <v>0</v>
      </c>
      <c r="DF51" s="190">
        <v>0</v>
      </c>
      <c r="DG51" s="190">
        <v>7</v>
      </c>
      <c r="DH51" s="190">
        <v>7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251</v>
      </c>
      <c r="C52" s="190">
        <v>85</v>
      </c>
      <c r="D52" s="190">
        <v>242</v>
      </c>
      <c r="E52" s="190">
        <v>135</v>
      </c>
      <c r="F52" s="190">
        <v>1</v>
      </c>
      <c r="G52" s="190">
        <v>16</v>
      </c>
      <c r="H52" s="190">
        <v>17</v>
      </c>
      <c r="I52" s="190">
        <v>0</v>
      </c>
      <c r="J52" s="190">
        <v>98</v>
      </c>
      <c r="K52" s="190">
        <v>98</v>
      </c>
      <c r="L52" s="190">
        <v>0</v>
      </c>
      <c r="M52" s="190">
        <v>37</v>
      </c>
      <c r="N52" s="190">
        <v>37</v>
      </c>
      <c r="O52" s="190">
        <v>0</v>
      </c>
      <c r="P52" s="190">
        <v>61</v>
      </c>
      <c r="Q52" s="190">
        <v>61</v>
      </c>
      <c r="R52" s="190">
        <v>0</v>
      </c>
      <c r="S52" s="190">
        <v>3</v>
      </c>
      <c r="T52" s="190">
        <v>3</v>
      </c>
      <c r="U52" s="190">
        <v>0</v>
      </c>
      <c r="V52" s="190">
        <v>9</v>
      </c>
      <c r="W52" s="190">
        <v>9</v>
      </c>
      <c r="X52" s="190">
        <v>7</v>
      </c>
      <c r="Y52" s="190">
        <v>235</v>
      </c>
      <c r="Z52" s="190">
        <v>242</v>
      </c>
      <c r="AA52" s="190">
        <v>3</v>
      </c>
      <c r="AB52" s="190">
        <v>76</v>
      </c>
      <c r="AC52" s="190">
        <v>79</v>
      </c>
      <c r="AD52" s="190">
        <v>2</v>
      </c>
      <c r="AE52" s="190">
        <v>62</v>
      </c>
      <c r="AF52" s="190">
        <v>64</v>
      </c>
      <c r="AG52" s="190">
        <v>1</v>
      </c>
      <c r="AH52" s="190">
        <v>7</v>
      </c>
      <c r="AI52" s="190">
        <v>8</v>
      </c>
      <c r="AJ52" s="190">
        <v>0</v>
      </c>
      <c r="AK52" s="190">
        <v>7</v>
      </c>
      <c r="AL52" s="190">
        <v>7</v>
      </c>
      <c r="AM52" s="190">
        <v>4</v>
      </c>
      <c r="AN52" s="190">
        <v>159</v>
      </c>
      <c r="AO52" s="190">
        <v>163</v>
      </c>
      <c r="AP52" s="190">
        <v>342</v>
      </c>
      <c r="AQ52" s="190">
        <v>2536</v>
      </c>
      <c r="AR52" s="190">
        <v>2878</v>
      </c>
      <c r="AS52" s="190">
        <v>342</v>
      </c>
      <c r="AT52" s="190">
        <v>2536</v>
      </c>
      <c r="AU52" s="190">
        <v>2878</v>
      </c>
      <c r="AV52" s="190">
        <v>0</v>
      </c>
      <c r="AW52" s="190">
        <v>0</v>
      </c>
      <c r="AX52" s="190">
        <v>0</v>
      </c>
      <c r="AY52" s="190">
        <v>27</v>
      </c>
      <c r="AZ52" s="190">
        <v>239</v>
      </c>
      <c r="BA52" s="190">
        <v>266</v>
      </c>
      <c r="BB52" s="190">
        <v>5</v>
      </c>
      <c r="BC52" s="190">
        <v>0</v>
      </c>
      <c r="BD52" s="190">
        <v>0</v>
      </c>
      <c r="BE52" s="190">
        <v>129</v>
      </c>
      <c r="BF52" s="190">
        <v>1</v>
      </c>
      <c r="BG52" s="190">
        <v>0</v>
      </c>
      <c r="BH52" s="190">
        <v>5</v>
      </c>
      <c r="BI52" s="190">
        <v>130</v>
      </c>
      <c r="BJ52" s="190">
        <v>135</v>
      </c>
      <c r="BK52" s="190">
        <v>3</v>
      </c>
      <c r="BL52" s="190">
        <v>-3</v>
      </c>
      <c r="BM52" s="190">
        <v>0</v>
      </c>
      <c r="BN52" s="190">
        <v>1</v>
      </c>
      <c r="BO52" s="190">
        <v>11</v>
      </c>
      <c r="BP52" s="190">
        <v>12</v>
      </c>
      <c r="BQ52" s="190">
        <v>5</v>
      </c>
      <c r="BR52" s="190">
        <v>10</v>
      </c>
      <c r="BS52" s="190">
        <v>15</v>
      </c>
      <c r="BT52" s="190">
        <v>13</v>
      </c>
      <c r="BU52" s="190">
        <v>91</v>
      </c>
      <c r="BV52" s="190">
        <v>104</v>
      </c>
      <c r="BW52" s="190">
        <v>369</v>
      </c>
      <c r="BX52" s="190">
        <v>2775</v>
      </c>
      <c r="BY52" s="190">
        <v>3144</v>
      </c>
      <c r="BZ52" s="190">
        <v>368</v>
      </c>
      <c r="CA52" s="190">
        <v>2768</v>
      </c>
      <c r="CB52" s="190">
        <v>3136</v>
      </c>
      <c r="CC52" s="190">
        <v>6542</v>
      </c>
      <c r="CD52" s="190">
        <v>1</v>
      </c>
      <c r="CE52" s="190">
        <v>7</v>
      </c>
      <c r="CF52" s="190">
        <v>1</v>
      </c>
      <c r="CG52" s="190">
        <v>6</v>
      </c>
      <c r="CH52" s="190">
        <v>7</v>
      </c>
      <c r="CI52" s="190">
        <v>2</v>
      </c>
      <c r="CJ52" s="190">
        <v>0</v>
      </c>
      <c r="CK52" s="190">
        <v>0</v>
      </c>
      <c r="CL52" s="190">
        <v>1</v>
      </c>
      <c r="CM52" s="190">
        <v>1</v>
      </c>
      <c r="CN52" s="190">
        <v>18</v>
      </c>
      <c r="CO52" s="190">
        <v>252</v>
      </c>
      <c r="CP52" s="190">
        <v>270</v>
      </c>
      <c r="CQ52" s="190">
        <v>0</v>
      </c>
      <c r="CR52" s="190">
        <v>3</v>
      </c>
      <c r="CS52" s="190">
        <v>3</v>
      </c>
      <c r="CT52" s="190">
        <v>351</v>
      </c>
      <c r="CU52" s="190">
        <v>2523</v>
      </c>
      <c r="CV52" s="190">
        <v>2874</v>
      </c>
      <c r="CW52" s="190">
        <v>26</v>
      </c>
      <c r="CX52" s="190">
        <v>127</v>
      </c>
      <c r="CY52" s="190">
        <v>153</v>
      </c>
      <c r="CZ52" s="190">
        <v>26</v>
      </c>
      <c r="DA52" s="190">
        <v>0</v>
      </c>
      <c r="DB52" s="190">
        <v>0</v>
      </c>
      <c r="DC52" s="190">
        <v>124</v>
      </c>
      <c r="DD52" s="190">
        <v>0</v>
      </c>
      <c r="DE52" s="190">
        <v>0</v>
      </c>
      <c r="DF52" s="190">
        <v>26</v>
      </c>
      <c r="DG52" s="190">
        <v>124</v>
      </c>
      <c r="DH52" s="190">
        <v>150</v>
      </c>
      <c r="DI52" s="190">
        <v>0</v>
      </c>
      <c r="DJ52" s="190">
        <v>0</v>
      </c>
      <c r="DK52" s="190">
        <v>0</v>
      </c>
      <c r="DL52" s="190">
        <v>3</v>
      </c>
      <c r="DM52" s="190">
        <v>0</v>
      </c>
      <c r="DN52" s="190">
        <v>0</v>
      </c>
      <c r="DO52" s="190">
        <v>0</v>
      </c>
      <c r="DP52" s="190">
        <v>3</v>
      </c>
      <c r="DQ52" s="190">
        <v>3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1364</v>
      </c>
      <c r="C53" s="190">
        <v>367</v>
      </c>
      <c r="D53" s="190">
        <v>1196</v>
      </c>
      <c r="E53" s="190">
        <v>719</v>
      </c>
      <c r="F53" s="190">
        <v>5</v>
      </c>
      <c r="G53" s="190">
        <v>21</v>
      </c>
      <c r="H53" s="190">
        <v>26</v>
      </c>
      <c r="I53" s="190">
        <v>0</v>
      </c>
      <c r="J53" s="190">
        <v>376</v>
      </c>
      <c r="K53" s="190">
        <v>376</v>
      </c>
      <c r="L53" s="190">
        <v>0</v>
      </c>
      <c r="M53" s="190">
        <v>111</v>
      </c>
      <c r="N53" s="190">
        <v>111</v>
      </c>
      <c r="O53" s="190">
        <v>0</v>
      </c>
      <c r="P53" s="190">
        <v>265</v>
      </c>
      <c r="Q53" s="190">
        <v>265</v>
      </c>
      <c r="R53" s="190">
        <v>0</v>
      </c>
      <c r="S53" s="190">
        <v>47</v>
      </c>
      <c r="T53" s="190">
        <v>47</v>
      </c>
      <c r="U53" s="190">
        <v>0</v>
      </c>
      <c r="V53" s="190">
        <v>101</v>
      </c>
      <c r="W53" s="190">
        <v>101</v>
      </c>
      <c r="X53" s="190">
        <v>17</v>
      </c>
      <c r="Y53" s="190">
        <v>607</v>
      </c>
      <c r="Z53" s="190">
        <v>624</v>
      </c>
      <c r="AA53" s="190">
        <v>11</v>
      </c>
      <c r="AB53" s="190">
        <v>351</v>
      </c>
      <c r="AC53" s="190">
        <v>362</v>
      </c>
      <c r="AD53" s="190">
        <v>10</v>
      </c>
      <c r="AE53" s="190">
        <v>344</v>
      </c>
      <c r="AF53" s="190">
        <v>354</v>
      </c>
      <c r="AG53" s="190">
        <v>1</v>
      </c>
      <c r="AH53" s="190">
        <v>6</v>
      </c>
      <c r="AI53" s="190">
        <v>7</v>
      </c>
      <c r="AJ53" s="190">
        <v>0</v>
      </c>
      <c r="AK53" s="190">
        <v>1</v>
      </c>
      <c r="AL53" s="190">
        <v>1</v>
      </c>
      <c r="AM53" s="190">
        <v>6</v>
      </c>
      <c r="AN53" s="190">
        <v>256</v>
      </c>
      <c r="AO53" s="190">
        <v>262</v>
      </c>
      <c r="AP53" s="190">
        <v>2295</v>
      </c>
      <c r="AQ53" s="190">
        <v>17875</v>
      </c>
      <c r="AR53" s="190">
        <v>20170</v>
      </c>
      <c r="AS53" s="190">
        <v>2317</v>
      </c>
      <c r="AT53" s="190">
        <v>17639</v>
      </c>
      <c r="AU53" s="190">
        <v>19956</v>
      </c>
      <c r="AV53" s="190">
        <v>-22</v>
      </c>
      <c r="AW53" s="190">
        <v>236</v>
      </c>
      <c r="AX53" s="190">
        <v>214</v>
      </c>
      <c r="AY53" s="190">
        <v>147</v>
      </c>
      <c r="AZ53" s="190">
        <v>1514</v>
      </c>
      <c r="BA53" s="190">
        <v>1661</v>
      </c>
      <c r="BB53" s="190">
        <v>55</v>
      </c>
      <c r="BC53" s="190">
        <v>0</v>
      </c>
      <c r="BD53" s="190">
        <v>0</v>
      </c>
      <c r="BE53" s="190">
        <v>654</v>
      </c>
      <c r="BF53" s="190">
        <v>7</v>
      </c>
      <c r="BG53" s="190">
        <v>3</v>
      </c>
      <c r="BH53" s="190">
        <v>55</v>
      </c>
      <c r="BI53" s="190">
        <v>664</v>
      </c>
      <c r="BJ53" s="190">
        <v>719</v>
      </c>
      <c r="BK53" s="190">
        <v>-12</v>
      </c>
      <c r="BL53" s="190">
        <v>12</v>
      </c>
      <c r="BM53" s="190">
        <v>0</v>
      </c>
      <c r="BN53" s="190">
        <v>12</v>
      </c>
      <c r="BO53" s="190">
        <v>47</v>
      </c>
      <c r="BP53" s="190">
        <v>59</v>
      </c>
      <c r="BQ53" s="190">
        <v>2</v>
      </c>
      <c r="BR53" s="190">
        <v>99</v>
      </c>
      <c r="BS53" s="190">
        <v>101</v>
      </c>
      <c r="BT53" s="190">
        <v>90</v>
      </c>
      <c r="BU53" s="190">
        <v>692</v>
      </c>
      <c r="BV53" s="190">
        <v>782</v>
      </c>
      <c r="BW53" s="190">
        <v>2442</v>
      </c>
      <c r="BX53" s="190">
        <v>19389</v>
      </c>
      <c r="BY53" s="190">
        <v>21831</v>
      </c>
      <c r="BZ53" s="190">
        <v>2424</v>
      </c>
      <c r="CA53" s="190">
        <v>19167</v>
      </c>
      <c r="CB53" s="190">
        <v>21591</v>
      </c>
      <c r="CC53" s="190">
        <v>40886</v>
      </c>
      <c r="CD53" s="190">
        <v>204</v>
      </c>
      <c r="CE53" s="190">
        <v>172</v>
      </c>
      <c r="CF53" s="190">
        <v>17</v>
      </c>
      <c r="CG53" s="190">
        <v>157</v>
      </c>
      <c r="CH53" s="190">
        <v>174</v>
      </c>
      <c r="CI53" s="190">
        <v>89</v>
      </c>
      <c r="CJ53" s="190">
        <v>66</v>
      </c>
      <c r="CK53" s="190">
        <v>1</v>
      </c>
      <c r="CL53" s="190">
        <v>65</v>
      </c>
      <c r="CM53" s="190">
        <v>66</v>
      </c>
      <c r="CN53" s="190">
        <v>149</v>
      </c>
      <c r="CO53" s="190">
        <v>2051</v>
      </c>
      <c r="CP53" s="190">
        <v>2200</v>
      </c>
      <c r="CQ53" s="190">
        <v>0</v>
      </c>
      <c r="CR53" s="190">
        <v>5</v>
      </c>
      <c r="CS53" s="190">
        <v>5</v>
      </c>
      <c r="CT53" s="190">
        <v>2293</v>
      </c>
      <c r="CU53" s="190">
        <v>17338</v>
      </c>
      <c r="CV53" s="190">
        <v>19631</v>
      </c>
      <c r="CW53" s="190">
        <v>181</v>
      </c>
      <c r="CX53" s="190">
        <v>948</v>
      </c>
      <c r="CY53" s="190">
        <v>1129</v>
      </c>
      <c r="CZ53" s="190">
        <v>176</v>
      </c>
      <c r="DA53" s="190">
        <v>2</v>
      </c>
      <c r="DB53" s="190">
        <v>0</v>
      </c>
      <c r="DC53" s="190">
        <v>898</v>
      </c>
      <c r="DD53" s="190">
        <v>8</v>
      </c>
      <c r="DE53" s="190">
        <v>4</v>
      </c>
      <c r="DF53" s="190">
        <v>178</v>
      </c>
      <c r="DG53" s="190">
        <v>910</v>
      </c>
      <c r="DH53" s="190">
        <v>1088</v>
      </c>
      <c r="DI53" s="190">
        <v>3</v>
      </c>
      <c r="DJ53" s="190">
        <v>0</v>
      </c>
      <c r="DK53" s="190">
        <v>0</v>
      </c>
      <c r="DL53" s="190">
        <v>36</v>
      </c>
      <c r="DM53" s="190">
        <v>2</v>
      </c>
      <c r="DN53" s="190">
        <v>0</v>
      </c>
      <c r="DO53" s="190">
        <v>3</v>
      </c>
      <c r="DP53" s="190">
        <v>38</v>
      </c>
      <c r="DQ53" s="190">
        <v>41</v>
      </c>
      <c r="DR53" s="190">
        <v>1</v>
      </c>
      <c r="DS53" s="190">
        <v>2</v>
      </c>
      <c r="DT53" s="191">
        <v>3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1378</v>
      </c>
      <c r="C54" s="190">
        <v>270</v>
      </c>
      <c r="D54" s="190">
        <v>1412</v>
      </c>
      <c r="E54" s="190">
        <v>790</v>
      </c>
      <c r="F54" s="190">
        <v>2</v>
      </c>
      <c r="G54" s="190">
        <v>32</v>
      </c>
      <c r="H54" s="190">
        <v>34</v>
      </c>
      <c r="I54" s="190">
        <v>0</v>
      </c>
      <c r="J54" s="190">
        <v>573</v>
      </c>
      <c r="K54" s="190">
        <v>573</v>
      </c>
      <c r="L54" s="190">
        <v>0</v>
      </c>
      <c r="M54" s="190">
        <v>572</v>
      </c>
      <c r="N54" s="190">
        <v>572</v>
      </c>
      <c r="O54" s="190">
        <v>0</v>
      </c>
      <c r="P54" s="190">
        <v>1</v>
      </c>
      <c r="Q54" s="190">
        <v>1</v>
      </c>
      <c r="R54" s="190">
        <v>0</v>
      </c>
      <c r="S54" s="190">
        <v>74</v>
      </c>
      <c r="T54" s="190">
        <v>74</v>
      </c>
      <c r="U54" s="190">
        <v>0</v>
      </c>
      <c r="V54" s="190">
        <v>49</v>
      </c>
      <c r="W54" s="190">
        <v>49</v>
      </c>
      <c r="X54" s="190">
        <v>4</v>
      </c>
      <c r="Y54" s="190">
        <v>1232</v>
      </c>
      <c r="Z54" s="190">
        <v>1236</v>
      </c>
      <c r="AA54" s="190">
        <v>1</v>
      </c>
      <c r="AB54" s="190">
        <v>285</v>
      </c>
      <c r="AC54" s="190">
        <v>286</v>
      </c>
      <c r="AD54" s="190">
        <v>1</v>
      </c>
      <c r="AE54" s="190">
        <v>161</v>
      </c>
      <c r="AF54" s="190">
        <v>162</v>
      </c>
      <c r="AG54" s="190">
        <v>0</v>
      </c>
      <c r="AH54" s="190">
        <v>98</v>
      </c>
      <c r="AI54" s="190">
        <v>98</v>
      </c>
      <c r="AJ54" s="190">
        <v>0</v>
      </c>
      <c r="AK54" s="190">
        <v>26</v>
      </c>
      <c r="AL54" s="190">
        <v>26</v>
      </c>
      <c r="AM54" s="190">
        <v>3</v>
      </c>
      <c r="AN54" s="190">
        <v>947</v>
      </c>
      <c r="AO54" s="190">
        <v>950</v>
      </c>
      <c r="AP54" s="190">
        <v>1306</v>
      </c>
      <c r="AQ54" s="190">
        <v>15089</v>
      </c>
      <c r="AR54" s="190">
        <v>16395</v>
      </c>
      <c r="AS54" s="190">
        <v>1307</v>
      </c>
      <c r="AT54" s="190">
        <v>15211</v>
      </c>
      <c r="AU54" s="190">
        <v>16518</v>
      </c>
      <c r="AV54" s="190">
        <v>-1</v>
      </c>
      <c r="AW54" s="190">
        <v>-122</v>
      </c>
      <c r="AX54" s="190">
        <v>-123</v>
      </c>
      <c r="AY54" s="190">
        <v>132</v>
      </c>
      <c r="AZ54" s="190">
        <v>1581</v>
      </c>
      <c r="BA54" s="190">
        <v>1713</v>
      </c>
      <c r="BB54" s="190">
        <v>45</v>
      </c>
      <c r="BC54" s="190">
        <v>2</v>
      </c>
      <c r="BD54" s="190">
        <v>0</v>
      </c>
      <c r="BE54" s="190">
        <v>729</v>
      </c>
      <c r="BF54" s="190">
        <v>13</v>
      </c>
      <c r="BG54" s="190">
        <v>1</v>
      </c>
      <c r="BH54" s="190">
        <v>47</v>
      </c>
      <c r="BI54" s="190">
        <v>743</v>
      </c>
      <c r="BJ54" s="190">
        <v>790</v>
      </c>
      <c r="BK54" s="190">
        <v>20</v>
      </c>
      <c r="BL54" s="190">
        <v>-20</v>
      </c>
      <c r="BM54" s="190">
        <v>0</v>
      </c>
      <c r="BN54" s="190">
        <v>2</v>
      </c>
      <c r="BO54" s="190">
        <v>40</v>
      </c>
      <c r="BP54" s="190">
        <v>42</v>
      </c>
      <c r="BQ54" s="190">
        <v>13</v>
      </c>
      <c r="BR54" s="190">
        <v>195</v>
      </c>
      <c r="BS54" s="190">
        <v>208</v>
      </c>
      <c r="BT54" s="190">
        <v>50</v>
      </c>
      <c r="BU54" s="190">
        <v>623</v>
      </c>
      <c r="BV54" s="190">
        <v>673</v>
      </c>
      <c r="BW54" s="190">
        <v>1438</v>
      </c>
      <c r="BX54" s="190">
        <v>16670</v>
      </c>
      <c r="BY54" s="190">
        <v>18108</v>
      </c>
      <c r="BZ54" s="190">
        <v>1401</v>
      </c>
      <c r="CA54" s="190">
        <v>16400</v>
      </c>
      <c r="CB54" s="190">
        <v>17801</v>
      </c>
      <c r="CC54" s="190">
        <v>32313</v>
      </c>
      <c r="CD54" s="190">
        <v>26</v>
      </c>
      <c r="CE54" s="190">
        <v>288</v>
      </c>
      <c r="CF54" s="190">
        <v>36</v>
      </c>
      <c r="CG54" s="190">
        <v>218</v>
      </c>
      <c r="CH54" s="190">
        <v>254</v>
      </c>
      <c r="CI54" s="190">
        <v>66</v>
      </c>
      <c r="CJ54" s="190">
        <v>6</v>
      </c>
      <c r="CK54" s="190">
        <v>1</v>
      </c>
      <c r="CL54" s="190">
        <v>52</v>
      </c>
      <c r="CM54" s="190">
        <v>53</v>
      </c>
      <c r="CN54" s="190">
        <v>88</v>
      </c>
      <c r="CO54" s="190">
        <v>1716</v>
      </c>
      <c r="CP54" s="190">
        <v>1804</v>
      </c>
      <c r="CQ54" s="190">
        <v>0</v>
      </c>
      <c r="CR54" s="190">
        <v>0</v>
      </c>
      <c r="CS54" s="190">
        <v>0</v>
      </c>
      <c r="CT54" s="190">
        <v>1350</v>
      </c>
      <c r="CU54" s="190">
        <v>14954</v>
      </c>
      <c r="CV54" s="190">
        <v>16304</v>
      </c>
      <c r="CW54" s="190">
        <v>105</v>
      </c>
      <c r="CX54" s="190">
        <v>773</v>
      </c>
      <c r="CY54" s="190">
        <v>878</v>
      </c>
      <c r="CZ54" s="190">
        <v>99</v>
      </c>
      <c r="DA54" s="190">
        <v>4</v>
      </c>
      <c r="DB54" s="190">
        <v>0</v>
      </c>
      <c r="DC54" s="190">
        <v>734</v>
      </c>
      <c r="DD54" s="190">
        <v>11</v>
      </c>
      <c r="DE54" s="190">
        <v>0</v>
      </c>
      <c r="DF54" s="190">
        <v>103</v>
      </c>
      <c r="DG54" s="190">
        <v>745</v>
      </c>
      <c r="DH54" s="190">
        <v>848</v>
      </c>
      <c r="DI54" s="190">
        <v>2</v>
      </c>
      <c r="DJ54" s="190">
        <v>0</v>
      </c>
      <c r="DK54" s="190">
        <v>0</v>
      </c>
      <c r="DL54" s="190">
        <v>25</v>
      </c>
      <c r="DM54" s="190">
        <v>3</v>
      </c>
      <c r="DN54" s="190">
        <v>0</v>
      </c>
      <c r="DO54" s="190">
        <v>2</v>
      </c>
      <c r="DP54" s="190">
        <v>28</v>
      </c>
      <c r="DQ54" s="190">
        <v>30</v>
      </c>
      <c r="DR54" s="190">
        <v>0</v>
      </c>
      <c r="DS54" s="190">
        <v>0</v>
      </c>
      <c r="DT54" s="191">
        <v>0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2821</v>
      </c>
      <c r="C55" s="190">
        <v>625</v>
      </c>
      <c r="D55" s="190">
        <v>2834</v>
      </c>
      <c r="E55" s="190">
        <v>1918</v>
      </c>
      <c r="F55" s="190">
        <v>3</v>
      </c>
      <c r="G55" s="190">
        <v>39</v>
      </c>
      <c r="H55" s="190">
        <v>42</v>
      </c>
      <c r="I55" s="190">
        <v>0</v>
      </c>
      <c r="J55" s="190">
        <v>790</v>
      </c>
      <c r="K55" s="190">
        <v>790</v>
      </c>
      <c r="L55" s="190">
        <v>0</v>
      </c>
      <c r="M55" s="190">
        <v>437</v>
      </c>
      <c r="N55" s="190">
        <v>437</v>
      </c>
      <c r="O55" s="190">
        <v>0</v>
      </c>
      <c r="P55" s="190">
        <v>353</v>
      </c>
      <c r="Q55" s="190">
        <v>353</v>
      </c>
      <c r="R55" s="190">
        <v>0</v>
      </c>
      <c r="S55" s="190">
        <v>6</v>
      </c>
      <c r="T55" s="190">
        <v>6</v>
      </c>
      <c r="U55" s="190">
        <v>0</v>
      </c>
      <c r="V55" s="190">
        <v>126</v>
      </c>
      <c r="W55" s="190">
        <v>126</v>
      </c>
      <c r="X55" s="190">
        <v>57</v>
      </c>
      <c r="Y55" s="190">
        <v>2777</v>
      </c>
      <c r="Z55" s="190">
        <v>2834</v>
      </c>
      <c r="AA55" s="190">
        <v>30</v>
      </c>
      <c r="AB55" s="190">
        <v>1236</v>
      </c>
      <c r="AC55" s="190">
        <v>1266</v>
      </c>
      <c r="AD55" s="190">
        <v>24</v>
      </c>
      <c r="AE55" s="190">
        <v>1149</v>
      </c>
      <c r="AF55" s="190">
        <v>1173</v>
      </c>
      <c r="AG55" s="190">
        <v>2</v>
      </c>
      <c r="AH55" s="190">
        <v>50</v>
      </c>
      <c r="AI55" s="190">
        <v>52</v>
      </c>
      <c r="AJ55" s="190">
        <v>4</v>
      </c>
      <c r="AK55" s="190">
        <v>37</v>
      </c>
      <c r="AL55" s="190">
        <v>41</v>
      </c>
      <c r="AM55" s="190">
        <v>27</v>
      </c>
      <c r="AN55" s="190">
        <v>1541</v>
      </c>
      <c r="AO55" s="190">
        <v>1568</v>
      </c>
      <c r="AP55" s="190">
        <v>5224</v>
      </c>
      <c r="AQ55" s="190">
        <v>32963</v>
      </c>
      <c r="AR55" s="190">
        <v>38187</v>
      </c>
      <c r="AS55" s="190">
        <v>5224</v>
      </c>
      <c r="AT55" s="190">
        <v>32963</v>
      </c>
      <c r="AU55" s="190">
        <v>38187</v>
      </c>
      <c r="AV55" s="190">
        <v>0</v>
      </c>
      <c r="AW55" s="190">
        <v>0</v>
      </c>
      <c r="AX55" s="190">
        <v>0</v>
      </c>
      <c r="AY55" s="190">
        <v>281</v>
      </c>
      <c r="AZ55" s="190">
        <v>3056</v>
      </c>
      <c r="BA55" s="190">
        <v>3337</v>
      </c>
      <c r="BB55" s="190">
        <v>70</v>
      </c>
      <c r="BC55" s="190">
        <v>1</v>
      </c>
      <c r="BD55" s="190">
        <v>0</v>
      </c>
      <c r="BE55" s="190">
        <v>1839</v>
      </c>
      <c r="BF55" s="190">
        <v>7</v>
      </c>
      <c r="BG55" s="190">
        <v>1</v>
      </c>
      <c r="BH55" s="190">
        <v>71</v>
      </c>
      <c r="BI55" s="190">
        <v>1847</v>
      </c>
      <c r="BJ55" s="190">
        <v>1918</v>
      </c>
      <c r="BK55" s="190">
        <v>-1</v>
      </c>
      <c r="BL55" s="190">
        <v>1</v>
      </c>
      <c r="BM55" s="190">
        <v>0</v>
      </c>
      <c r="BN55" s="190">
        <v>31</v>
      </c>
      <c r="BO55" s="190">
        <v>105</v>
      </c>
      <c r="BP55" s="190">
        <v>136</v>
      </c>
      <c r="BQ55" s="190">
        <v>50</v>
      </c>
      <c r="BR55" s="190">
        <v>417</v>
      </c>
      <c r="BS55" s="190">
        <v>467</v>
      </c>
      <c r="BT55" s="190">
        <v>130</v>
      </c>
      <c r="BU55" s="190">
        <v>686</v>
      </c>
      <c r="BV55" s="190">
        <v>816</v>
      </c>
      <c r="BW55" s="190">
        <v>5505</v>
      </c>
      <c r="BX55" s="190">
        <v>36019</v>
      </c>
      <c r="BY55" s="190">
        <v>41524</v>
      </c>
      <c r="BZ55" s="190">
        <v>5468</v>
      </c>
      <c r="CA55" s="190">
        <v>35813</v>
      </c>
      <c r="CB55" s="190">
        <v>41281</v>
      </c>
      <c r="CC55" s="190">
        <v>86594</v>
      </c>
      <c r="CD55" s="190">
        <v>17</v>
      </c>
      <c r="CE55" s="190">
        <v>228</v>
      </c>
      <c r="CF55" s="190">
        <v>36</v>
      </c>
      <c r="CG55" s="190">
        <v>177</v>
      </c>
      <c r="CH55" s="190">
        <v>213</v>
      </c>
      <c r="CI55" s="190">
        <v>31</v>
      </c>
      <c r="CJ55" s="190">
        <v>6</v>
      </c>
      <c r="CK55" s="190">
        <v>1</v>
      </c>
      <c r="CL55" s="190">
        <v>29</v>
      </c>
      <c r="CM55" s="190">
        <v>30</v>
      </c>
      <c r="CN55" s="190">
        <v>312</v>
      </c>
      <c r="CO55" s="190">
        <v>3077</v>
      </c>
      <c r="CP55" s="190">
        <v>3389</v>
      </c>
      <c r="CQ55" s="190">
        <v>0</v>
      </c>
      <c r="CR55" s="190">
        <v>2</v>
      </c>
      <c r="CS55" s="190">
        <v>2</v>
      </c>
      <c r="CT55" s="190">
        <v>5193</v>
      </c>
      <c r="CU55" s="190">
        <v>32942</v>
      </c>
      <c r="CV55" s="190">
        <v>38135</v>
      </c>
      <c r="CW55" s="190">
        <v>321</v>
      </c>
      <c r="CX55" s="190">
        <v>1349</v>
      </c>
      <c r="CY55" s="190">
        <v>1670</v>
      </c>
      <c r="CZ55" s="190">
        <v>317</v>
      </c>
      <c r="DA55" s="190">
        <v>3</v>
      </c>
      <c r="DB55" s="190">
        <v>0</v>
      </c>
      <c r="DC55" s="190">
        <v>1329</v>
      </c>
      <c r="DD55" s="190">
        <v>14</v>
      </c>
      <c r="DE55" s="190">
        <v>0</v>
      </c>
      <c r="DF55" s="190">
        <v>320</v>
      </c>
      <c r="DG55" s="190">
        <v>1343</v>
      </c>
      <c r="DH55" s="190">
        <v>1663</v>
      </c>
      <c r="DI55" s="190">
        <v>1</v>
      </c>
      <c r="DJ55" s="190">
        <v>0</v>
      </c>
      <c r="DK55" s="190">
        <v>0</v>
      </c>
      <c r="DL55" s="190">
        <v>6</v>
      </c>
      <c r="DM55" s="190">
        <v>0</v>
      </c>
      <c r="DN55" s="190">
        <v>0</v>
      </c>
      <c r="DO55" s="190">
        <v>1</v>
      </c>
      <c r="DP55" s="190">
        <v>6</v>
      </c>
      <c r="DQ55" s="190">
        <v>7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454</v>
      </c>
      <c r="C56" s="190">
        <v>118</v>
      </c>
      <c r="D56" s="190">
        <v>449</v>
      </c>
      <c r="E56" s="190">
        <v>271</v>
      </c>
      <c r="F56" s="190">
        <v>0</v>
      </c>
      <c r="G56" s="190">
        <v>4</v>
      </c>
      <c r="H56" s="190">
        <v>4</v>
      </c>
      <c r="I56" s="190">
        <v>0</v>
      </c>
      <c r="J56" s="190">
        <v>154</v>
      </c>
      <c r="K56" s="190">
        <v>154</v>
      </c>
      <c r="L56" s="190">
        <v>0</v>
      </c>
      <c r="M56" s="190">
        <v>64</v>
      </c>
      <c r="N56" s="190">
        <v>64</v>
      </c>
      <c r="O56" s="190">
        <v>0</v>
      </c>
      <c r="P56" s="190">
        <v>90</v>
      </c>
      <c r="Q56" s="190">
        <v>90</v>
      </c>
      <c r="R56" s="190">
        <v>0</v>
      </c>
      <c r="S56" s="190">
        <v>2</v>
      </c>
      <c r="T56" s="190">
        <v>2</v>
      </c>
      <c r="U56" s="190">
        <v>0</v>
      </c>
      <c r="V56" s="190">
        <v>24</v>
      </c>
      <c r="W56" s="190">
        <v>24</v>
      </c>
      <c r="X56" s="190">
        <v>14</v>
      </c>
      <c r="Y56" s="190">
        <v>435</v>
      </c>
      <c r="Z56" s="190">
        <v>449</v>
      </c>
      <c r="AA56" s="190">
        <v>11</v>
      </c>
      <c r="AB56" s="190">
        <v>197</v>
      </c>
      <c r="AC56" s="190">
        <v>208</v>
      </c>
      <c r="AD56" s="190">
        <v>11</v>
      </c>
      <c r="AE56" s="190">
        <v>186</v>
      </c>
      <c r="AF56" s="190">
        <v>197</v>
      </c>
      <c r="AG56" s="190">
        <v>0</v>
      </c>
      <c r="AH56" s="190">
        <v>8</v>
      </c>
      <c r="AI56" s="190">
        <v>8</v>
      </c>
      <c r="AJ56" s="190">
        <v>0</v>
      </c>
      <c r="AK56" s="190">
        <v>3</v>
      </c>
      <c r="AL56" s="190">
        <v>3</v>
      </c>
      <c r="AM56" s="190">
        <v>3</v>
      </c>
      <c r="AN56" s="190">
        <v>238</v>
      </c>
      <c r="AO56" s="190">
        <v>241</v>
      </c>
      <c r="AP56" s="190">
        <v>608</v>
      </c>
      <c r="AQ56" s="190">
        <v>4483</v>
      </c>
      <c r="AR56" s="190">
        <v>5091</v>
      </c>
      <c r="AS56" s="190">
        <v>608</v>
      </c>
      <c r="AT56" s="190">
        <v>4483</v>
      </c>
      <c r="AU56" s="190">
        <v>5091</v>
      </c>
      <c r="AV56" s="190">
        <v>0</v>
      </c>
      <c r="AW56" s="190">
        <v>0</v>
      </c>
      <c r="AX56" s="190">
        <v>0</v>
      </c>
      <c r="AY56" s="190">
        <v>51</v>
      </c>
      <c r="AZ56" s="190">
        <v>492</v>
      </c>
      <c r="BA56" s="190">
        <v>543</v>
      </c>
      <c r="BB56" s="190">
        <v>18</v>
      </c>
      <c r="BC56" s="190">
        <v>0</v>
      </c>
      <c r="BD56" s="190">
        <v>0</v>
      </c>
      <c r="BE56" s="190">
        <v>247</v>
      </c>
      <c r="BF56" s="190">
        <v>3</v>
      </c>
      <c r="BG56" s="190">
        <v>3</v>
      </c>
      <c r="BH56" s="190">
        <v>18</v>
      </c>
      <c r="BI56" s="190">
        <v>253</v>
      </c>
      <c r="BJ56" s="190">
        <v>271</v>
      </c>
      <c r="BK56" s="190">
        <v>1</v>
      </c>
      <c r="BL56" s="190">
        <v>-1</v>
      </c>
      <c r="BM56" s="190">
        <v>0</v>
      </c>
      <c r="BN56" s="190">
        <v>8</v>
      </c>
      <c r="BO56" s="190">
        <v>25</v>
      </c>
      <c r="BP56" s="190">
        <v>33</v>
      </c>
      <c r="BQ56" s="190">
        <v>5</v>
      </c>
      <c r="BR56" s="190">
        <v>48</v>
      </c>
      <c r="BS56" s="190">
        <v>53</v>
      </c>
      <c r="BT56" s="190">
        <v>19</v>
      </c>
      <c r="BU56" s="190">
        <v>167</v>
      </c>
      <c r="BV56" s="190">
        <v>186</v>
      </c>
      <c r="BW56" s="190">
        <v>659</v>
      </c>
      <c r="BX56" s="190">
        <v>4975</v>
      </c>
      <c r="BY56" s="190">
        <v>5634</v>
      </c>
      <c r="BZ56" s="190">
        <v>643</v>
      </c>
      <c r="CA56" s="190">
        <v>4919</v>
      </c>
      <c r="CB56" s="190">
        <v>5562</v>
      </c>
      <c r="CC56" s="190">
        <v>12713</v>
      </c>
      <c r="CD56" s="190">
        <v>8</v>
      </c>
      <c r="CE56" s="190">
        <v>63</v>
      </c>
      <c r="CF56" s="190">
        <v>16</v>
      </c>
      <c r="CG56" s="190">
        <v>42</v>
      </c>
      <c r="CH56" s="190">
        <v>58</v>
      </c>
      <c r="CI56" s="190">
        <v>16</v>
      </c>
      <c r="CJ56" s="190">
        <v>3</v>
      </c>
      <c r="CK56" s="190">
        <v>0</v>
      </c>
      <c r="CL56" s="190">
        <v>14</v>
      </c>
      <c r="CM56" s="190">
        <v>14</v>
      </c>
      <c r="CN56" s="190">
        <v>26</v>
      </c>
      <c r="CO56" s="190">
        <v>476</v>
      </c>
      <c r="CP56" s="190">
        <v>502</v>
      </c>
      <c r="CQ56" s="190">
        <v>0</v>
      </c>
      <c r="CR56" s="190">
        <v>0</v>
      </c>
      <c r="CS56" s="190">
        <v>0</v>
      </c>
      <c r="CT56" s="190">
        <v>633</v>
      </c>
      <c r="CU56" s="190">
        <v>4499</v>
      </c>
      <c r="CV56" s="190">
        <v>5132</v>
      </c>
      <c r="CW56" s="190">
        <v>32</v>
      </c>
      <c r="CX56" s="190">
        <v>258</v>
      </c>
      <c r="CY56" s="190">
        <v>290</v>
      </c>
      <c r="CZ56" s="190">
        <v>32</v>
      </c>
      <c r="DA56" s="190">
        <v>0</v>
      </c>
      <c r="DB56" s="190">
        <v>0</v>
      </c>
      <c r="DC56" s="190">
        <v>249</v>
      </c>
      <c r="DD56" s="190">
        <v>1</v>
      </c>
      <c r="DE56" s="190">
        <v>1</v>
      </c>
      <c r="DF56" s="190">
        <v>32</v>
      </c>
      <c r="DG56" s="190">
        <v>251</v>
      </c>
      <c r="DH56" s="190">
        <v>283</v>
      </c>
      <c r="DI56" s="190">
        <v>0</v>
      </c>
      <c r="DJ56" s="190">
        <v>0</v>
      </c>
      <c r="DK56" s="190">
        <v>0</v>
      </c>
      <c r="DL56" s="190">
        <v>7</v>
      </c>
      <c r="DM56" s="190">
        <v>0</v>
      </c>
      <c r="DN56" s="190">
        <v>0</v>
      </c>
      <c r="DO56" s="190">
        <v>0</v>
      </c>
      <c r="DP56" s="190">
        <v>7</v>
      </c>
      <c r="DQ56" s="190">
        <v>7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363</v>
      </c>
      <c r="C57" s="190">
        <v>37</v>
      </c>
      <c r="D57" s="190">
        <v>344</v>
      </c>
      <c r="E57" s="190">
        <v>203</v>
      </c>
      <c r="F57" s="190">
        <v>3</v>
      </c>
      <c r="G57" s="190">
        <v>5</v>
      </c>
      <c r="H57" s="190">
        <v>8</v>
      </c>
      <c r="I57" s="190">
        <v>0</v>
      </c>
      <c r="J57" s="190">
        <v>118</v>
      </c>
      <c r="K57" s="190">
        <v>118</v>
      </c>
      <c r="L57" s="190">
        <v>0</v>
      </c>
      <c r="M57" s="190">
        <v>29</v>
      </c>
      <c r="N57" s="190">
        <v>29</v>
      </c>
      <c r="O57" s="190">
        <v>0</v>
      </c>
      <c r="P57" s="190">
        <v>89</v>
      </c>
      <c r="Q57" s="190">
        <v>89</v>
      </c>
      <c r="R57" s="190">
        <v>0</v>
      </c>
      <c r="S57" s="190">
        <v>0</v>
      </c>
      <c r="T57" s="190">
        <v>0</v>
      </c>
      <c r="U57" s="190">
        <v>0</v>
      </c>
      <c r="V57" s="190">
        <v>23</v>
      </c>
      <c r="W57" s="190">
        <v>23</v>
      </c>
      <c r="X57" s="190">
        <v>7</v>
      </c>
      <c r="Y57" s="190">
        <v>337</v>
      </c>
      <c r="Z57" s="190">
        <v>344</v>
      </c>
      <c r="AA57" s="190">
        <v>2</v>
      </c>
      <c r="AB57" s="190">
        <v>145</v>
      </c>
      <c r="AC57" s="190">
        <v>147</v>
      </c>
      <c r="AD57" s="190">
        <v>2</v>
      </c>
      <c r="AE57" s="190">
        <v>137</v>
      </c>
      <c r="AF57" s="190">
        <v>139</v>
      </c>
      <c r="AG57" s="190">
        <v>0</v>
      </c>
      <c r="AH57" s="190">
        <v>3</v>
      </c>
      <c r="AI57" s="190">
        <v>3</v>
      </c>
      <c r="AJ57" s="190">
        <v>0</v>
      </c>
      <c r="AK57" s="190">
        <v>5</v>
      </c>
      <c r="AL57" s="190">
        <v>5</v>
      </c>
      <c r="AM57" s="190">
        <v>5</v>
      </c>
      <c r="AN57" s="190">
        <v>192</v>
      </c>
      <c r="AO57" s="190">
        <v>197</v>
      </c>
      <c r="AP57" s="190">
        <v>475</v>
      </c>
      <c r="AQ57" s="190">
        <v>3622</v>
      </c>
      <c r="AR57" s="190">
        <v>4097</v>
      </c>
      <c r="AS57" s="190">
        <v>475</v>
      </c>
      <c r="AT57" s="190">
        <v>3622</v>
      </c>
      <c r="AU57" s="190">
        <v>4097</v>
      </c>
      <c r="AV57" s="190">
        <v>0</v>
      </c>
      <c r="AW57" s="190">
        <v>0</v>
      </c>
      <c r="AX57" s="190">
        <v>0</v>
      </c>
      <c r="AY57" s="190">
        <v>17</v>
      </c>
      <c r="AZ57" s="190">
        <v>358</v>
      </c>
      <c r="BA57" s="190">
        <v>375</v>
      </c>
      <c r="BB57" s="190">
        <v>11</v>
      </c>
      <c r="BC57" s="190">
        <v>0</v>
      </c>
      <c r="BD57" s="190">
        <v>0</v>
      </c>
      <c r="BE57" s="190">
        <v>190</v>
      </c>
      <c r="BF57" s="190">
        <v>2</v>
      </c>
      <c r="BG57" s="190">
        <v>0</v>
      </c>
      <c r="BH57" s="190">
        <v>11</v>
      </c>
      <c r="BI57" s="190">
        <v>192</v>
      </c>
      <c r="BJ57" s="190">
        <v>203</v>
      </c>
      <c r="BK57" s="190">
        <v>-3</v>
      </c>
      <c r="BL57" s="190">
        <v>3</v>
      </c>
      <c r="BM57" s="190">
        <v>0</v>
      </c>
      <c r="BN57" s="190">
        <v>2</v>
      </c>
      <c r="BO57" s="190">
        <v>25</v>
      </c>
      <c r="BP57" s="190">
        <v>27</v>
      </c>
      <c r="BQ57" s="190">
        <v>2</v>
      </c>
      <c r="BR57" s="190">
        <v>37</v>
      </c>
      <c r="BS57" s="190">
        <v>39</v>
      </c>
      <c r="BT57" s="190">
        <v>5</v>
      </c>
      <c r="BU57" s="190">
        <v>101</v>
      </c>
      <c r="BV57" s="190">
        <v>106</v>
      </c>
      <c r="BW57" s="190">
        <v>492</v>
      </c>
      <c r="BX57" s="190">
        <v>3980</v>
      </c>
      <c r="BY57" s="190">
        <v>4472</v>
      </c>
      <c r="BZ57" s="190">
        <v>492</v>
      </c>
      <c r="CA57" s="190">
        <v>3952</v>
      </c>
      <c r="CB57" s="190">
        <v>4444</v>
      </c>
      <c r="CC57" s="190">
        <v>9568</v>
      </c>
      <c r="CD57" s="190">
        <v>0</v>
      </c>
      <c r="CE57" s="190">
        <v>77</v>
      </c>
      <c r="CF57" s="190">
        <v>0</v>
      </c>
      <c r="CG57" s="190">
        <v>27</v>
      </c>
      <c r="CH57" s="190">
        <v>27</v>
      </c>
      <c r="CI57" s="190">
        <v>1</v>
      </c>
      <c r="CJ57" s="190">
        <v>0</v>
      </c>
      <c r="CK57" s="190">
        <v>0</v>
      </c>
      <c r="CL57" s="190">
        <v>1</v>
      </c>
      <c r="CM57" s="190">
        <v>1</v>
      </c>
      <c r="CN57" s="190">
        <v>22</v>
      </c>
      <c r="CO57" s="190">
        <v>411</v>
      </c>
      <c r="CP57" s="190">
        <v>433</v>
      </c>
      <c r="CQ57" s="190">
        <v>0</v>
      </c>
      <c r="CR57" s="190">
        <v>5</v>
      </c>
      <c r="CS57" s="190">
        <v>5</v>
      </c>
      <c r="CT57" s="190">
        <v>470</v>
      </c>
      <c r="CU57" s="190">
        <v>3569</v>
      </c>
      <c r="CV57" s="190">
        <v>4039</v>
      </c>
      <c r="CW57" s="190">
        <v>27</v>
      </c>
      <c r="CX57" s="190">
        <v>157</v>
      </c>
      <c r="CY57" s="190">
        <v>184</v>
      </c>
      <c r="CZ57" s="190">
        <v>27</v>
      </c>
      <c r="DA57" s="190">
        <v>0</v>
      </c>
      <c r="DB57" s="190">
        <v>0</v>
      </c>
      <c r="DC57" s="190">
        <v>152</v>
      </c>
      <c r="DD57" s="190">
        <v>2</v>
      </c>
      <c r="DE57" s="190">
        <v>0</v>
      </c>
      <c r="DF57" s="190">
        <v>27</v>
      </c>
      <c r="DG57" s="190">
        <v>154</v>
      </c>
      <c r="DH57" s="190">
        <v>181</v>
      </c>
      <c r="DI57" s="190">
        <v>0</v>
      </c>
      <c r="DJ57" s="190">
        <v>0</v>
      </c>
      <c r="DK57" s="190">
        <v>0</v>
      </c>
      <c r="DL57" s="190">
        <v>2</v>
      </c>
      <c r="DM57" s="190">
        <v>1</v>
      </c>
      <c r="DN57" s="190">
        <v>0</v>
      </c>
      <c r="DO57" s="190">
        <v>0</v>
      </c>
      <c r="DP57" s="190">
        <v>3</v>
      </c>
      <c r="DQ57" s="190">
        <v>3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92</v>
      </c>
      <c r="C58" s="190">
        <v>5</v>
      </c>
      <c r="D58" s="190">
        <v>111</v>
      </c>
      <c r="E58" s="190">
        <v>76</v>
      </c>
      <c r="F58" s="190">
        <v>0</v>
      </c>
      <c r="G58" s="190">
        <v>9</v>
      </c>
      <c r="H58" s="190">
        <v>9</v>
      </c>
      <c r="I58" s="190">
        <v>0</v>
      </c>
      <c r="J58" s="190">
        <v>32</v>
      </c>
      <c r="K58" s="190">
        <v>32</v>
      </c>
      <c r="L58" s="190">
        <v>0</v>
      </c>
      <c r="M58" s="190">
        <v>10</v>
      </c>
      <c r="N58" s="190">
        <v>10</v>
      </c>
      <c r="O58" s="190">
        <v>0</v>
      </c>
      <c r="P58" s="190">
        <v>22</v>
      </c>
      <c r="Q58" s="190">
        <v>22</v>
      </c>
      <c r="R58" s="190">
        <v>0</v>
      </c>
      <c r="S58" s="190">
        <v>1</v>
      </c>
      <c r="T58" s="190">
        <v>1</v>
      </c>
      <c r="U58" s="190">
        <v>0</v>
      </c>
      <c r="V58" s="190">
        <v>3</v>
      </c>
      <c r="W58" s="190">
        <v>3</v>
      </c>
      <c r="X58" s="190">
        <v>4</v>
      </c>
      <c r="Y58" s="190">
        <v>107</v>
      </c>
      <c r="Z58" s="190">
        <v>111</v>
      </c>
      <c r="AA58" s="190">
        <v>1</v>
      </c>
      <c r="AB58" s="190">
        <v>55</v>
      </c>
      <c r="AC58" s="190">
        <v>56</v>
      </c>
      <c r="AD58" s="190">
        <v>1</v>
      </c>
      <c r="AE58" s="190">
        <v>30</v>
      </c>
      <c r="AF58" s="190">
        <v>31</v>
      </c>
      <c r="AG58" s="190">
        <v>0</v>
      </c>
      <c r="AH58" s="190">
        <v>16</v>
      </c>
      <c r="AI58" s="190">
        <v>16</v>
      </c>
      <c r="AJ58" s="190">
        <v>0</v>
      </c>
      <c r="AK58" s="190">
        <v>9</v>
      </c>
      <c r="AL58" s="190">
        <v>9</v>
      </c>
      <c r="AM58" s="190">
        <v>3</v>
      </c>
      <c r="AN58" s="190">
        <v>52</v>
      </c>
      <c r="AO58" s="190">
        <v>55</v>
      </c>
      <c r="AP58" s="190">
        <v>53</v>
      </c>
      <c r="AQ58" s="190">
        <v>871</v>
      </c>
      <c r="AR58" s="190">
        <v>924</v>
      </c>
      <c r="AS58" s="190">
        <v>53</v>
      </c>
      <c r="AT58" s="190">
        <v>871</v>
      </c>
      <c r="AU58" s="190">
        <v>924</v>
      </c>
      <c r="AV58" s="190">
        <v>0</v>
      </c>
      <c r="AW58" s="190">
        <v>0</v>
      </c>
      <c r="AX58" s="190">
        <v>0</v>
      </c>
      <c r="AY58" s="190">
        <v>7</v>
      </c>
      <c r="AZ58" s="190">
        <v>110</v>
      </c>
      <c r="BA58" s="190">
        <v>117</v>
      </c>
      <c r="BB58" s="190">
        <v>3</v>
      </c>
      <c r="BC58" s="190">
        <v>0</v>
      </c>
      <c r="BD58" s="190">
        <v>0</v>
      </c>
      <c r="BE58" s="190">
        <v>73</v>
      </c>
      <c r="BF58" s="190">
        <v>0</v>
      </c>
      <c r="BG58" s="190">
        <v>0</v>
      </c>
      <c r="BH58" s="190">
        <v>3</v>
      </c>
      <c r="BI58" s="190">
        <v>73</v>
      </c>
      <c r="BJ58" s="190">
        <v>76</v>
      </c>
      <c r="BK58" s="190">
        <v>1</v>
      </c>
      <c r="BL58" s="190">
        <v>-1</v>
      </c>
      <c r="BM58" s="190">
        <v>0</v>
      </c>
      <c r="BN58" s="190">
        <v>0</v>
      </c>
      <c r="BO58" s="190">
        <v>2</v>
      </c>
      <c r="BP58" s="190">
        <v>2</v>
      </c>
      <c r="BQ58" s="190">
        <v>1</v>
      </c>
      <c r="BR58" s="190">
        <v>9</v>
      </c>
      <c r="BS58" s="190">
        <v>10</v>
      </c>
      <c r="BT58" s="190">
        <v>2</v>
      </c>
      <c r="BU58" s="190">
        <v>27</v>
      </c>
      <c r="BV58" s="190">
        <v>29</v>
      </c>
      <c r="BW58" s="190">
        <v>60</v>
      </c>
      <c r="BX58" s="190">
        <v>981</v>
      </c>
      <c r="BY58" s="190">
        <v>1041</v>
      </c>
      <c r="BZ58" s="190">
        <v>60</v>
      </c>
      <c r="CA58" s="190">
        <v>980</v>
      </c>
      <c r="CB58" s="190">
        <v>1040</v>
      </c>
      <c r="CC58" s="190">
        <v>1778</v>
      </c>
      <c r="CD58" s="190">
        <v>0</v>
      </c>
      <c r="CE58" s="190">
        <v>1</v>
      </c>
      <c r="CF58" s="190">
        <v>0</v>
      </c>
      <c r="CG58" s="190">
        <v>1</v>
      </c>
      <c r="CH58" s="190">
        <v>1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2</v>
      </c>
      <c r="CO58" s="190">
        <v>93</v>
      </c>
      <c r="CP58" s="190">
        <v>95</v>
      </c>
      <c r="CQ58" s="190">
        <v>0</v>
      </c>
      <c r="CR58" s="190">
        <v>0</v>
      </c>
      <c r="CS58" s="190">
        <v>0</v>
      </c>
      <c r="CT58" s="190">
        <v>58</v>
      </c>
      <c r="CU58" s="190">
        <v>888</v>
      </c>
      <c r="CV58" s="190">
        <v>946</v>
      </c>
      <c r="CW58" s="190">
        <v>5</v>
      </c>
      <c r="CX58" s="190">
        <v>36</v>
      </c>
      <c r="CY58" s="190">
        <v>41</v>
      </c>
      <c r="CZ58" s="190">
        <v>5</v>
      </c>
      <c r="DA58" s="190">
        <v>0</v>
      </c>
      <c r="DB58" s="190">
        <v>0</v>
      </c>
      <c r="DC58" s="190">
        <v>36</v>
      </c>
      <c r="DD58" s="190">
        <v>0</v>
      </c>
      <c r="DE58" s="190">
        <v>0</v>
      </c>
      <c r="DF58" s="190">
        <v>5</v>
      </c>
      <c r="DG58" s="190">
        <v>36</v>
      </c>
      <c r="DH58" s="190">
        <v>41</v>
      </c>
      <c r="DI58" s="190">
        <v>0</v>
      </c>
      <c r="DJ58" s="190">
        <v>0</v>
      </c>
      <c r="DK58" s="190">
        <v>0</v>
      </c>
      <c r="DL58" s="190">
        <v>0</v>
      </c>
      <c r="DM58" s="190">
        <v>0</v>
      </c>
      <c r="DN58" s="190">
        <v>0</v>
      </c>
      <c r="DO58" s="190">
        <v>0</v>
      </c>
      <c r="DP58" s="190">
        <v>0</v>
      </c>
      <c r="DQ58" s="190">
        <v>0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2498</v>
      </c>
      <c r="C59" s="190">
        <v>323</v>
      </c>
      <c r="D59" s="190">
        <v>2396</v>
      </c>
      <c r="E59" s="190">
        <v>1914</v>
      </c>
      <c r="F59" s="190">
        <v>8</v>
      </c>
      <c r="G59" s="190">
        <v>108</v>
      </c>
      <c r="H59" s="190">
        <v>116</v>
      </c>
      <c r="I59" s="190">
        <v>1</v>
      </c>
      <c r="J59" s="190">
        <v>433</v>
      </c>
      <c r="K59" s="190">
        <v>434</v>
      </c>
      <c r="L59" s="190">
        <v>1</v>
      </c>
      <c r="M59" s="190">
        <v>433</v>
      </c>
      <c r="N59" s="190">
        <v>434</v>
      </c>
      <c r="O59" s="190">
        <v>0</v>
      </c>
      <c r="P59" s="190">
        <v>0</v>
      </c>
      <c r="Q59" s="190">
        <v>0</v>
      </c>
      <c r="R59" s="190">
        <v>0</v>
      </c>
      <c r="S59" s="190">
        <v>82</v>
      </c>
      <c r="T59" s="190">
        <v>82</v>
      </c>
      <c r="U59" s="190">
        <v>0</v>
      </c>
      <c r="V59" s="190">
        <v>48</v>
      </c>
      <c r="W59" s="190">
        <v>48</v>
      </c>
      <c r="X59" s="190">
        <v>77</v>
      </c>
      <c r="Y59" s="190">
        <v>1933</v>
      </c>
      <c r="Z59" s="190">
        <v>2010</v>
      </c>
      <c r="AA59" s="190">
        <v>45</v>
      </c>
      <c r="AB59" s="190">
        <v>928</v>
      </c>
      <c r="AC59" s="190">
        <v>973</v>
      </c>
      <c r="AD59" s="190">
        <v>36</v>
      </c>
      <c r="AE59" s="190">
        <v>827</v>
      </c>
      <c r="AF59" s="190">
        <v>863</v>
      </c>
      <c r="AG59" s="190">
        <v>7</v>
      </c>
      <c r="AH59" s="190">
        <v>83</v>
      </c>
      <c r="AI59" s="190">
        <v>90</v>
      </c>
      <c r="AJ59" s="190">
        <v>2</v>
      </c>
      <c r="AK59" s="190">
        <v>18</v>
      </c>
      <c r="AL59" s="190">
        <v>20</v>
      </c>
      <c r="AM59" s="190">
        <v>32</v>
      </c>
      <c r="AN59" s="190">
        <v>1005</v>
      </c>
      <c r="AO59" s="190">
        <v>1037</v>
      </c>
      <c r="AP59" s="190">
        <v>7330</v>
      </c>
      <c r="AQ59" s="190">
        <v>44289</v>
      </c>
      <c r="AR59" s="190">
        <v>51619</v>
      </c>
      <c r="AS59" s="190">
        <v>7207</v>
      </c>
      <c r="AT59" s="190">
        <v>43711</v>
      </c>
      <c r="AU59" s="190">
        <v>50918</v>
      </c>
      <c r="AV59" s="190">
        <v>123</v>
      </c>
      <c r="AW59" s="190">
        <v>578</v>
      </c>
      <c r="AX59" s="190">
        <v>701</v>
      </c>
      <c r="AY59" s="190">
        <v>199</v>
      </c>
      <c r="AZ59" s="190">
        <v>3315</v>
      </c>
      <c r="BA59" s="190">
        <v>3514</v>
      </c>
      <c r="BB59" s="190">
        <v>149</v>
      </c>
      <c r="BC59" s="190">
        <v>2</v>
      </c>
      <c r="BD59" s="190">
        <v>0</v>
      </c>
      <c r="BE59" s="190">
        <v>1703</v>
      </c>
      <c r="BF59" s="190">
        <v>50</v>
      </c>
      <c r="BG59" s="190">
        <v>10</v>
      </c>
      <c r="BH59" s="190">
        <v>151</v>
      </c>
      <c r="BI59" s="190">
        <v>1763</v>
      </c>
      <c r="BJ59" s="190">
        <v>1914</v>
      </c>
      <c r="BK59" s="190">
        <v>-57</v>
      </c>
      <c r="BL59" s="190">
        <v>57</v>
      </c>
      <c r="BM59" s="190">
        <v>0</v>
      </c>
      <c r="BN59" s="190">
        <v>7</v>
      </c>
      <c r="BO59" s="190">
        <v>37</v>
      </c>
      <c r="BP59" s="190">
        <v>44</v>
      </c>
      <c r="BQ59" s="190">
        <v>37</v>
      </c>
      <c r="BR59" s="190">
        <v>358</v>
      </c>
      <c r="BS59" s="190">
        <v>395</v>
      </c>
      <c r="BT59" s="190">
        <v>61</v>
      </c>
      <c r="BU59" s="190">
        <v>1100</v>
      </c>
      <c r="BV59" s="190">
        <v>1161</v>
      </c>
      <c r="BW59" s="190">
        <v>7529</v>
      </c>
      <c r="BX59" s="190">
        <v>47604</v>
      </c>
      <c r="BY59" s="190">
        <v>55133</v>
      </c>
      <c r="BZ59" s="190">
        <v>7465</v>
      </c>
      <c r="CA59" s="190">
        <v>46640</v>
      </c>
      <c r="CB59" s="190">
        <v>54105</v>
      </c>
      <c r="CC59" s="190">
        <v>121067</v>
      </c>
      <c r="CD59" s="190">
        <v>202</v>
      </c>
      <c r="CE59" s="190">
        <v>919</v>
      </c>
      <c r="CF59" s="190">
        <v>62</v>
      </c>
      <c r="CG59" s="190">
        <v>754</v>
      </c>
      <c r="CH59" s="190">
        <v>816</v>
      </c>
      <c r="CI59" s="190">
        <v>263</v>
      </c>
      <c r="CJ59" s="190">
        <v>2</v>
      </c>
      <c r="CK59" s="190">
        <v>2</v>
      </c>
      <c r="CL59" s="190">
        <v>210</v>
      </c>
      <c r="CM59" s="190">
        <v>212</v>
      </c>
      <c r="CN59" s="190">
        <v>456</v>
      </c>
      <c r="CO59" s="190">
        <v>4055</v>
      </c>
      <c r="CP59" s="190">
        <v>4511</v>
      </c>
      <c r="CQ59" s="190">
        <v>0</v>
      </c>
      <c r="CR59" s="190">
        <v>1</v>
      </c>
      <c r="CS59" s="190">
        <v>1</v>
      </c>
      <c r="CT59" s="190">
        <v>7073</v>
      </c>
      <c r="CU59" s="190">
        <v>43549</v>
      </c>
      <c r="CV59" s="190">
        <v>50622</v>
      </c>
      <c r="CW59" s="190">
        <v>519</v>
      </c>
      <c r="CX59" s="190">
        <v>2411</v>
      </c>
      <c r="CY59" s="190">
        <v>2930</v>
      </c>
      <c r="CZ59" s="190">
        <v>510</v>
      </c>
      <c r="DA59" s="190">
        <v>2</v>
      </c>
      <c r="DB59" s="190">
        <v>0</v>
      </c>
      <c r="DC59" s="190">
        <v>2260</v>
      </c>
      <c r="DD59" s="190">
        <v>51</v>
      </c>
      <c r="DE59" s="190">
        <v>4</v>
      </c>
      <c r="DF59" s="190">
        <v>512</v>
      </c>
      <c r="DG59" s="190">
        <v>2315</v>
      </c>
      <c r="DH59" s="190">
        <v>2827</v>
      </c>
      <c r="DI59" s="190">
        <v>7</v>
      </c>
      <c r="DJ59" s="190">
        <v>0</v>
      </c>
      <c r="DK59" s="190">
        <v>0</v>
      </c>
      <c r="DL59" s="190">
        <v>92</v>
      </c>
      <c r="DM59" s="190">
        <v>4</v>
      </c>
      <c r="DN59" s="190">
        <v>0</v>
      </c>
      <c r="DO59" s="190">
        <v>7</v>
      </c>
      <c r="DP59" s="190">
        <v>96</v>
      </c>
      <c r="DQ59" s="190">
        <v>103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204</v>
      </c>
      <c r="C60" s="190">
        <v>28</v>
      </c>
      <c r="D60" s="190">
        <v>200</v>
      </c>
      <c r="E60" s="190">
        <v>127</v>
      </c>
      <c r="F60" s="190">
        <v>0</v>
      </c>
      <c r="G60" s="190">
        <v>7</v>
      </c>
      <c r="H60" s="190">
        <v>7</v>
      </c>
      <c r="I60" s="190">
        <v>0</v>
      </c>
      <c r="J60" s="190">
        <v>66</v>
      </c>
      <c r="K60" s="190">
        <v>66</v>
      </c>
      <c r="L60" s="190">
        <v>0</v>
      </c>
      <c r="M60" s="190">
        <v>20</v>
      </c>
      <c r="N60" s="190">
        <v>20</v>
      </c>
      <c r="O60" s="190">
        <v>0</v>
      </c>
      <c r="P60" s="190">
        <v>46</v>
      </c>
      <c r="Q60" s="190">
        <v>46</v>
      </c>
      <c r="R60" s="190">
        <v>0</v>
      </c>
      <c r="S60" s="190">
        <v>1</v>
      </c>
      <c r="T60" s="190">
        <v>1</v>
      </c>
      <c r="U60" s="190">
        <v>0</v>
      </c>
      <c r="V60" s="190">
        <v>7</v>
      </c>
      <c r="W60" s="190">
        <v>7</v>
      </c>
      <c r="X60" s="190">
        <v>4</v>
      </c>
      <c r="Y60" s="190">
        <v>196</v>
      </c>
      <c r="Z60" s="190">
        <v>200</v>
      </c>
      <c r="AA60" s="190">
        <v>3</v>
      </c>
      <c r="AB60" s="190">
        <v>81</v>
      </c>
      <c r="AC60" s="190">
        <v>84</v>
      </c>
      <c r="AD60" s="190">
        <v>3</v>
      </c>
      <c r="AE60" s="190">
        <v>76</v>
      </c>
      <c r="AF60" s="190">
        <v>79</v>
      </c>
      <c r="AG60" s="190">
        <v>0</v>
      </c>
      <c r="AH60" s="190">
        <v>3</v>
      </c>
      <c r="AI60" s="190">
        <v>3</v>
      </c>
      <c r="AJ60" s="190">
        <v>0</v>
      </c>
      <c r="AK60" s="190">
        <v>2</v>
      </c>
      <c r="AL60" s="190">
        <v>2</v>
      </c>
      <c r="AM60" s="190">
        <v>1</v>
      </c>
      <c r="AN60" s="190">
        <v>115</v>
      </c>
      <c r="AO60" s="190">
        <v>116</v>
      </c>
      <c r="AP60" s="190">
        <v>261</v>
      </c>
      <c r="AQ60" s="190">
        <v>2632</v>
      </c>
      <c r="AR60" s="190">
        <v>2893</v>
      </c>
      <c r="AS60" s="190">
        <v>261</v>
      </c>
      <c r="AT60" s="190">
        <v>2632</v>
      </c>
      <c r="AU60" s="190">
        <v>2893</v>
      </c>
      <c r="AV60" s="190">
        <v>0</v>
      </c>
      <c r="AW60" s="190">
        <v>0</v>
      </c>
      <c r="AX60" s="190">
        <v>0</v>
      </c>
      <c r="AY60" s="190">
        <v>12</v>
      </c>
      <c r="AZ60" s="190">
        <v>223</v>
      </c>
      <c r="BA60" s="190">
        <v>235</v>
      </c>
      <c r="BB60" s="190">
        <v>5</v>
      </c>
      <c r="BC60" s="190">
        <v>0</v>
      </c>
      <c r="BD60" s="190">
        <v>0</v>
      </c>
      <c r="BE60" s="190">
        <v>122</v>
      </c>
      <c r="BF60" s="190">
        <v>0</v>
      </c>
      <c r="BG60" s="190">
        <v>0</v>
      </c>
      <c r="BH60" s="190">
        <v>5</v>
      </c>
      <c r="BI60" s="190">
        <v>122</v>
      </c>
      <c r="BJ60" s="190">
        <v>127</v>
      </c>
      <c r="BK60" s="190">
        <v>-1</v>
      </c>
      <c r="BL60" s="190">
        <v>1</v>
      </c>
      <c r="BM60" s="190">
        <v>0</v>
      </c>
      <c r="BN60" s="190">
        <v>4</v>
      </c>
      <c r="BO60" s="190">
        <v>11</v>
      </c>
      <c r="BP60" s="190">
        <v>15</v>
      </c>
      <c r="BQ60" s="190">
        <v>2</v>
      </c>
      <c r="BR60" s="190">
        <v>43</v>
      </c>
      <c r="BS60" s="190">
        <v>45</v>
      </c>
      <c r="BT60" s="190">
        <v>2</v>
      </c>
      <c r="BU60" s="190">
        <v>46</v>
      </c>
      <c r="BV60" s="190">
        <v>48</v>
      </c>
      <c r="BW60" s="190">
        <v>273</v>
      </c>
      <c r="BX60" s="190">
        <v>2855</v>
      </c>
      <c r="BY60" s="190">
        <v>3128</v>
      </c>
      <c r="BZ60" s="190">
        <v>272</v>
      </c>
      <c r="CA60" s="190">
        <v>2847</v>
      </c>
      <c r="CB60" s="190">
        <v>3119</v>
      </c>
      <c r="CC60" s="190">
        <v>5445</v>
      </c>
      <c r="CD60" s="190">
        <v>1</v>
      </c>
      <c r="CE60" s="190">
        <v>7</v>
      </c>
      <c r="CF60" s="190">
        <v>1</v>
      </c>
      <c r="CG60" s="190">
        <v>6</v>
      </c>
      <c r="CH60" s="190">
        <v>7</v>
      </c>
      <c r="CI60" s="190">
        <v>4</v>
      </c>
      <c r="CJ60" s="190">
        <v>0</v>
      </c>
      <c r="CK60" s="190">
        <v>0</v>
      </c>
      <c r="CL60" s="190">
        <v>2</v>
      </c>
      <c r="CM60" s="190">
        <v>2</v>
      </c>
      <c r="CN60" s="190">
        <v>14</v>
      </c>
      <c r="CO60" s="190">
        <v>260</v>
      </c>
      <c r="CP60" s="190">
        <v>274</v>
      </c>
      <c r="CQ60" s="190">
        <v>11</v>
      </c>
      <c r="CR60" s="190">
        <v>217</v>
      </c>
      <c r="CS60" s="190">
        <v>228</v>
      </c>
      <c r="CT60" s="190">
        <v>259</v>
      </c>
      <c r="CU60" s="190">
        <v>2595</v>
      </c>
      <c r="CV60" s="190">
        <v>2854</v>
      </c>
      <c r="CW60" s="190">
        <v>16</v>
      </c>
      <c r="CX60" s="190">
        <v>127</v>
      </c>
      <c r="CY60" s="190">
        <v>143</v>
      </c>
      <c r="CZ60" s="190">
        <v>16</v>
      </c>
      <c r="DA60" s="190">
        <v>0</v>
      </c>
      <c r="DB60" s="190">
        <v>0</v>
      </c>
      <c r="DC60" s="190">
        <v>127</v>
      </c>
      <c r="DD60" s="190">
        <v>0</v>
      </c>
      <c r="DE60" s="190">
        <v>0</v>
      </c>
      <c r="DF60" s="190">
        <v>16</v>
      </c>
      <c r="DG60" s="190">
        <v>127</v>
      </c>
      <c r="DH60" s="190">
        <v>143</v>
      </c>
      <c r="DI60" s="190">
        <v>0</v>
      </c>
      <c r="DJ60" s="190">
        <v>0</v>
      </c>
      <c r="DK60" s="190">
        <v>0</v>
      </c>
      <c r="DL60" s="190">
        <v>0</v>
      </c>
      <c r="DM60" s="190">
        <v>0</v>
      </c>
      <c r="DN60" s="190">
        <v>0</v>
      </c>
      <c r="DO60" s="190">
        <v>0</v>
      </c>
      <c r="DP60" s="190">
        <v>0</v>
      </c>
      <c r="DQ60" s="190">
        <v>0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2715</v>
      </c>
      <c r="C61" s="190">
        <v>388</v>
      </c>
      <c r="D61" s="190">
        <v>2252</v>
      </c>
      <c r="E61" s="190">
        <v>1507</v>
      </c>
      <c r="F61" s="190">
        <v>1</v>
      </c>
      <c r="G61" s="190">
        <v>24</v>
      </c>
      <c r="H61" s="190">
        <v>25</v>
      </c>
      <c r="I61" s="190">
        <v>1</v>
      </c>
      <c r="J61" s="190">
        <v>654</v>
      </c>
      <c r="K61" s="190">
        <v>655</v>
      </c>
      <c r="L61" s="190">
        <v>0</v>
      </c>
      <c r="M61" s="190">
        <v>232</v>
      </c>
      <c r="N61" s="190">
        <v>232</v>
      </c>
      <c r="O61" s="190">
        <v>1</v>
      </c>
      <c r="P61" s="190">
        <v>422</v>
      </c>
      <c r="Q61" s="190">
        <v>423</v>
      </c>
      <c r="R61" s="190">
        <v>0</v>
      </c>
      <c r="S61" s="190">
        <v>54</v>
      </c>
      <c r="T61" s="190">
        <v>54</v>
      </c>
      <c r="U61" s="190">
        <v>0</v>
      </c>
      <c r="V61" s="190">
        <v>90</v>
      </c>
      <c r="W61" s="190">
        <v>90</v>
      </c>
      <c r="X61" s="190">
        <v>23</v>
      </c>
      <c r="Y61" s="190">
        <v>1369</v>
      </c>
      <c r="Z61" s="190">
        <v>1392</v>
      </c>
      <c r="AA61" s="190">
        <v>11</v>
      </c>
      <c r="AB61" s="190">
        <v>695</v>
      </c>
      <c r="AC61" s="190">
        <v>706</v>
      </c>
      <c r="AD61" s="190">
        <v>11</v>
      </c>
      <c r="AE61" s="190">
        <v>676</v>
      </c>
      <c r="AF61" s="190">
        <v>687</v>
      </c>
      <c r="AG61" s="190">
        <v>0</v>
      </c>
      <c r="AH61" s="190">
        <v>12</v>
      </c>
      <c r="AI61" s="190">
        <v>12</v>
      </c>
      <c r="AJ61" s="190">
        <v>0</v>
      </c>
      <c r="AK61" s="190">
        <v>7</v>
      </c>
      <c r="AL61" s="190">
        <v>7</v>
      </c>
      <c r="AM61" s="190">
        <v>12</v>
      </c>
      <c r="AN61" s="190">
        <v>674</v>
      </c>
      <c r="AO61" s="190">
        <v>686</v>
      </c>
      <c r="AP61" s="190">
        <v>2709</v>
      </c>
      <c r="AQ61" s="190">
        <v>31577</v>
      </c>
      <c r="AR61" s="190">
        <v>34286</v>
      </c>
      <c r="AS61" s="190">
        <v>2717</v>
      </c>
      <c r="AT61" s="190">
        <v>31690</v>
      </c>
      <c r="AU61" s="190">
        <v>34407</v>
      </c>
      <c r="AV61" s="190">
        <v>-8</v>
      </c>
      <c r="AW61" s="190">
        <v>-113</v>
      </c>
      <c r="AX61" s="190">
        <v>-121</v>
      </c>
      <c r="AY61" s="190">
        <v>168</v>
      </c>
      <c r="AZ61" s="190">
        <v>2850</v>
      </c>
      <c r="BA61" s="190">
        <v>3018</v>
      </c>
      <c r="BB61" s="190">
        <v>63</v>
      </c>
      <c r="BC61" s="190">
        <v>1</v>
      </c>
      <c r="BD61" s="190">
        <v>0</v>
      </c>
      <c r="BE61" s="190">
        <v>1425</v>
      </c>
      <c r="BF61" s="190">
        <v>11</v>
      </c>
      <c r="BG61" s="190">
        <v>7</v>
      </c>
      <c r="BH61" s="190">
        <v>64</v>
      </c>
      <c r="BI61" s="190">
        <v>1443</v>
      </c>
      <c r="BJ61" s="190">
        <v>1507</v>
      </c>
      <c r="BK61" s="190">
        <v>6</v>
      </c>
      <c r="BL61" s="190">
        <v>-6</v>
      </c>
      <c r="BM61" s="190">
        <v>0</v>
      </c>
      <c r="BN61" s="190">
        <v>0</v>
      </c>
      <c r="BO61" s="190">
        <v>33</v>
      </c>
      <c r="BP61" s="190">
        <v>33</v>
      </c>
      <c r="BQ61" s="190">
        <v>25</v>
      </c>
      <c r="BR61" s="190">
        <v>362</v>
      </c>
      <c r="BS61" s="190">
        <v>387</v>
      </c>
      <c r="BT61" s="190">
        <v>73</v>
      </c>
      <c r="BU61" s="190">
        <v>1018</v>
      </c>
      <c r="BV61" s="190">
        <v>1091</v>
      </c>
      <c r="BW61" s="190">
        <v>2877</v>
      </c>
      <c r="BX61" s="190">
        <v>34427</v>
      </c>
      <c r="BY61" s="190">
        <v>37304</v>
      </c>
      <c r="BZ61" s="190">
        <v>2853</v>
      </c>
      <c r="CA61" s="190">
        <v>33903</v>
      </c>
      <c r="CB61" s="190">
        <v>36756</v>
      </c>
      <c r="CC61" s="190">
        <v>75358</v>
      </c>
      <c r="CD61" s="190">
        <v>47</v>
      </c>
      <c r="CE61" s="190">
        <v>501</v>
      </c>
      <c r="CF61" s="190">
        <v>24</v>
      </c>
      <c r="CG61" s="190">
        <v>313</v>
      </c>
      <c r="CH61" s="190">
        <v>337</v>
      </c>
      <c r="CI61" s="190">
        <v>278</v>
      </c>
      <c r="CJ61" s="190">
        <v>0</v>
      </c>
      <c r="CK61" s="190">
        <v>0</v>
      </c>
      <c r="CL61" s="190">
        <v>211</v>
      </c>
      <c r="CM61" s="190">
        <v>211</v>
      </c>
      <c r="CN61" s="190">
        <v>159</v>
      </c>
      <c r="CO61" s="190">
        <v>3226</v>
      </c>
      <c r="CP61" s="190">
        <v>3385</v>
      </c>
      <c r="CQ61" s="190">
        <v>0</v>
      </c>
      <c r="CR61" s="190">
        <v>10</v>
      </c>
      <c r="CS61" s="190">
        <v>10</v>
      </c>
      <c r="CT61" s="190">
        <v>2718</v>
      </c>
      <c r="CU61" s="190">
        <v>31201</v>
      </c>
      <c r="CV61" s="190">
        <v>33919</v>
      </c>
      <c r="CW61" s="190">
        <v>201</v>
      </c>
      <c r="CX61" s="190">
        <v>1386</v>
      </c>
      <c r="CY61" s="190">
        <v>1587</v>
      </c>
      <c r="CZ61" s="190">
        <v>194</v>
      </c>
      <c r="DA61" s="190">
        <v>1</v>
      </c>
      <c r="DB61" s="190">
        <v>0</v>
      </c>
      <c r="DC61" s="190">
        <v>1300</v>
      </c>
      <c r="DD61" s="190">
        <v>7</v>
      </c>
      <c r="DE61" s="190">
        <v>3</v>
      </c>
      <c r="DF61" s="190">
        <v>195</v>
      </c>
      <c r="DG61" s="190">
        <v>1310</v>
      </c>
      <c r="DH61" s="190">
        <v>1505</v>
      </c>
      <c r="DI61" s="190">
        <v>6</v>
      </c>
      <c r="DJ61" s="190">
        <v>0</v>
      </c>
      <c r="DK61" s="190">
        <v>0</v>
      </c>
      <c r="DL61" s="190">
        <v>76</v>
      </c>
      <c r="DM61" s="190">
        <v>0</v>
      </c>
      <c r="DN61" s="190">
        <v>0</v>
      </c>
      <c r="DO61" s="190">
        <v>6</v>
      </c>
      <c r="DP61" s="190">
        <v>76</v>
      </c>
      <c r="DQ61" s="190">
        <v>82</v>
      </c>
      <c r="DR61" s="190">
        <v>2</v>
      </c>
      <c r="DS61" s="190">
        <v>9</v>
      </c>
      <c r="DT61" s="191">
        <v>11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777</v>
      </c>
      <c r="C62" s="190">
        <v>45</v>
      </c>
      <c r="D62" s="190">
        <v>858</v>
      </c>
      <c r="E62" s="190">
        <v>444</v>
      </c>
      <c r="F62" s="190">
        <v>5</v>
      </c>
      <c r="G62" s="190">
        <v>29</v>
      </c>
      <c r="H62" s="190">
        <v>34</v>
      </c>
      <c r="I62" s="190">
        <v>0</v>
      </c>
      <c r="J62" s="190">
        <v>373</v>
      </c>
      <c r="K62" s="190">
        <v>373</v>
      </c>
      <c r="L62" s="190">
        <v>0</v>
      </c>
      <c r="M62" s="190">
        <v>231</v>
      </c>
      <c r="N62" s="190">
        <v>231</v>
      </c>
      <c r="O62" s="190">
        <v>0</v>
      </c>
      <c r="P62" s="190">
        <v>142</v>
      </c>
      <c r="Q62" s="190">
        <v>142</v>
      </c>
      <c r="R62" s="190">
        <v>0</v>
      </c>
      <c r="S62" s="190">
        <v>25</v>
      </c>
      <c r="T62" s="190">
        <v>25</v>
      </c>
      <c r="U62" s="190">
        <v>0</v>
      </c>
      <c r="V62" s="190">
        <v>41</v>
      </c>
      <c r="W62" s="190">
        <v>41</v>
      </c>
      <c r="X62" s="190">
        <v>1</v>
      </c>
      <c r="Y62" s="190">
        <v>225</v>
      </c>
      <c r="Z62" s="190">
        <v>226</v>
      </c>
      <c r="AA62" s="190">
        <v>1</v>
      </c>
      <c r="AB62" s="190">
        <v>224</v>
      </c>
      <c r="AC62" s="190">
        <v>225</v>
      </c>
      <c r="AD62" s="190">
        <v>0</v>
      </c>
      <c r="AE62" s="190">
        <v>214</v>
      </c>
      <c r="AF62" s="190">
        <v>214</v>
      </c>
      <c r="AG62" s="190">
        <v>0</v>
      </c>
      <c r="AH62" s="190">
        <v>5</v>
      </c>
      <c r="AI62" s="190">
        <v>5</v>
      </c>
      <c r="AJ62" s="190">
        <v>1</v>
      </c>
      <c r="AK62" s="190">
        <v>5</v>
      </c>
      <c r="AL62" s="190">
        <v>6</v>
      </c>
      <c r="AM62" s="190">
        <v>0</v>
      </c>
      <c r="AN62" s="190">
        <v>1</v>
      </c>
      <c r="AO62" s="190">
        <v>1</v>
      </c>
      <c r="AP62" s="190">
        <v>874</v>
      </c>
      <c r="AQ62" s="190">
        <v>8621</v>
      </c>
      <c r="AR62" s="190">
        <v>9495</v>
      </c>
      <c r="AS62" s="190">
        <v>878</v>
      </c>
      <c r="AT62" s="190">
        <v>8592</v>
      </c>
      <c r="AU62" s="190">
        <v>9470</v>
      </c>
      <c r="AV62" s="190">
        <v>-4</v>
      </c>
      <c r="AW62" s="190">
        <v>29</v>
      </c>
      <c r="AX62" s="190">
        <v>25</v>
      </c>
      <c r="AY62" s="190">
        <v>40</v>
      </c>
      <c r="AZ62" s="190">
        <v>814</v>
      </c>
      <c r="BA62" s="190">
        <v>854</v>
      </c>
      <c r="BB62" s="190">
        <v>30</v>
      </c>
      <c r="BC62" s="190">
        <v>0</v>
      </c>
      <c r="BD62" s="190">
        <v>0</v>
      </c>
      <c r="BE62" s="190">
        <v>405</v>
      </c>
      <c r="BF62" s="190">
        <v>5</v>
      </c>
      <c r="BG62" s="190">
        <v>4</v>
      </c>
      <c r="BH62" s="190">
        <v>30</v>
      </c>
      <c r="BI62" s="190">
        <v>414</v>
      </c>
      <c r="BJ62" s="190">
        <v>444</v>
      </c>
      <c r="BK62" s="190">
        <v>-23</v>
      </c>
      <c r="BL62" s="190">
        <v>23</v>
      </c>
      <c r="BM62" s="190">
        <v>0</v>
      </c>
      <c r="BN62" s="190">
        <v>4</v>
      </c>
      <c r="BO62" s="190">
        <v>16</v>
      </c>
      <c r="BP62" s="190">
        <v>20</v>
      </c>
      <c r="BQ62" s="190">
        <v>4</v>
      </c>
      <c r="BR62" s="190">
        <v>66</v>
      </c>
      <c r="BS62" s="190">
        <v>70</v>
      </c>
      <c r="BT62" s="190">
        <v>25</v>
      </c>
      <c r="BU62" s="190">
        <v>295</v>
      </c>
      <c r="BV62" s="190">
        <v>320</v>
      </c>
      <c r="BW62" s="190">
        <v>914</v>
      </c>
      <c r="BX62" s="190">
        <v>9435</v>
      </c>
      <c r="BY62" s="190">
        <v>10349</v>
      </c>
      <c r="BZ62" s="190">
        <v>875</v>
      </c>
      <c r="CA62" s="190">
        <v>9230</v>
      </c>
      <c r="CB62" s="190">
        <v>10105</v>
      </c>
      <c r="CC62" s="190">
        <v>19807</v>
      </c>
      <c r="CD62" s="190">
        <v>14</v>
      </c>
      <c r="CE62" s="190">
        <v>258</v>
      </c>
      <c r="CF62" s="190">
        <v>38</v>
      </c>
      <c r="CG62" s="190">
        <v>148</v>
      </c>
      <c r="CH62" s="190">
        <v>186</v>
      </c>
      <c r="CI62" s="190">
        <v>88</v>
      </c>
      <c r="CJ62" s="190">
        <v>0</v>
      </c>
      <c r="CK62" s="190">
        <v>1</v>
      </c>
      <c r="CL62" s="190">
        <v>57</v>
      </c>
      <c r="CM62" s="190">
        <v>58</v>
      </c>
      <c r="CN62" s="190">
        <v>57</v>
      </c>
      <c r="CO62" s="190">
        <v>966</v>
      </c>
      <c r="CP62" s="190">
        <v>1023</v>
      </c>
      <c r="CQ62" s="190">
        <v>0</v>
      </c>
      <c r="CR62" s="190">
        <v>0</v>
      </c>
      <c r="CS62" s="190">
        <v>0</v>
      </c>
      <c r="CT62" s="190">
        <v>857</v>
      </c>
      <c r="CU62" s="190">
        <v>8469</v>
      </c>
      <c r="CV62" s="190">
        <v>9326</v>
      </c>
      <c r="CW62" s="190">
        <v>63</v>
      </c>
      <c r="CX62" s="190">
        <v>493</v>
      </c>
      <c r="CY62" s="190">
        <v>556</v>
      </c>
      <c r="CZ62" s="190">
        <v>60</v>
      </c>
      <c r="DA62" s="190">
        <v>2</v>
      </c>
      <c r="DB62" s="190">
        <v>0</v>
      </c>
      <c r="DC62" s="190">
        <v>398</v>
      </c>
      <c r="DD62" s="190">
        <v>5</v>
      </c>
      <c r="DE62" s="190">
        <v>2</v>
      </c>
      <c r="DF62" s="190">
        <v>62</v>
      </c>
      <c r="DG62" s="190">
        <v>405</v>
      </c>
      <c r="DH62" s="190">
        <v>467</v>
      </c>
      <c r="DI62" s="190">
        <v>1</v>
      </c>
      <c r="DJ62" s="190">
        <v>0</v>
      </c>
      <c r="DK62" s="190">
        <v>0</v>
      </c>
      <c r="DL62" s="190">
        <v>86</v>
      </c>
      <c r="DM62" s="190">
        <v>2</v>
      </c>
      <c r="DN62" s="190">
        <v>0</v>
      </c>
      <c r="DO62" s="190">
        <v>1</v>
      </c>
      <c r="DP62" s="190">
        <v>88</v>
      </c>
      <c r="DQ62" s="190">
        <v>89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433</v>
      </c>
      <c r="C63" s="195">
        <v>88</v>
      </c>
      <c r="D63" s="195">
        <v>431</v>
      </c>
      <c r="E63" s="195">
        <v>267</v>
      </c>
      <c r="F63" s="195">
        <v>0</v>
      </c>
      <c r="G63" s="195">
        <v>1</v>
      </c>
      <c r="H63" s="195">
        <v>1</v>
      </c>
      <c r="I63" s="195">
        <v>0</v>
      </c>
      <c r="J63" s="195">
        <v>158</v>
      </c>
      <c r="K63" s="195">
        <v>158</v>
      </c>
      <c r="L63" s="195">
        <v>0</v>
      </c>
      <c r="M63" s="195">
        <v>59</v>
      </c>
      <c r="N63" s="195">
        <v>59</v>
      </c>
      <c r="O63" s="195">
        <v>0</v>
      </c>
      <c r="P63" s="195">
        <v>99</v>
      </c>
      <c r="Q63" s="195">
        <v>99</v>
      </c>
      <c r="R63" s="195">
        <v>0</v>
      </c>
      <c r="S63" s="195">
        <v>0</v>
      </c>
      <c r="T63" s="195">
        <v>0</v>
      </c>
      <c r="U63" s="195">
        <v>0</v>
      </c>
      <c r="V63" s="195">
        <v>6</v>
      </c>
      <c r="W63" s="195">
        <v>6</v>
      </c>
      <c r="X63" s="195">
        <v>17</v>
      </c>
      <c r="Y63" s="195">
        <v>414</v>
      </c>
      <c r="Z63" s="195">
        <v>431</v>
      </c>
      <c r="AA63" s="195">
        <v>8</v>
      </c>
      <c r="AB63" s="195">
        <v>216</v>
      </c>
      <c r="AC63" s="195">
        <v>224</v>
      </c>
      <c r="AD63" s="195">
        <v>8</v>
      </c>
      <c r="AE63" s="195">
        <v>211</v>
      </c>
      <c r="AF63" s="195">
        <v>219</v>
      </c>
      <c r="AG63" s="195">
        <v>0</v>
      </c>
      <c r="AH63" s="195">
        <v>3</v>
      </c>
      <c r="AI63" s="195">
        <v>3</v>
      </c>
      <c r="AJ63" s="195">
        <v>0</v>
      </c>
      <c r="AK63" s="195">
        <v>2</v>
      </c>
      <c r="AL63" s="195">
        <v>2</v>
      </c>
      <c r="AM63" s="195">
        <v>9</v>
      </c>
      <c r="AN63" s="195">
        <v>198</v>
      </c>
      <c r="AO63" s="195">
        <v>207</v>
      </c>
      <c r="AP63" s="195">
        <v>760</v>
      </c>
      <c r="AQ63" s="195">
        <v>4841</v>
      </c>
      <c r="AR63" s="195">
        <v>5601</v>
      </c>
      <c r="AS63" s="195">
        <v>760</v>
      </c>
      <c r="AT63" s="195">
        <v>4842</v>
      </c>
      <c r="AU63" s="195">
        <v>5602</v>
      </c>
      <c r="AV63" s="195">
        <v>0</v>
      </c>
      <c r="AW63" s="195">
        <v>-1</v>
      </c>
      <c r="AX63" s="195">
        <v>-1</v>
      </c>
      <c r="AY63" s="195">
        <v>32</v>
      </c>
      <c r="AZ63" s="195">
        <v>480</v>
      </c>
      <c r="BA63" s="195">
        <v>512</v>
      </c>
      <c r="BB63" s="195">
        <v>17</v>
      </c>
      <c r="BC63" s="195">
        <v>0</v>
      </c>
      <c r="BD63" s="195">
        <v>0</v>
      </c>
      <c r="BE63" s="195">
        <v>248</v>
      </c>
      <c r="BF63" s="195">
        <v>1</v>
      </c>
      <c r="BG63" s="195">
        <v>1</v>
      </c>
      <c r="BH63" s="195">
        <v>17</v>
      </c>
      <c r="BI63" s="195">
        <v>250</v>
      </c>
      <c r="BJ63" s="195">
        <v>267</v>
      </c>
      <c r="BK63" s="195">
        <v>-11</v>
      </c>
      <c r="BL63" s="195">
        <v>11</v>
      </c>
      <c r="BM63" s="195">
        <v>0</v>
      </c>
      <c r="BN63" s="195">
        <v>0</v>
      </c>
      <c r="BO63" s="195">
        <v>29</v>
      </c>
      <c r="BP63" s="195">
        <v>29</v>
      </c>
      <c r="BQ63" s="195">
        <v>3</v>
      </c>
      <c r="BR63" s="195">
        <v>54</v>
      </c>
      <c r="BS63" s="195">
        <v>57</v>
      </c>
      <c r="BT63" s="195">
        <v>23</v>
      </c>
      <c r="BU63" s="195">
        <v>136</v>
      </c>
      <c r="BV63" s="195">
        <v>159</v>
      </c>
      <c r="BW63" s="195">
        <v>792</v>
      </c>
      <c r="BX63" s="195">
        <v>5321</v>
      </c>
      <c r="BY63" s="195">
        <v>6113</v>
      </c>
      <c r="BZ63" s="195">
        <v>786</v>
      </c>
      <c r="CA63" s="195">
        <v>5297</v>
      </c>
      <c r="CB63" s="195">
        <v>6083</v>
      </c>
      <c r="CC63" s="195">
        <v>13107</v>
      </c>
      <c r="CD63" s="195">
        <v>1</v>
      </c>
      <c r="CE63" s="195">
        <v>35</v>
      </c>
      <c r="CF63" s="195">
        <v>6</v>
      </c>
      <c r="CG63" s="195">
        <v>20</v>
      </c>
      <c r="CH63" s="195">
        <v>26</v>
      </c>
      <c r="CI63" s="195">
        <v>4</v>
      </c>
      <c r="CJ63" s="195">
        <v>0</v>
      </c>
      <c r="CK63" s="195">
        <v>0</v>
      </c>
      <c r="CL63" s="195">
        <v>4</v>
      </c>
      <c r="CM63" s="195">
        <v>4</v>
      </c>
      <c r="CN63" s="195">
        <v>37</v>
      </c>
      <c r="CO63" s="195">
        <v>561</v>
      </c>
      <c r="CP63" s="195">
        <v>598</v>
      </c>
      <c r="CQ63" s="195">
        <v>0</v>
      </c>
      <c r="CR63" s="195">
        <v>14</v>
      </c>
      <c r="CS63" s="195">
        <v>14</v>
      </c>
      <c r="CT63" s="195">
        <v>755</v>
      </c>
      <c r="CU63" s="195">
        <v>4760</v>
      </c>
      <c r="CV63" s="195">
        <v>5515</v>
      </c>
      <c r="CW63" s="195">
        <v>43</v>
      </c>
      <c r="CX63" s="195">
        <v>233</v>
      </c>
      <c r="CY63" s="195">
        <v>276</v>
      </c>
      <c r="CZ63" s="195">
        <v>43</v>
      </c>
      <c r="DA63" s="195">
        <v>0</v>
      </c>
      <c r="DB63" s="195">
        <v>0</v>
      </c>
      <c r="DC63" s="195">
        <v>214</v>
      </c>
      <c r="DD63" s="195">
        <v>2</v>
      </c>
      <c r="DE63" s="195">
        <v>0</v>
      </c>
      <c r="DF63" s="195">
        <v>43</v>
      </c>
      <c r="DG63" s="195">
        <v>216</v>
      </c>
      <c r="DH63" s="195">
        <v>259</v>
      </c>
      <c r="DI63" s="195">
        <v>0</v>
      </c>
      <c r="DJ63" s="195">
        <v>0</v>
      </c>
      <c r="DK63" s="195">
        <v>0</v>
      </c>
      <c r="DL63" s="195">
        <v>16</v>
      </c>
      <c r="DM63" s="195">
        <v>1</v>
      </c>
      <c r="DN63" s="195">
        <v>0</v>
      </c>
      <c r="DO63" s="195">
        <v>0</v>
      </c>
      <c r="DP63" s="195">
        <v>17</v>
      </c>
      <c r="DQ63" s="195">
        <v>17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208" t="s">
        <v>330</v>
      </c>
      <c r="B64" s="209">
        <f>SUBTOTAL(109,Nov16Data[Cell 1])</f>
        <v>128365</v>
      </c>
      <c r="C64" s="209">
        <f>SUBTOTAL(109,Nov16Data[Cell 2])</f>
        <v>29423</v>
      </c>
      <c r="D64" s="209">
        <f>SUBTOTAL(109,Nov16Data[Cell 3])</f>
        <v>129103</v>
      </c>
      <c r="E64" s="209">
        <f>SUBTOTAL(109,Nov16Data[Cell 4])</f>
        <v>87335</v>
      </c>
      <c r="F64" s="209">
        <f>SUBTOTAL(109,Nov16Data[Cell 5])</f>
        <v>216</v>
      </c>
      <c r="G64" s="209">
        <f>SUBTOTAL(109,Nov16Data[Cell 6])</f>
        <v>1837</v>
      </c>
      <c r="H64" s="209">
        <f>SUBTOTAL(109,Nov16Data[Cell 7])</f>
        <v>2053</v>
      </c>
      <c r="I64" s="209">
        <f>SUBTOTAL(109,Nov16Data[Cell 8])</f>
        <v>34</v>
      </c>
      <c r="J64" s="209">
        <f>SUBTOTAL(109,Nov16Data[Cell 9])</f>
        <v>36894</v>
      </c>
      <c r="K64" s="209">
        <f>SUBTOTAL(109,Nov16Data[Cell 10])</f>
        <v>36928</v>
      </c>
      <c r="L64" s="209">
        <f>SUBTOTAL(109,Nov16Data[Cell 11])</f>
        <v>28</v>
      </c>
      <c r="M64" s="209">
        <f>SUBTOTAL(109,Nov16Data[Cell 12])</f>
        <v>19607</v>
      </c>
      <c r="N64" s="209">
        <f>SUBTOTAL(109,Nov16Data[Cell 13])</f>
        <v>19635</v>
      </c>
      <c r="O64" s="209">
        <f>SUBTOTAL(109,Nov16Data[Cell 14])</f>
        <v>6</v>
      </c>
      <c r="P64" s="209">
        <f>SUBTOTAL(109,Nov16Data[Cell 15])</f>
        <v>17287</v>
      </c>
      <c r="Q64" s="209">
        <f>SUBTOTAL(109,Nov16Data[Cell 16])</f>
        <v>17293</v>
      </c>
      <c r="R64" s="209">
        <f>SUBTOTAL(109,Nov16Data[Cell 17])</f>
        <v>12</v>
      </c>
      <c r="S64" s="209">
        <f>SUBTOTAL(109,Nov16Data[Cell 18])</f>
        <v>2206</v>
      </c>
      <c r="T64" s="209">
        <f>SUBTOTAL(109,Nov16Data[Cell 19])</f>
        <v>2218</v>
      </c>
      <c r="U64" s="209">
        <f>SUBTOTAL(109,Nov16Data[Cell 20])</f>
        <v>0</v>
      </c>
      <c r="V64" s="209">
        <f>SUBTOTAL(109,Nov16Data[Cell 21])</f>
        <v>4840</v>
      </c>
      <c r="W64" s="209">
        <f>SUBTOTAL(109,Nov16Data[Cell 22])</f>
        <v>4840</v>
      </c>
      <c r="X64" s="209">
        <f>SUBTOTAL(109,Nov16Data[Cell 23])</f>
        <v>4547</v>
      </c>
      <c r="Y64" s="209">
        <f>SUBTOTAL(109,Nov16Data[Cell 24])</f>
        <v>108256</v>
      </c>
      <c r="Z64" s="209">
        <f>SUBTOTAL(109,Nov16Data[Cell 25])</f>
        <v>112803</v>
      </c>
      <c r="AA64" s="209">
        <f>SUBTOTAL(109,Nov16Data[Cell 26])</f>
        <v>2954</v>
      </c>
      <c r="AB64" s="209">
        <f>SUBTOTAL(109,Nov16Data[Cell 27])</f>
        <v>46375</v>
      </c>
      <c r="AC64" s="209">
        <f>SUBTOTAL(109,Nov16Data[Cell 28])</f>
        <v>49329</v>
      </c>
      <c r="AD64" s="209">
        <f>SUBTOTAL(109,Nov16Data[Cell 29])</f>
        <v>2535</v>
      </c>
      <c r="AE64" s="209">
        <f>SUBTOTAL(109,Nov16Data[Cell 30])</f>
        <v>43075</v>
      </c>
      <c r="AF64" s="209">
        <f>SUBTOTAL(109,Nov16Data[Cell 31])</f>
        <v>45610</v>
      </c>
      <c r="AG64" s="209">
        <f>SUBTOTAL(109,Nov16Data[Cell 32])</f>
        <v>142</v>
      </c>
      <c r="AH64" s="209">
        <f>SUBTOTAL(109,Nov16Data[Cell 33])</f>
        <v>1735</v>
      </c>
      <c r="AI64" s="209">
        <f>SUBTOTAL(109,Nov16Data[Cell 34])</f>
        <v>1877</v>
      </c>
      <c r="AJ64" s="209">
        <f>SUBTOTAL(109,Nov16Data[Cell 35])</f>
        <v>277</v>
      </c>
      <c r="AK64" s="209">
        <f>SUBTOTAL(109,Nov16Data[Cell 36])</f>
        <v>1565</v>
      </c>
      <c r="AL64" s="209">
        <f>SUBTOTAL(109,Nov16Data[Cell 37])</f>
        <v>1842</v>
      </c>
      <c r="AM64" s="209">
        <f>SUBTOTAL(109,Nov16Data[Cell 38])</f>
        <v>1593</v>
      </c>
      <c r="AN64" s="209">
        <f>SUBTOTAL(109,Nov16Data[Cell 39])</f>
        <v>61881</v>
      </c>
      <c r="AO64" s="209">
        <f>SUBTOTAL(109,Nov16Data[Cell 40])</f>
        <v>63474</v>
      </c>
      <c r="AP64" s="209">
        <f>SUBTOTAL(109,Nov16Data[Cell 41])</f>
        <v>244574</v>
      </c>
      <c r="AQ64" s="209">
        <f>SUBTOTAL(109,Nov16Data[Cell 42])</f>
        <v>1624424</v>
      </c>
      <c r="AR64" s="209">
        <f>SUBTOTAL(109,Nov16Data[Cell 43])</f>
        <v>1868998</v>
      </c>
      <c r="AS64" s="209">
        <f>SUBTOTAL(109,Nov16Data[Cell 44])</f>
        <v>245742</v>
      </c>
      <c r="AT64" s="209">
        <f>SUBTOTAL(109,Nov16Data[Cell 45])</f>
        <v>1631469</v>
      </c>
      <c r="AU64" s="209">
        <f>SUBTOTAL(109,Nov16Data[Cell 46])</f>
        <v>1877211</v>
      </c>
      <c r="AV64" s="209">
        <f>SUBTOTAL(109,Nov16Data[Cell 47])</f>
        <v>-1168</v>
      </c>
      <c r="AW64" s="209">
        <f>SUBTOTAL(109,Nov16Data[Cell 48])</f>
        <v>-7045</v>
      </c>
      <c r="AX64" s="209">
        <f>SUBTOTAL(109,Nov16Data[Cell 49])</f>
        <v>-8213</v>
      </c>
      <c r="AY64" s="209">
        <f>SUBTOTAL(109,Nov16Data[Cell 50])</f>
        <v>12209</v>
      </c>
      <c r="AZ64" s="209">
        <f>SUBTOTAL(109,Nov16Data[Cell 51])</f>
        <v>141280</v>
      </c>
      <c r="BA64" s="209">
        <f>SUBTOTAL(109,Nov16Data[Cell 52])</f>
        <v>153489</v>
      </c>
      <c r="BB64" s="209">
        <f>SUBTOTAL(109,Nov16Data[Cell 53])</f>
        <v>6101</v>
      </c>
      <c r="BC64" s="209">
        <f>SUBTOTAL(109,Nov16Data[Cell 54])</f>
        <v>130</v>
      </c>
      <c r="BD64" s="209">
        <f>SUBTOTAL(109,Nov16Data[Cell 55])</f>
        <v>21</v>
      </c>
      <c r="BE64" s="209">
        <f>SUBTOTAL(109,Nov16Data[Cell 56])</f>
        <v>79518</v>
      </c>
      <c r="BF64" s="209">
        <f>SUBTOTAL(109,Nov16Data[Cell 57])</f>
        <v>961</v>
      </c>
      <c r="BG64" s="209">
        <f>SUBTOTAL(109,Nov16Data[Cell 58])</f>
        <v>604</v>
      </c>
      <c r="BH64" s="209">
        <f>SUBTOTAL(109,Nov16Data[Cell 59])</f>
        <v>6252</v>
      </c>
      <c r="BI64" s="209">
        <f>SUBTOTAL(109,Nov16Data[Cell 60])</f>
        <v>81083</v>
      </c>
      <c r="BJ64" s="209">
        <f>SUBTOTAL(109,Nov16Data[Cell 61])</f>
        <v>87335</v>
      </c>
      <c r="BK64" s="209">
        <f>SUBTOTAL(109,Nov16Data[Cell 62])</f>
        <v>-2443</v>
      </c>
      <c r="BL64" s="209">
        <f>SUBTOTAL(109,Nov16Data[Cell 63])</f>
        <v>2443</v>
      </c>
      <c r="BM64" s="209">
        <f>SUBTOTAL(109,Nov16Data[Cell 64])</f>
        <v>0</v>
      </c>
      <c r="BN64" s="209">
        <f>SUBTOTAL(109,Nov16Data[Cell 65])</f>
        <v>432</v>
      </c>
      <c r="BO64" s="209">
        <f>SUBTOTAL(109,Nov16Data[Cell 66])</f>
        <v>2296</v>
      </c>
      <c r="BP64" s="209">
        <f>SUBTOTAL(109,Nov16Data[Cell 67])</f>
        <v>2728</v>
      </c>
      <c r="BQ64" s="209">
        <f>SUBTOTAL(109,Nov16Data[Cell 68])</f>
        <v>1029</v>
      </c>
      <c r="BR64" s="209">
        <f>SUBTOTAL(109,Nov16Data[Cell 69])</f>
        <v>11589</v>
      </c>
      <c r="BS64" s="209">
        <f>SUBTOTAL(109,Nov16Data[Cell 70])</f>
        <v>12618</v>
      </c>
      <c r="BT64" s="209">
        <f>SUBTOTAL(109,Nov16Data[Cell 71])</f>
        <v>6939</v>
      </c>
      <c r="BU64" s="209">
        <f>SUBTOTAL(109,Nov16Data[Cell 72])</f>
        <v>43869</v>
      </c>
      <c r="BV64" s="209">
        <f>SUBTOTAL(109,Nov16Data[Cell 73])</f>
        <v>50808</v>
      </c>
      <c r="BW64" s="209">
        <f>SUBTOTAL(109,Nov16Data[Cell 74])</f>
        <v>256783</v>
      </c>
      <c r="BX64" s="209">
        <f>SUBTOTAL(109,Nov16Data[Cell 75])</f>
        <v>1765704</v>
      </c>
      <c r="BY64" s="209">
        <f>SUBTOTAL(109,Nov16Data[Cell 76])</f>
        <v>2022487</v>
      </c>
      <c r="BZ64" s="209">
        <f>SUBTOTAL(109,Nov16Data[Cell 77])</f>
        <v>251678</v>
      </c>
      <c r="CA64" s="209">
        <f>SUBTOTAL(109,Nov16Data[Cell 78])</f>
        <v>1735886</v>
      </c>
      <c r="CB64" s="209">
        <f>SUBTOTAL(109,Nov16Data[Cell 79])</f>
        <v>1987564</v>
      </c>
      <c r="CC64" s="209">
        <f>SUBTOTAL(109,Nov16Data[Cell 80])</f>
        <v>4160716</v>
      </c>
      <c r="CD64" s="209">
        <f>SUBTOTAL(109,Nov16Data[Cell 81])</f>
        <v>2639</v>
      </c>
      <c r="CE64" s="209">
        <f>SUBTOTAL(109,Nov16Data[Cell 82])</f>
        <v>29529</v>
      </c>
      <c r="CF64" s="209">
        <f>SUBTOTAL(109,Nov16Data[Cell 83])</f>
        <v>4763</v>
      </c>
      <c r="CG64" s="209">
        <f>SUBTOTAL(109,Nov16Data[Cell 84])</f>
        <v>19843</v>
      </c>
      <c r="CH64" s="209">
        <f>SUBTOTAL(109,Nov16Data[Cell 85])</f>
        <v>24606</v>
      </c>
      <c r="CI64" s="209">
        <f>SUBTOTAL(109,Nov16Data[Cell 86])</f>
        <v>12564</v>
      </c>
      <c r="CJ64" s="209">
        <f>SUBTOTAL(109,Nov16Data[Cell 87])</f>
        <v>1123</v>
      </c>
      <c r="CK64" s="209">
        <f>SUBTOTAL(109,Nov16Data[Cell 88])</f>
        <v>342</v>
      </c>
      <c r="CL64" s="209">
        <f>SUBTOTAL(109,Nov16Data[Cell 89])</f>
        <v>9975</v>
      </c>
      <c r="CM64" s="209">
        <f>SUBTOTAL(109,Nov16Data[Cell 90])</f>
        <v>10317</v>
      </c>
      <c r="CN64" s="209">
        <f>SUBTOTAL(109,Nov16Data[Cell 91])</f>
        <v>13227</v>
      </c>
      <c r="CO64" s="209">
        <f>SUBTOTAL(109,Nov16Data[Cell 92])</f>
        <v>150719</v>
      </c>
      <c r="CP64" s="209">
        <f>SUBTOTAL(109,Nov16Data[Cell 93])</f>
        <v>163946</v>
      </c>
      <c r="CQ64" s="209">
        <f>SUBTOTAL(109,Nov16Data[Cell 94])</f>
        <v>106</v>
      </c>
      <c r="CR64" s="209">
        <f>SUBTOTAL(109,Nov16Data[Cell 95])</f>
        <v>830</v>
      </c>
      <c r="CS64" s="209">
        <f>SUBTOTAL(109,Nov16Data[Cell 96])</f>
        <v>936</v>
      </c>
      <c r="CT64" s="209">
        <f>SUBTOTAL(109,Nov16Data[Cell 97])</f>
        <v>243556</v>
      </c>
      <c r="CU64" s="209">
        <f>SUBTOTAL(109,Nov16Data[Cell 98])</f>
        <v>1614985</v>
      </c>
      <c r="CV64" s="209">
        <f>SUBTOTAL(109,Nov16Data[Cell 99])</f>
        <v>1858541</v>
      </c>
      <c r="CW64" s="209">
        <f>SUBTOTAL(109,Nov16Data[Cell 100])</f>
        <v>15338</v>
      </c>
      <c r="CX64" s="209">
        <f>SUBTOTAL(109,Nov16Data[Cell 101])</f>
        <v>73552</v>
      </c>
      <c r="CY64" s="209">
        <f>SUBTOTAL(109,Nov16Data[Cell 102])</f>
        <v>88890</v>
      </c>
      <c r="CZ64" s="209">
        <f>SUBTOTAL(109,Nov16Data[Cell 103])</f>
        <v>14800</v>
      </c>
      <c r="DA64" s="209">
        <f>SUBTOTAL(109,Nov16Data[Cell 104])</f>
        <v>291</v>
      </c>
      <c r="DB64" s="209">
        <f>SUBTOTAL(109,Nov16Data[Cell 105])</f>
        <v>6</v>
      </c>
      <c r="DC64" s="209">
        <f>SUBTOTAL(109,Nov16Data[Cell 106])</f>
        <v>67556</v>
      </c>
      <c r="DD64" s="209">
        <f>SUBTOTAL(109,Nov16Data[Cell 107])</f>
        <v>994</v>
      </c>
      <c r="DE64" s="209">
        <f>SUBTOTAL(109,Nov16Data[Cell 108])</f>
        <v>276</v>
      </c>
      <c r="DF64" s="209">
        <f>SUBTOTAL(109,Nov16Data[Cell 109])</f>
        <v>15097</v>
      </c>
      <c r="DG64" s="209">
        <f>SUBTOTAL(109,Nov16Data[Cell 110])</f>
        <v>68826</v>
      </c>
      <c r="DH64" s="209">
        <f>SUBTOTAL(109,Nov16Data[Cell 111])</f>
        <v>83923</v>
      </c>
      <c r="DI64" s="209">
        <f>SUBTOTAL(109,Nov16Data[Cell 112])</f>
        <v>233</v>
      </c>
      <c r="DJ64" s="209">
        <f>SUBTOTAL(109,Nov16Data[Cell 113])</f>
        <v>7</v>
      </c>
      <c r="DK64" s="209">
        <f>SUBTOTAL(109,Nov16Data[Cell 114])</f>
        <v>1</v>
      </c>
      <c r="DL64" s="209">
        <f>SUBTOTAL(109,Nov16Data[Cell 115])</f>
        <v>4589</v>
      </c>
      <c r="DM64" s="209">
        <f>SUBTOTAL(109,Nov16Data[Cell 116])</f>
        <v>113</v>
      </c>
      <c r="DN64" s="209">
        <f>SUBTOTAL(109,Nov16Data[Cell 117])</f>
        <v>24</v>
      </c>
      <c r="DO64" s="209">
        <f>SUBTOTAL(109,Nov16Data[Cell 118])</f>
        <v>241</v>
      </c>
      <c r="DP64" s="209">
        <f>SUBTOTAL(109,Nov16Data[Cell 119])</f>
        <v>4726</v>
      </c>
      <c r="DQ64" s="209">
        <f>SUBTOTAL(109,Nov16Data[Cell 120])</f>
        <v>4967</v>
      </c>
      <c r="DR64" s="209">
        <f>SUBTOTAL(109,Nov16Data[Cell 121])</f>
        <v>19</v>
      </c>
      <c r="DS64" s="209">
        <f>SUBTOTAL(109,Nov16Data[Cell 122])</f>
        <v>118</v>
      </c>
      <c r="DT64" s="209">
        <f>SUBTOTAL(109,Nov16Data[Cell 123])</f>
        <v>137</v>
      </c>
      <c r="DU64" s="210"/>
      <c r="DV64" s="200">
        <v>26055402</v>
      </c>
      <c r="DX64" s="192"/>
      <c r="DY64" s="192"/>
    </row>
  </sheetData>
  <conditionalFormatting sqref="B7:DT63">
    <cfRule type="containsBlanks" dxfId="1530" priority="2">
      <formula>LEN(TRIM(B7))=0</formula>
    </cfRule>
  </conditionalFormatting>
  <conditionalFormatting sqref="B6:DT6">
    <cfRule type="containsBlanks" dxfId="1383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342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123042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27385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127599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87125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232</v>
      </c>
      <c r="T13" s="63">
        <v>6</v>
      </c>
      <c r="U13" s="64">
        <v>1714</v>
      </c>
      <c r="V13" s="84">
        <v>7</v>
      </c>
      <c r="W13" s="85">
        <v>1946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50</v>
      </c>
      <c r="T14" s="88">
        <v>9</v>
      </c>
      <c r="U14" s="89">
        <v>35693</v>
      </c>
      <c r="V14" s="88">
        <v>10</v>
      </c>
      <c r="W14" s="90">
        <v>35743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33</v>
      </c>
      <c r="T15" s="71">
        <v>12</v>
      </c>
      <c r="U15" s="64">
        <v>18080</v>
      </c>
      <c r="V15" s="88">
        <v>13</v>
      </c>
      <c r="W15" s="90">
        <v>18113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17</v>
      </c>
      <c r="T16" s="71">
        <v>15</v>
      </c>
      <c r="U16" s="64">
        <v>17613</v>
      </c>
      <c r="V16" s="88">
        <v>16</v>
      </c>
      <c r="W16" s="90">
        <v>17630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9</v>
      </c>
      <c r="T17" s="71">
        <v>18</v>
      </c>
      <c r="U17" s="64">
        <v>1599</v>
      </c>
      <c r="V17" s="88">
        <v>19</v>
      </c>
      <c r="W17" s="90">
        <v>1608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0</v>
      </c>
      <c r="T18" s="82">
        <v>21</v>
      </c>
      <c r="U18" s="64">
        <v>4731</v>
      </c>
      <c r="V18" s="88">
        <v>22</v>
      </c>
      <c r="W18" s="90">
        <v>4731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4430</v>
      </c>
      <c r="T20" s="98">
        <v>24</v>
      </c>
      <c r="U20" s="89">
        <v>107149</v>
      </c>
      <c r="V20" s="84">
        <v>25</v>
      </c>
      <c r="W20" s="89">
        <v>111579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2839</v>
      </c>
      <c r="T21" s="76">
        <v>27</v>
      </c>
      <c r="U21" s="77">
        <v>46710</v>
      </c>
      <c r="V21" s="88">
        <v>28</v>
      </c>
      <c r="W21" s="77">
        <v>49549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2463</v>
      </c>
      <c r="T22" s="71">
        <v>30</v>
      </c>
      <c r="U22" s="64">
        <v>43807</v>
      </c>
      <c r="V22" s="88">
        <v>31</v>
      </c>
      <c r="W22" s="90">
        <v>46270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136</v>
      </c>
      <c r="T23" s="71">
        <v>33</v>
      </c>
      <c r="U23" s="64">
        <v>1391</v>
      </c>
      <c r="V23" s="88">
        <v>34</v>
      </c>
      <c r="W23" s="90">
        <v>1527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240</v>
      </c>
      <c r="T24" s="71">
        <v>36</v>
      </c>
      <c r="U24" s="64">
        <v>1512</v>
      </c>
      <c r="V24" s="88">
        <v>37</v>
      </c>
      <c r="W24" s="90">
        <v>1752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1591</v>
      </c>
      <c r="T25" s="82">
        <v>39</v>
      </c>
      <c r="U25" s="64">
        <v>60439</v>
      </c>
      <c r="V25" s="88">
        <v>40</v>
      </c>
      <c r="W25" s="90">
        <v>62030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243775</v>
      </c>
      <c r="T27" s="63">
        <v>42</v>
      </c>
      <c r="U27" s="64">
        <v>1615961</v>
      </c>
      <c r="V27" s="84">
        <v>43</v>
      </c>
      <c r="W27" s="85">
        <v>1859736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243556</v>
      </c>
      <c r="T28" s="71">
        <v>45</v>
      </c>
      <c r="U28" s="64">
        <v>1614985</v>
      </c>
      <c r="V28" s="88">
        <v>46</v>
      </c>
      <c r="W28" s="90">
        <v>1858541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219</v>
      </c>
      <c r="T29" s="76">
        <v>48</v>
      </c>
      <c r="U29" s="108">
        <v>976</v>
      </c>
      <c r="V29" s="88">
        <v>49</v>
      </c>
      <c r="W29" s="109">
        <v>1195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12477</v>
      </c>
      <c r="T30" s="88">
        <v>51</v>
      </c>
      <c r="U30" s="110">
        <v>141415</v>
      </c>
      <c r="V30" s="88">
        <v>52</v>
      </c>
      <c r="W30" s="90">
        <v>153892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6152</v>
      </c>
      <c r="H33" s="122">
        <v>54</v>
      </c>
      <c r="I33" s="64">
        <v>129</v>
      </c>
      <c r="J33" s="122">
        <v>55</v>
      </c>
      <c r="K33" s="64">
        <v>21</v>
      </c>
      <c r="L33" s="122">
        <v>56</v>
      </c>
      <c r="M33" s="64">
        <v>79202</v>
      </c>
      <c r="N33" s="122">
        <v>57</v>
      </c>
      <c r="O33" s="64">
        <v>987</v>
      </c>
      <c r="P33" s="122">
        <v>58</v>
      </c>
      <c r="Q33" s="64">
        <v>634</v>
      </c>
      <c r="R33" s="76">
        <v>59</v>
      </c>
      <c r="S33" s="123">
        <v>6302</v>
      </c>
      <c r="T33" s="124">
        <v>60</v>
      </c>
      <c r="U33" s="123">
        <v>80823</v>
      </c>
      <c r="V33" s="88">
        <v>61</v>
      </c>
      <c r="W33" s="90">
        <v>87125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-2061</v>
      </c>
      <c r="T34" s="126">
        <v>63</v>
      </c>
      <c r="U34" s="64">
        <v>2061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412</v>
      </c>
      <c r="T35" s="126">
        <v>66</v>
      </c>
      <c r="U35" s="64">
        <v>2017</v>
      </c>
      <c r="V35" s="88">
        <v>67</v>
      </c>
      <c r="W35" s="90">
        <v>2429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886</v>
      </c>
      <c r="T36" s="126">
        <v>69</v>
      </c>
      <c r="U36" s="64">
        <v>10828</v>
      </c>
      <c r="V36" s="88">
        <v>70</v>
      </c>
      <c r="W36" s="90">
        <v>11714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6938</v>
      </c>
      <c r="T37" s="126">
        <v>72</v>
      </c>
      <c r="U37" s="64">
        <v>45686</v>
      </c>
      <c r="V37" s="88">
        <v>73</v>
      </c>
      <c r="W37" s="90">
        <v>52624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256252</v>
      </c>
      <c r="T39" s="124">
        <v>75</v>
      </c>
      <c r="U39" s="123">
        <v>1757376</v>
      </c>
      <c r="V39" s="88">
        <v>76</v>
      </c>
      <c r="W39" s="90">
        <v>2013628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251107</v>
      </c>
      <c r="T40" s="132">
        <v>78</v>
      </c>
      <c r="U40" s="64">
        <v>1726937</v>
      </c>
      <c r="V40" s="88">
        <v>79</v>
      </c>
      <c r="W40" s="90">
        <v>1978044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4145269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2679</v>
      </c>
      <c r="P43" s="134">
        <v>82</v>
      </c>
      <c r="Q43" s="64">
        <v>30016</v>
      </c>
      <c r="R43" s="71">
        <v>83</v>
      </c>
      <c r="S43" s="64">
        <v>4795</v>
      </c>
      <c r="T43" s="71">
        <v>84</v>
      </c>
      <c r="U43" s="64">
        <v>20338</v>
      </c>
      <c r="V43" s="76">
        <v>85</v>
      </c>
      <c r="W43" s="135">
        <v>25133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12606</v>
      </c>
      <c r="P44" s="136">
        <v>87</v>
      </c>
      <c r="Q44" s="64">
        <v>1144</v>
      </c>
      <c r="R44" s="71">
        <v>88</v>
      </c>
      <c r="S44" s="64">
        <v>350</v>
      </c>
      <c r="T44" s="71">
        <v>89</v>
      </c>
      <c r="U44" s="64">
        <v>10101</v>
      </c>
      <c r="V44" s="76">
        <v>90</v>
      </c>
      <c r="W44" s="135">
        <v>10451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13631</v>
      </c>
      <c r="T45" s="71">
        <v>92</v>
      </c>
      <c r="U45" s="64">
        <v>158855</v>
      </c>
      <c r="V45" s="76">
        <v>93</v>
      </c>
      <c r="W45" s="135">
        <v>172486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110</v>
      </c>
      <c r="T46" s="71">
        <v>95</v>
      </c>
      <c r="U46" s="64">
        <v>948</v>
      </c>
      <c r="V46" s="76">
        <v>96</v>
      </c>
      <c r="W46" s="135">
        <v>1058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242621</v>
      </c>
      <c r="T47" s="141">
        <v>98</v>
      </c>
      <c r="U47" s="143">
        <v>1598521</v>
      </c>
      <c r="V47" s="88">
        <v>99</v>
      </c>
      <c r="W47" s="90">
        <v>1841142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15964</v>
      </c>
      <c r="T49" s="144">
        <v>101</v>
      </c>
      <c r="U49" s="145">
        <v>79964</v>
      </c>
      <c r="V49" s="98">
        <v>102</v>
      </c>
      <c r="W49" s="146">
        <v>95928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15407</v>
      </c>
      <c r="H52" s="122">
        <v>104</v>
      </c>
      <c r="I52" s="64">
        <v>289</v>
      </c>
      <c r="J52" s="122">
        <v>105</v>
      </c>
      <c r="K52" s="64">
        <v>9</v>
      </c>
      <c r="L52" s="122">
        <v>106</v>
      </c>
      <c r="M52" s="64">
        <v>73898</v>
      </c>
      <c r="N52" s="122">
        <v>107</v>
      </c>
      <c r="O52" s="64">
        <v>1078</v>
      </c>
      <c r="P52" s="122">
        <v>108</v>
      </c>
      <c r="Q52" s="64">
        <v>286</v>
      </c>
      <c r="R52" s="155">
        <v>109</v>
      </c>
      <c r="S52" s="156">
        <v>15705</v>
      </c>
      <c r="T52" s="155">
        <v>110</v>
      </c>
      <c r="U52" s="156">
        <v>75262</v>
      </c>
      <c r="V52" s="76">
        <v>111</v>
      </c>
      <c r="W52" s="135">
        <v>90967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256</v>
      </c>
      <c r="H53" s="122">
        <v>113</v>
      </c>
      <c r="I53" s="64">
        <v>3</v>
      </c>
      <c r="J53" s="122">
        <v>114</v>
      </c>
      <c r="K53" s="64">
        <v>0</v>
      </c>
      <c r="L53" s="122">
        <v>115</v>
      </c>
      <c r="M53" s="64">
        <v>4576</v>
      </c>
      <c r="N53" s="122">
        <v>116</v>
      </c>
      <c r="O53" s="64">
        <v>96</v>
      </c>
      <c r="P53" s="122">
        <v>117</v>
      </c>
      <c r="Q53" s="64">
        <v>30</v>
      </c>
      <c r="R53" s="155">
        <v>118</v>
      </c>
      <c r="S53" s="156">
        <v>259</v>
      </c>
      <c r="T53" s="155">
        <v>119</v>
      </c>
      <c r="U53" s="156">
        <v>4702</v>
      </c>
      <c r="V53" s="76">
        <v>120</v>
      </c>
      <c r="W53" s="135">
        <v>4961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23</v>
      </c>
      <c r="T54" s="162">
        <v>122</v>
      </c>
      <c r="U54" s="64">
        <v>168</v>
      </c>
      <c r="V54" s="76">
        <v>123</v>
      </c>
      <c r="W54" s="135">
        <v>191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362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25967364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343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342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1"/>
    </row>
    <row r="7" spans="1:129">
      <c r="A7" s="189" t="s">
        <v>272</v>
      </c>
      <c r="B7" s="190">
        <v>6</v>
      </c>
      <c r="C7" s="190">
        <v>0</v>
      </c>
      <c r="D7" s="190">
        <v>8</v>
      </c>
      <c r="E7" s="190">
        <v>6</v>
      </c>
      <c r="F7" s="190">
        <v>0</v>
      </c>
      <c r="G7" s="190">
        <v>0</v>
      </c>
      <c r="H7" s="190">
        <v>0</v>
      </c>
      <c r="I7" s="190">
        <v>0</v>
      </c>
      <c r="J7" s="190">
        <v>1</v>
      </c>
      <c r="K7" s="190">
        <v>1</v>
      </c>
      <c r="L7" s="190">
        <v>0</v>
      </c>
      <c r="M7" s="190">
        <v>0</v>
      </c>
      <c r="N7" s="190">
        <v>0</v>
      </c>
      <c r="O7" s="190">
        <v>0</v>
      </c>
      <c r="P7" s="190">
        <v>1</v>
      </c>
      <c r="Q7" s="190">
        <v>1</v>
      </c>
      <c r="R7" s="190">
        <v>0</v>
      </c>
      <c r="S7" s="190">
        <v>0</v>
      </c>
      <c r="T7" s="190">
        <v>0</v>
      </c>
      <c r="U7" s="190">
        <v>0</v>
      </c>
      <c r="V7" s="190">
        <v>1</v>
      </c>
      <c r="W7" s="190">
        <v>1</v>
      </c>
      <c r="X7" s="190">
        <v>0</v>
      </c>
      <c r="Y7" s="190">
        <v>8</v>
      </c>
      <c r="Z7" s="190">
        <v>8</v>
      </c>
      <c r="AA7" s="190">
        <v>0</v>
      </c>
      <c r="AB7" s="190">
        <v>4</v>
      </c>
      <c r="AC7" s="190">
        <v>4</v>
      </c>
      <c r="AD7" s="190">
        <v>0</v>
      </c>
      <c r="AE7" s="190">
        <v>2</v>
      </c>
      <c r="AF7" s="190">
        <v>2</v>
      </c>
      <c r="AG7" s="190">
        <v>0</v>
      </c>
      <c r="AH7" s="190">
        <v>1</v>
      </c>
      <c r="AI7" s="190">
        <v>1</v>
      </c>
      <c r="AJ7" s="190">
        <v>0</v>
      </c>
      <c r="AK7" s="190">
        <v>1</v>
      </c>
      <c r="AL7" s="190">
        <v>1</v>
      </c>
      <c r="AM7" s="190">
        <v>0</v>
      </c>
      <c r="AN7" s="190">
        <v>4</v>
      </c>
      <c r="AO7" s="190">
        <v>4</v>
      </c>
      <c r="AP7" s="190">
        <v>1</v>
      </c>
      <c r="AQ7" s="190">
        <v>78</v>
      </c>
      <c r="AR7" s="190">
        <v>79</v>
      </c>
      <c r="AS7" s="190">
        <v>1</v>
      </c>
      <c r="AT7" s="190">
        <v>78</v>
      </c>
      <c r="AU7" s="190">
        <v>79</v>
      </c>
      <c r="AV7" s="190">
        <v>0</v>
      </c>
      <c r="AW7" s="190">
        <v>0</v>
      </c>
      <c r="AX7" s="190">
        <v>0</v>
      </c>
      <c r="AY7" s="190">
        <v>-1</v>
      </c>
      <c r="AZ7" s="190">
        <v>12</v>
      </c>
      <c r="BA7" s="190">
        <v>11</v>
      </c>
      <c r="BB7" s="190">
        <v>0</v>
      </c>
      <c r="BC7" s="190">
        <v>0</v>
      </c>
      <c r="BD7" s="190">
        <v>0</v>
      </c>
      <c r="BE7" s="190">
        <v>6</v>
      </c>
      <c r="BF7" s="190">
        <v>0</v>
      </c>
      <c r="BG7" s="190">
        <v>0</v>
      </c>
      <c r="BH7" s="190">
        <v>0</v>
      </c>
      <c r="BI7" s="190">
        <v>6</v>
      </c>
      <c r="BJ7" s="190">
        <v>6</v>
      </c>
      <c r="BK7" s="190">
        <v>-1</v>
      </c>
      <c r="BL7" s="190">
        <v>1</v>
      </c>
      <c r="BM7" s="190">
        <v>0</v>
      </c>
      <c r="BN7" s="190">
        <v>0</v>
      </c>
      <c r="BO7" s="190">
        <v>1</v>
      </c>
      <c r="BP7" s="190">
        <v>1</v>
      </c>
      <c r="BQ7" s="190">
        <v>0</v>
      </c>
      <c r="BR7" s="190">
        <v>1</v>
      </c>
      <c r="BS7" s="190">
        <v>1</v>
      </c>
      <c r="BT7" s="190">
        <v>0</v>
      </c>
      <c r="BU7" s="190">
        <v>3</v>
      </c>
      <c r="BV7" s="190">
        <v>3</v>
      </c>
      <c r="BW7" s="190">
        <v>0</v>
      </c>
      <c r="BX7" s="190">
        <v>90</v>
      </c>
      <c r="BY7" s="190">
        <v>90</v>
      </c>
      <c r="BZ7" s="190">
        <v>0</v>
      </c>
      <c r="CA7" s="190">
        <v>90</v>
      </c>
      <c r="CB7" s="190">
        <v>90</v>
      </c>
      <c r="CC7" s="190">
        <v>148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7</v>
      </c>
      <c r="CP7" s="190">
        <v>7</v>
      </c>
      <c r="CQ7" s="190">
        <v>0</v>
      </c>
      <c r="CR7" s="190">
        <v>0</v>
      </c>
      <c r="CS7" s="190">
        <v>0</v>
      </c>
      <c r="CT7" s="190">
        <v>0</v>
      </c>
      <c r="CU7" s="190">
        <v>83</v>
      </c>
      <c r="CV7" s="190">
        <v>83</v>
      </c>
      <c r="CW7" s="190">
        <v>0</v>
      </c>
      <c r="CX7" s="190">
        <v>6</v>
      </c>
      <c r="CY7" s="190">
        <v>6</v>
      </c>
      <c r="CZ7" s="190">
        <v>0</v>
      </c>
      <c r="DA7" s="190">
        <v>0</v>
      </c>
      <c r="DB7" s="190">
        <v>0</v>
      </c>
      <c r="DC7" s="190">
        <v>6</v>
      </c>
      <c r="DD7" s="190">
        <v>0</v>
      </c>
      <c r="DE7" s="190">
        <v>0</v>
      </c>
      <c r="DF7" s="190">
        <v>0</v>
      </c>
      <c r="DG7" s="190">
        <v>6</v>
      </c>
      <c r="DH7" s="190">
        <v>6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125</v>
      </c>
      <c r="C8" s="190">
        <v>30</v>
      </c>
      <c r="D8" s="190">
        <v>125</v>
      </c>
      <c r="E8" s="190">
        <v>80</v>
      </c>
      <c r="F8" s="190">
        <v>0</v>
      </c>
      <c r="G8" s="190">
        <v>1</v>
      </c>
      <c r="H8" s="190">
        <v>1</v>
      </c>
      <c r="I8" s="190">
        <v>0</v>
      </c>
      <c r="J8" s="190">
        <v>37</v>
      </c>
      <c r="K8" s="190">
        <v>37</v>
      </c>
      <c r="L8" s="190">
        <v>0</v>
      </c>
      <c r="M8" s="190">
        <v>18</v>
      </c>
      <c r="N8" s="190">
        <v>18</v>
      </c>
      <c r="O8" s="190">
        <v>0</v>
      </c>
      <c r="P8" s="190">
        <v>19</v>
      </c>
      <c r="Q8" s="190">
        <v>19</v>
      </c>
      <c r="R8" s="190">
        <v>0</v>
      </c>
      <c r="S8" s="190">
        <v>0</v>
      </c>
      <c r="T8" s="190">
        <v>0</v>
      </c>
      <c r="U8" s="190">
        <v>0</v>
      </c>
      <c r="V8" s="190">
        <v>8</v>
      </c>
      <c r="W8" s="190">
        <v>8</v>
      </c>
      <c r="X8" s="190">
        <v>2</v>
      </c>
      <c r="Y8" s="190">
        <v>123</v>
      </c>
      <c r="Z8" s="190">
        <v>125</v>
      </c>
      <c r="AA8" s="190">
        <v>1</v>
      </c>
      <c r="AB8" s="190">
        <v>56</v>
      </c>
      <c r="AC8" s="190">
        <v>57</v>
      </c>
      <c r="AD8" s="190">
        <v>1</v>
      </c>
      <c r="AE8" s="190">
        <v>54</v>
      </c>
      <c r="AF8" s="190">
        <v>55</v>
      </c>
      <c r="AG8" s="190">
        <v>0</v>
      </c>
      <c r="AH8" s="190">
        <v>2</v>
      </c>
      <c r="AI8" s="190">
        <v>2</v>
      </c>
      <c r="AJ8" s="190">
        <v>0</v>
      </c>
      <c r="AK8" s="190">
        <v>0</v>
      </c>
      <c r="AL8" s="190">
        <v>0</v>
      </c>
      <c r="AM8" s="190">
        <v>1</v>
      </c>
      <c r="AN8" s="190">
        <v>67</v>
      </c>
      <c r="AO8" s="190">
        <v>68</v>
      </c>
      <c r="AP8" s="190">
        <v>126</v>
      </c>
      <c r="AQ8" s="190">
        <v>1473</v>
      </c>
      <c r="AR8" s="190">
        <v>1599</v>
      </c>
      <c r="AS8" s="190">
        <v>126</v>
      </c>
      <c r="AT8" s="190">
        <v>1473</v>
      </c>
      <c r="AU8" s="190">
        <v>1599</v>
      </c>
      <c r="AV8" s="190">
        <v>0</v>
      </c>
      <c r="AW8" s="190">
        <v>0</v>
      </c>
      <c r="AX8" s="190">
        <v>0</v>
      </c>
      <c r="AY8" s="190">
        <v>19</v>
      </c>
      <c r="AZ8" s="190">
        <v>125</v>
      </c>
      <c r="BA8" s="190">
        <v>144</v>
      </c>
      <c r="BB8" s="190">
        <v>6</v>
      </c>
      <c r="BC8" s="190">
        <v>0</v>
      </c>
      <c r="BD8" s="190">
        <v>0</v>
      </c>
      <c r="BE8" s="190">
        <v>71</v>
      </c>
      <c r="BF8" s="190">
        <v>3</v>
      </c>
      <c r="BG8" s="190">
        <v>0</v>
      </c>
      <c r="BH8" s="190">
        <v>6</v>
      </c>
      <c r="BI8" s="190">
        <v>74</v>
      </c>
      <c r="BJ8" s="190">
        <v>80</v>
      </c>
      <c r="BK8" s="190">
        <v>7</v>
      </c>
      <c r="BL8" s="190">
        <v>-7</v>
      </c>
      <c r="BM8" s="190">
        <v>0</v>
      </c>
      <c r="BN8" s="190">
        <v>2</v>
      </c>
      <c r="BO8" s="190">
        <v>7</v>
      </c>
      <c r="BP8" s="190">
        <v>9</v>
      </c>
      <c r="BQ8" s="190">
        <v>1</v>
      </c>
      <c r="BR8" s="190">
        <v>14</v>
      </c>
      <c r="BS8" s="190">
        <v>15</v>
      </c>
      <c r="BT8" s="190">
        <v>3</v>
      </c>
      <c r="BU8" s="190">
        <v>37</v>
      </c>
      <c r="BV8" s="190">
        <v>40</v>
      </c>
      <c r="BW8" s="190">
        <v>145</v>
      </c>
      <c r="BX8" s="190">
        <v>1598</v>
      </c>
      <c r="BY8" s="190">
        <v>1743</v>
      </c>
      <c r="BZ8" s="190">
        <v>145</v>
      </c>
      <c r="CA8" s="190">
        <v>1593</v>
      </c>
      <c r="CB8" s="190">
        <v>1738</v>
      </c>
      <c r="CC8" s="190">
        <v>3244</v>
      </c>
      <c r="CD8" s="190">
        <v>0</v>
      </c>
      <c r="CE8" s="190">
        <v>4</v>
      </c>
      <c r="CF8" s="190">
        <v>0</v>
      </c>
      <c r="CG8" s="190">
        <v>4</v>
      </c>
      <c r="CH8" s="190">
        <v>4</v>
      </c>
      <c r="CI8" s="190">
        <v>1</v>
      </c>
      <c r="CJ8" s="190">
        <v>0</v>
      </c>
      <c r="CK8" s="190">
        <v>0</v>
      </c>
      <c r="CL8" s="190">
        <v>1</v>
      </c>
      <c r="CM8" s="190">
        <v>1</v>
      </c>
      <c r="CN8" s="190">
        <v>9</v>
      </c>
      <c r="CO8" s="190">
        <v>154</v>
      </c>
      <c r="CP8" s="190">
        <v>163</v>
      </c>
      <c r="CQ8" s="190">
        <v>0</v>
      </c>
      <c r="CR8" s="190">
        <v>0</v>
      </c>
      <c r="CS8" s="190">
        <v>0</v>
      </c>
      <c r="CT8" s="190">
        <v>136</v>
      </c>
      <c r="CU8" s="190">
        <v>1444</v>
      </c>
      <c r="CV8" s="190">
        <v>1580</v>
      </c>
      <c r="CW8" s="190">
        <v>13</v>
      </c>
      <c r="CX8" s="190">
        <v>96</v>
      </c>
      <c r="CY8" s="190">
        <v>109</v>
      </c>
      <c r="CZ8" s="190">
        <v>13</v>
      </c>
      <c r="DA8" s="190">
        <v>0</v>
      </c>
      <c r="DB8" s="190">
        <v>0</v>
      </c>
      <c r="DC8" s="190">
        <v>94</v>
      </c>
      <c r="DD8" s="190">
        <v>0</v>
      </c>
      <c r="DE8" s="190">
        <v>0</v>
      </c>
      <c r="DF8" s="190">
        <v>13</v>
      </c>
      <c r="DG8" s="190">
        <v>94</v>
      </c>
      <c r="DH8" s="190">
        <v>107</v>
      </c>
      <c r="DI8" s="190">
        <v>0</v>
      </c>
      <c r="DJ8" s="190">
        <v>0</v>
      </c>
      <c r="DK8" s="190">
        <v>0</v>
      </c>
      <c r="DL8" s="190">
        <v>2</v>
      </c>
      <c r="DM8" s="190">
        <v>0</v>
      </c>
      <c r="DN8" s="190">
        <v>0</v>
      </c>
      <c r="DO8" s="190">
        <v>0</v>
      </c>
      <c r="DP8" s="190">
        <v>2</v>
      </c>
      <c r="DQ8" s="190">
        <v>2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1239</v>
      </c>
      <c r="C9" s="190">
        <v>381</v>
      </c>
      <c r="D9" s="190">
        <v>1360</v>
      </c>
      <c r="E9" s="190">
        <v>803</v>
      </c>
      <c r="F9" s="190">
        <v>1</v>
      </c>
      <c r="G9" s="190">
        <v>89</v>
      </c>
      <c r="H9" s="190">
        <v>90</v>
      </c>
      <c r="I9" s="190">
        <v>0</v>
      </c>
      <c r="J9" s="190">
        <v>525</v>
      </c>
      <c r="K9" s="190">
        <v>525</v>
      </c>
      <c r="L9" s="190">
        <v>0</v>
      </c>
      <c r="M9" s="190">
        <v>193</v>
      </c>
      <c r="N9" s="190">
        <v>193</v>
      </c>
      <c r="O9" s="190">
        <v>0</v>
      </c>
      <c r="P9" s="190">
        <v>332</v>
      </c>
      <c r="Q9" s="190">
        <v>332</v>
      </c>
      <c r="R9" s="190">
        <v>0</v>
      </c>
      <c r="S9" s="190">
        <v>36</v>
      </c>
      <c r="T9" s="190">
        <v>36</v>
      </c>
      <c r="U9" s="190">
        <v>0</v>
      </c>
      <c r="V9" s="190">
        <v>32</v>
      </c>
      <c r="W9" s="190">
        <v>32</v>
      </c>
      <c r="X9" s="190">
        <v>28</v>
      </c>
      <c r="Y9" s="190">
        <v>1331</v>
      </c>
      <c r="Z9" s="190">
        <v>1359</v>
      </c>
      <c r="AA9" s="190">
        <v>17</v>
      </c>
      <c r="AB9" s="190">
        <v>545</v>
      </c>
      <c r="AC9" s="190">
        <v>562</v>
      </c>
      <c r="AD9" s="190">
        <v>17</v>
      </c>
      <c r="AE9" s="190">
        <v>531</v>
      </c>
      <c r="AF9" s="190">
        <v>548</v>
      </c>
      <c r="AG9" s="190">
        <v>0</v>
      </c>
      <c r="AH9" s="190">
        <v>8</v>
      </c>
      <c r="AI9" s="190">
        <v>8</v>
      </c>
      <c r="AJ9" s="190">
        <v>0</v>
      </c>
      <c r="AK9" s="190">
        <v>6</v>
      </c>
      <c r="AL9" s="190">
        <v>6</v>
      </c>
      <c r="AM9" s="190">
        <v>11</v>
      </c>
      <c r="AN9" s="190">
        <v>786</v>
      </c>
      <c r="AO9" s="190">
        <v>797</v>
      </c>
      <c r="AP9" s="190">
        <v>1599</v>
      </c>
      <c r="AQ9" s="190">
        <v>14011</v>
      </c>
      <c r="AR9" s="190">
        <v>15610</v>
      </c>
      <c r="AS9" s="190">
        <v>1599</v>
      </c>
      <c r="AT9" s="190">
        <v>14011</v>
      </c>
      <c r="AU9" s="190">
        <v>15610</v>
      </c>
      <c r="AV9" s="190">
        <v>0</v>
      </c>
      <c r="AW9" s="190">
        <v>0</v>
      </c>
      <c r="AX9" s="190">
        <v>0</v>
      </c>
      <c r="AY9" s="190">
        <v>124</v>
      </c>
      <c r="AZ9" s="190">
        <v>1309</v>
      </c>
      <c r="BA9" s="190">
        <v>1433</v>
      </c>
      <c r="BB9" s="190">
        <v>33</v>
      </c>
      <c r="BC9" s="190">
        <v>0</v>
      </c>
      <c r="BD9" s="190">
        <v>0</v>
      </c>
      <c r="BE9" s="190">
        <v>764</v>
      </c>
      <c r="BF9" s="190">
        <v>4</v>
      </c>
      <c r="BG9" s="190">
        <v>2</v>
      </c>
      <c r="BH9" s="190">
        <v>33</v>
      </c>
      <c r="BI9" s="190">
        <v>770</v>
      </c>
      <c r="BJ9" s="190">
        <v>803</v>
      </c>
      <c r="BK9" s="190">
        <v>3</v>
      </c>
      <c r="BL9" s="190">
        <v>-3</v>
      </c>
      <c r="BM9" s="190">
        <v>0</v>
      </c>
      <c r="BN9" s="190">
        <v>2</v>
      </c>
      <c r="BO9" s="190">
        <v>28</v>
      </c>
      <c r="BP9" s="190">
        <v>30</v>
      </c>
      <c r="BQ9" s="190">
        <v>4</v>
      </c>
      <c r="BR9" s="190">
        <v>170</v>
      </c>
      <c r="BS9" s="190">
        <v>174</v>
      </c>
      <c r="BT9" s="190">
        <v>82</v>
      </c>
      <c r="BU9" s="190">
        <v>344</v>
      </c>
      <c r="BV9" s="190">
        <v>426</v>
      </c>
      <c r="BW9" s="190">
        <v>1723</v>
      </c>
      <c r="BX9" s="190">
        <v>15320</v>
      </c>
      <c r="BY9" s="190">
        <v>17043</v>
      </c>
      <c r="BZ9" s="190">
        <v>1716</v>
      </c>
      <c r="CA9" s="190">
        <v>15247</v>
      </c>
      <c r="CB9" s="190">
        <v>16963</v>
      </c>
      <c r="CC9" s="190">
        <v>31793</v>
      </c>
      <c r="CD9" s="190">
        <v>6</v>
      </c>
      <c r="CE9" s="190">
        <v>43</v>
      </c>
      <c r="CF9" s="190">
        <v>6</v>
      </c>
      <c r="CG9" s="190">
        <v>41</v>
      </c>
      <c r="CH9" s="190">
        <v>47</v>
      </c>
      <c r="CI9" s="190">
        <v>33</v>
      </c>
      <c r="CJ9" s="190">
        <v>6</v>
      </c>
      <c r="CK9" s="190">
        <v>1</v>
      </c>
      <c r="CL9" s="190">
        <v>32</v>
      </c>
      <c r="CM9" s="190">
        <v>33</v>
      </c>
      <c r="CN9" s="190">
        <v>140</v>
      </c>
      <c r="CO9" s="190">
        <v>1421</v>
      </c>
      <c r="CP9" s="190">
        <v>1561</v>
      </c>
      <c r="CQ9" s="190">
        <v>0</v>
      </c>
      <c r="CR9" s="190">
        <v>12</v>
      </c>
      <c r="CS9" s="190">
        <v>12</v>
      </c>
      <c r="CT9" s="190">
        <v>1583</v>
      </c>
      <c r="CU9" s="190">
        <v>13899</v>
      </c>
      <c r="CV9" s="190">
        <v>15482</v>
      </c>
      <c r="CW9" s="190">
        <v>146</v>
      </c>
      <c r="CX9" s="190">
        <v>658</v>
      </c>
      <c r="CY9" s="190">
        <v>804</v>
      </c>
      <c r="CZ9" s="190">
        <v>145</v>
      </c>
      <c r="DA9" s="190">
        <v>0</v>
      </c>
      <c r="DB9" s="190">
        <v>0</v>
      </c>
      <c r="DC9" s="190">
        <v>640</v>
      </c>
      <c r="DD9" s="190">
        <v>4</v>
      </c>
      <c r="DE9" s="190">
        <v>3</v>
      </c>
      <c r="DF9" s="190">
        <v>145</v>
      </c>
      <c r="DG9" s="190">
        <v>647</v>
      </c>
      <c r="DH9" s="190">
        <v>792</v>
      </c>
      <c r="DI9" s="190">
        <v>1</v>
      </c>
      <c r="DJ9" s="190">
        <v>0</v>
      </c>
      <c r="DK9" s="190">
        <v>0</v>
      </c>
      <c r="DL9" s="190">
        <v>11</v>
      </c>
      <c r="DM9" s="190">
        <v>0</v>
      </c>
      <c r="DN9" s="190">
        <v>0</v>
      </c>
      <c r="DO9" s="190">
        <v>1</v>
      </c>
      <c r="DP9" s="190">
        <v>11</v>
      </c>
      <c r="DQ9" s="190">
        <v>12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173</v>
      </c>
      <c r="C10" s="190">
        <v>26</v>
      </c>
      <c r="D10" s="190">
        <v>193</v>
      </c>
      <c r="E10" s="190">
        <v>147</v>
      </c>
      <c r="F10" s="190">
        <v>0</v>
      </c>
      <c r="G10" s="190">
        <v>6</v>
      </c>
      <c r="H10" s="190">
        <v>6</v>
      </c>
      <c r="I10" s="190">
        <v>0</v>
      </c>
      <c r="J10" s="190">
        <v>39</v>
      </c>
      <c r="K10" s="190">
        <v>39</v>
      </c>
      <c r="L10" s="190">
        <v>0</v>
      </c>
      <c r="M10" s="190">
        <v>24</v>
      </c>
      <c r="N10" s="190">
        <v>24</v>
      </c>
      <c r="O10" s="190">
        <v>0</v>
      </c>
      <c r="P10" s="190">
        <v>15</v>
      </c>
      <c r="Q10" s="190">
        <v>15</v>
      </c>
      <c r="R10" s="190">
        <v>0</v>
      </c>
      <c r="S10" s="190">
        <v>0</v>
      </c>
      <c r="T10" s="190">
        <v>0</v>
      </c>
      <c r="U10" s="190">
        <v>0</v>
      </c>
      <c r="V10" s="190">
        <v>7</v>
      </c>
      <c r="W10" s="190">
        <v>7</v>
      </c>
      <c r="X10" s="190">
        <v>2</v>
      </c>
      <c r="Y10" s="190">
        <v>191</v>
      </c>
      <c r="Z10" s="190">
        <v>193</v>
      </c>
      <c r="AA10" s="190">
        <v>0</v>
      </c>
      <c r="AB10" s="190">
        <v>81</v>
      </c>
      <c r="AC10" s="190">
        <v>81</v>
      </c>
      <c r="AD10" s="190">
        <v>0</v>
      </c>
      <c r="AE10" s="190">
        <v>78</v>
      </c>
      <c r="AF10" s="190">
        <v>78</v>
      </c>
      <c r="AG10" s="190">
        <v>0</v>
      </c>
      <c r="AH10" s="190">
        <v>3</v>
      </c>
      <c r="AI10" s="190">
        <v>3</v>
      </c>
      <c r="AJ10" s="190">
        <v>0</v>
      </c>
      <c r="AK10" s="190">
        <v>0</v>
      </c>
      <c r="AL10" s="190">
        <v>0</v>
      </c>
      <c r="AM10" s="190">
        <v>2</v>
      </c>
      <c r="AN10" s="190">
        <v>110</v>
      </c>
      <c r="AO10" s="190">
        <v>112</v>
      </c>
      <c r="AP10" s="190">
        <v>177</v>
      </c>
      <c r="AQ10" s="190">
        <v>2468</v>
      </c>
      <c r="AR10" s="190">
        <v>2645</v>
      </c>
      <c r="AS10" s="190">
        <v>177</v>
      </c>
      <c r="AT10" s="190">
        <v>2470</v>
      </c>
      <c r="AU10" s="190">
        <v>2647</v>
      </c>
      <c r="AV10" s="190">
        <v>0</v>
      </c>
      <c r="AW10" s="190">
        <v>-2</v>
      </c>
      <c r="AX10" s="190">
        <v>-2</v>
      </c>
      <c r="AY10" s="190">
        <v>10</v>
      </c>
      <c r="AZ10" s="190">
        <v>240</v>
      </c>
      <c r="BA10" s="190">
        <v>250</v>
      </c>
      <c r="BB10" s="190">
        <v>2</v>
      </c>
      <c r="BC10" s="190">
        <v>0</v>
      </c>
      <c r="BD10" s="190">
        <v>0</v>
      </c>
      <c r="BE10" s="190">
        <v>143</v>
      </c>
      <c r="BF10" s="190">
        <v>2</v>
      </c>
      <c r="BG10" s="190">
        <v>0</v>
      </c>
      <c r="BH10" s="190">
        <v>2</v>
      </c>
      <c r="BI10" s="190">
        <v>145</v>
      </c>
      <c r="BJ10" s="190">
        <v>147</v>
      </c>
      <c r="BK10" s="190">
        <v>3</v>
      </c>
      <c r="BL10" s="190">
        <v>-3</v>
      </c>
      <c r="BM10" s="190">
        <v>0</v>
      </c>
      <c r="BN10" s="190">
        <v>1</v>
      </c>
      <c r="BO10" s="190">
        <v>11</v>
      </c>
      <c r="BP10" s="190">
        <v>12</v>
      </c>
      <c r="BQ10" s="190">
        <v>0</v>
      </c>
      <c r="BR10" s="190">
        <v>27</v>
      </c>
      <c r="BS10" s="190">
        <v>27</v>
      </c>
      <c r="BT10" s="190">
        <v>4</v>
      </c>
      <c r="BU10" s="190">
        <v>60</v>
      </c>
      <c r="BV10" s="190">
        <v>64</v>
      </c>
      <c r="BW10" s="190">
        <v>187</v>
      </c>
      <c r="BX10" s="190">
        <v>2708</v>
      </c>
      <c r="BY10" s="190">
        <v>2895</v>
      </c>
      <c r="BZ10" s="190">
        <v>187</v>
      </c>
      <c r="CA10" s="190">
        <v>2692</v>
      </c>
      <c r="CB10" s="190">
        <v>2879</v>
      </c>
      <c r="CC10" s="190">
        <v>5235</v>
      </c>
      <c r="CD10" s="190">
        <v>5</v>
      </c>
      <c r="CE10" s="190">
        <v>10</v>
      </c>
      <c r="CF10" s="190">
        <v>0</v>
      </c>
      <c r="CG10" s="190">
        <v>12</v>
      </c>
      <c r="CH10" s="190">
        <v>12</v>
      </c>
      <c r="CI10" s="190">
        <v>5</v>
      </c>
      <c r="CJ10" s="190">
        <v>0</v>
      </c>
      <c r="CK10" s="190">
        <v>0</v>
      </c>
      <c r="CL10" s="190">
        <v>4</v>
      </c>
      <c r="CM10" s="190">
        <v>4</v>
      </c>
      <c r="CN10" s="190">
        <v>17</v>
      </c>
      <c r="CO10" s="190">
        <v>281</v>
      </c>
      <c r="CP10" s="190">
        <v>298</v>
      </c>
      <c r="CQ10" s="190">
        <v>0</v>
      </c>
      <c r="CR10" s="190">
        <v>2</v>
      </c>
      <c r="CS10" s="190">
        <v>2</v>
      </c>
      <c r="CT10" s="190">
        <v>170</v>
      </c>
      <c r="CU10" s="190">
        <v>2427</v>
      </c>
      <c r="CV10" s="190">
        <v>2597</v>
      </c>
      <c r="CW10" s="190">
        <v>9</v>
      </c>
      <c r="CX10" s="190">
        <v>121</v>
      </c>
      <c r="CY10" s="190">
        <v>130</v>
      </c>
      <c r="CZ10" s="190">
        <v>9</v>
      </c>
      <c r="DA10" s="190">
        <v>0</v>
      </c>
      <c r="DB10" s="190">
        <v>0</v>
      </c>
      <c r="DC10" s="190">
        <v>119</v>
      </c>
      <c r="DD10" s="190">
        <v>0</v>
      </c>
      <c r="DE10" s="190">
        <v>0</v>
      </c>
      <c r="DF10" s="190">
        <v>9</v>
      </c>
      <c r="DG10" s="190">
        <v>119</v>
      </c>
      <c r="DH10" s="190">
        <v>128</v>
      </c>
      <c r="DI10" s="190">
        <v>0</v>
      </c>
      <c r="DJ10" s="190">
        <v>0</v>
      </c>
      <c r="DK10" s="190">
        <v>0</v>
      </c>
      <c r="DL10" s="190">
        <v>2</v>
      </c>
      <c r="DM10" s="190">
        <v>0</v>
      </c>
      <c r="DN10" s="190">
        <v>0</v>
      </c>
      <c r="DO10" s="190">
        <v>0</v>
      </c>
      <c r="DP10" s="190">
        <v>2</v>
      </c>
      <c r="DQ10" s="190">
        <v>2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72</v>
      </c>
      <c r="C11" s="190">
        <v>13</v>
      </c>
      <c r="D11" s="190">
        <v>80</v>
      </c>
      <c r="E11" s="190">
        <v>49</v>
      </c>
      <c r="F11" s="190">
        <v>2</v>
      </c>
      <c r="G11" s="190">
        <v>6</v>
      </c>
      <c r="H11" s="190">
        <v>8</v>
      </c>
      <c r="I11" s="190">
        <v>0</v>
      </c>
      <c r="J11" s="190">
        <v>28</v>
      </c>
      <c r="K11" s="190">
        <v>28</v>
      </c>
      <c r="L11" s="190">
        <v>0</v>
      </c>
      <c r="M11" s="190">
        <v>10</v>
      </c>
      <c r="N11" s="190">
        <v>10</v>
      </c>
      <c r="O11" s="190">
        <v>0</v>
      </c>
      <c r="P11" s="190">
        <v>18</v>
      </c>
      <c r="Q11" s="190">
        <v>18</v>
      </c>
      <c r="R11" s="190">
        <v>0</v>
      </c>
      <c r="S11" s="190">
        <v>4</v>
      </c>
      <c r="T11" s="190">
        <v>4</v>
      </c>
      <c r="U11" s="190">
        <v>0</v>
      </c>
      <c r="V11" s="190">
        <v>3</v>
      </c>
      <c r="W11" s="190">
        <v>3</v>
      </c>
      <c r="X11" s="190">
        <v>2</v>
      </c>
      <c r="Y11" s="190">
        <v>78</v>
      </c>
      <c r="Z11" s="190">
        <v>80</v>
      </c>
      <c r="AA11" s="190">
        <v>1</v>
      </c>
      <c r="AB11" s="190">
        <v>22</v>
      </c>
      <c r="AC11" s="190">
        <v>23</v>
      </c>
      <c r="AD11" s="190">
        <v>1</v>
      </c>
      <c r="AE11" s="190">
        <v>21</v>
      </c>
      <c r="AF11" s="190">
        <v>22</v>
      </c>
      <c r="AG11" s="190">
        <v>0</v>
      </c>
      <c r="AH11" s="190">
        <v>0</v>
      </c>
      <c r="AI11" s="190">
        <v>0</v>
      </c>
      <c r="AJ11" s="190">
        <v>0</v>
      </c>
      <c r="AK11" s="190">
        <v>1</v>
      </c>
      <c r="AL11" s="190">
        <v>1</v>
      </c>
      <c r="AM11" s="190">
        <v>1</v>
      </c>
      <c r="AN11" s="190">
        <v>56</v>
      </c>
      <c r="AO11" s="190">
        <v>57</v>
      </c>
      <c r="AP11" s="190">
        <v>64</v>
      </c>
      <c r="AQ11" s="190">
        <v>496</v>
      </c>
      <c r="AR11" s="190">
        <v>560</v>
      </c>
      <c r="AS11" s="190">
        <v>64</v>
      </c>
      <c r="AT11" s="190">
        <v>496</v>
      </c>
      <c r="AU11" s="190">
        <v>560</v>
      </c>
      <c r="AV11" s="190">
        <v>0</v>
      </c>
      <c r="AW11" s="190">
        <v>0</v>
      </c>
      <c r="AX11" s="190">
        <v>0</v>
      </c>
      <c r="AY11" s="190">
        <v>13</v>
      </c>
      <c r="AZ11" s="190">
        <v>81</v>
      </c>
      <c r="BA11" s="190">
        <v>94</v>
      </c>
      <c r="BB11" s="190">
        <v>5</v>
      </c>
      <c r="BC11" s="190">
        <v>0</v>
      </c>
      <c r="BD11" s="190">
        <v>0</v>
      </c>
      <c r="BE11" s="190">
        <v>44</v>
      </c>
      <c r="BF11" s="190">
        <v>0</v>
      </c>
      <c r="BG11" s="190">
        <v>0</v>
      </c>
      <c r="BH11" s="190">
        <v>5</v>
      </c>
      <c r="BI11" s="190">
        <v>44</v>
      </c>
      <c r="BJ11" s="190">
        <v>49</v>
      </c>
      <c r="BK11" s="190">
        <v>2</v>
      </c>
      <c r="BL11" s="190">
        <v>-2</v>
      </c>
      <c r="BM11" s="190">
        <v>0</v>
      </c>
      <c r="BN11" s="190">
        <v>0</v>
      </c>
      <c r="BO11" s="190">
        <v>4</v>
      </c>
      <c r="BP11" s="190">
        <v>4</v>
      </c>
      <c r="BQ11" s="190">
        <v>0</v>
      </c>
      <c r="BR11" s="190">
        <v>1</v>
      </c>
      <c r="BS11" s="190">
        <v>1</v>
      </c>
      <c r="BT11" s="190">
        <v>6</v>
      </c>
      <c r="BU11" s="190">
        <v>34</v>
      </c>
      <c r="BV11" s="190">
        <v>40</v>
      </c>
      <c r="BW11" s="190">
        <v>77</v>
      </c>
      <c r="BX11" s="190">
        <v>577</v>
      </c>
      <c r="BY11" s="190">
        <v>654</v>
      </c>
      <c r="BZ11" s="190">
        <v>76</v>
      </c>
      <c r="CA11" s="190">
        <v>575</v>
      </c>
      <c r="CB11" s="190">
        <v>651</v>
      </c>
      <c r="CC11" s="190">
        <v>1522</v>
      </c>
      <c r="CD11" s="190">
        <v>0</v>
      </c>
      <c r="CE11" s="190">
        <v>2</v>
      </c>
      <c r="CF11" s="190">
        <v>1</v>
      </c>
      <c r="CG11" s="190">
        <v>1</v>
      </c>
      <c r="CH11" s="190">
        <v>2</v>
      </c>
      <c r="CI11" s="190">
        <v>1</v>
      </c>
      <c r="CJ11" s="190">
        <v>0</v>
      </c>
      <c r="CK11" s="190">
        <v>0</v>
      </c>
      <c r="CL11" s="190">
        <v>1</v>
      </c>
      <c r="CM11" s="190">
        <v>1</v>
      </c>
      <c r="CN11" s="190">
        <v>6</v>
      </c>
      <c r="CO11" s="190">
        <v>56</v>
      </c>
      <c r="CP11" s="190">
        <v>62</v>
      </c>
      <c r="CQ11" s="190">
        <v>0</v>
      </c>
      <c r="CR11" s="190">
        <v>0</v>
      </c>
      <c r="CS11" s="190">
        <v>0</v>
      </c>
      <c r="CT11" s="190">
        <v>71</v>
      </c>
      <c r="CU11" s="190">
        <v>521</v>
      </c>
      <c r="CV11" s="190">
        <v>592</v>
      </c>
      <c r="CW11" s="190">
        <v>6</v>
      </c>
      <c r="CX11" s="190">
        <v>30</v>
      </c>
      <c r="CY11" s="190">
        <v>36</v>
      </c>
      <c r="CZ11" s="190">
        <v>6</v>
      </c>
      <c r="DA11" s="190">
        <v>0</v>
      </c>
      <c r="DB11" s="190">
        <v>0</v>
      </c>
      <c r="DC11" s="190">
        <v>29</v>
      </c>
      <c r="DD11" s="190">
        <v>0</v>
      </c>
      <c r="DE11" s="190">
        <v>0</v>
      </c>
      <c r="DF11" s="190">
        <v>6</v>
      </c>
      <c r="DG11" s="190">
        <v>29</v>
      </c>
      <c r="DH11" s="190">
        <v>35</v>
      </c>
      <c r="DI11" s="190">
        <v>0</v>
      </c>
      <c r="DJ11" s="190">
        <v>0</v>
      </c>
      <c r="DK11" s="190">
        <v>0</v>
      </c>
      <c r="DL11" s="190">
        <v>1</v>
      </c>
      <c r="DM11" s="190">
        <v>0</v>
      </c>
      <c r="DN11" s="190">
        <v>0</v>
      </c>
      <c r="DO11" s="190">
        <v>0</v>
      </c>
      <c r="DP11" s="190">
        <v>1</v>
      </c>
      <c r="DQ11" s="190">
        <v>1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1954</v>
      </c>
      <c r="C12" s="190">
        <v>514</v>
      </c>
      <c r="D12" s="190">
        <v>1826</v>
      </c>
      <c r="E12" s="190">
        <v>1000</v>
      </c>
      <c r="F12" s="190">
        <v>7</v>
      </c>
      <c r="G12" s="190">
        <v>38</v>
      </c>
      <c r="H12" s="190">
        <v>45</v>
      </c>
      <c r="I12" s="190">
        <v>0</v>
      </c>
      <c r="J12" s="190">
        <v>716</v>
      </c>
      <c r="K12" s="190">
        <v>716</v>
      </c>
      <c r="L12" s="190">
        <v>0</v>
      </c>
      <c r="M12" s="190">
        <v>158</v>
      </c>
      <c r="N12" s="190">
        <v>158</v>
      </c>
      <c r="O12" s="190">
        <v>0</v>
      </c>
      <c r="P12" s="190">
        <v>558</v>
      </c>
      <c r="Q12" s="190">
        <v>558</v>
      </c>
      <c r="R12" s="190">
        <v>0</v>
      </c>
      <c r="S12" s="190">
        <v>56</v>
      </c>
      <c r="T12" s="190">
        <v>56</v>
      </c>
      <c r="U12" s="190">
        <v>0</v>
      </c>
      <c r="V12" s="190">
        <v>110</v>
      </c>
      <c r="W12" s="190">
        <v>110</v>
      </c>
      <c r="X12" s="190">
        <v>27</v>
      </c>
      <c r="Y12" s="190">
        <v>827</v>
      </c>
      <c r="Z12" s="190">
        <v>854</v>
      </c>
      <c r="AA12" s="190">
        <v>12</v>
      </c>
      <c r="AB12" s="190">
        <v>447</v>
      </c>
      <c r="AC12" s="190">
        <v>459</v>
      </c>
      <c r="AD12" s="190">
        <v>10</v>
      </c>
      <c r="AE12" s="190">
        <v>432</v>
      </c>
      <c r="AF12" s="190">
        <v>442</v>
      </c>
      <c r="AG12" s="190">
        <v>2</v>
      </c>
      <c r="AH12" s="190">
        <v>8</v>
      </c>
      <c r="AI12" s="190">
        <v>10</v>
      </c>
      <c r="AJ12" s="190">
        <v>0</v>
      </c>
      <c r="AK12" s="190">
        <v>7</v>
      </c>
      <c r="AL12" s="190">
        <v>7</v>
      </c>
      <c r="AM12" s="190">
        <v>15</v>
      </c>
      <c r="AN12" s="190">
        <v>380</v>
      </c>
      <c r="AO12" s="190">
        <v>395</v>
      </c>
      <c r="AP12" s="190">
        <v>3755</v>
      </c>
      <c r="AQ12" s="190">
        <v>26131</v>
      </c>
      <c r="AR12" s="190">
        <v>29886</v>
      </c>
      <c r="AS12" s="190">
        <v>3730</v>
      </c>
      <c r="AT12" s="190">
        <v>25915</v>
      </c>
      <c r="AU12" s="190">
        <v>29645</v>
      </c>
      <c r="AV12" s="190">
        <v>25</v>
      </c>
      <c r="AW12" s="190">
        <v>216</v>
      </c>
      <c r="AX12" s="190">
        <v>241</v>
      </c>
      <c r="AY12" s="190">
        <v>204</v>
      </c>
      <c r="AZ12" s="190">
        <v>2371</v>
      </c>
      <c r="BA12" s="190">
        <v>2575</v>
      </c>
      <c r="BB12" s="190">
        <v>88</v>
      </c>
      <c r="BC12" s="190">
        <v>5</v>
      </c>
      <c r="BD12" s="190">
        <v>0</v>
      </c>
      <c r="BE12" s="190">
        <v>887</v>
      </c>
      <c r="BF12" s="190">
        <v>12</v>
      </c>
      <c r="BG12" s="190">
        <v>8</v>
      </c>
      <c r="BH12" s="190">
        <v>93</v>
      </c>
      <c r="BI12" s="190">
        <v>907</v>
      </c>
      <c r="BJ12" s="190">
        <v>1000</v>
      </c>
      <c r="BK12" s="190">
        <v>-65</v>
      </c>
      <c r="BL12" s="190">
        <v>65</v>
      </c>
      <c r="BM12" s="190">
        <v>0</v>
      </c>
      <c r="BN12" s="190">
        <v>15</v>
      </c>
      <c r="BO12" s="190">
        <v>80</v>
      </c>
      <c r="BP12" s="190">
        <v>95</v>
      </c>
      <c r="BQ12" s="190">
        <v>10</v>
      </c>
      <c r="BR12" s="190">
        <v>20</v>
      </c>
      <c r="BS12" s="190">
        <v>30</v>
      </c>
      <c r="BT12" s="190">
        <v>151</v>
      </c>
      <c r="BU12" s="190">
        <v>1299</v>
      </c>
      <c r="BV12" s="190">
        <v>1450</v>
      </c>
      <c r="BW12" s="190">
        <v>3959</v>
      </c>
      <c r="BX12" s="190">
        <v>28502</v>
      </c>
      <c r="BY12" s="190">
        <v>32461</v>
      </c>
      <c r="BZ12" s="190">
        <v>3859</v>
      </c>
      <c r="CA12" s="190">
        <v>27978</v>
      </c>
      <c r="CB12" s="190">
        <v>31837</v>
      </c>
      <c r="CC12" s="190">
        <v>65347</v>
      </c>
      <c r="CD12" s="190">
        <v>41</v>
      </c>
      <c r="CE12" s="190">
        <v>677</v>
      </c>
      <c r="CF12" s="190">
        <v>99</v>
      </c>
      <c r="CG12" s="190">
        <v>385</v>
      </c>
      <c r="CH12" s="190">
        <v>484</v>
      </c>
      <c r="CI12" s="190">
        <v>174</v>
      </c>
      <c r="CJ12" s="190">
        <v>13</v>
      </c>
      <c r="CK12" s="190">
        <v>1</v>
      </c>
      <c r="CL12" s="190">
        <v>139</v>
      </c>
      <c r="CM12" s="190">
        <v>140</v>
      </c>
      <c r="CN12" s="190">
        <v>202</v>
      </c>
      <c r="CO12" s="190">
        <v>3371</v>
      </c>
      <c r="CP12" s="190">
        <v>3573</v>
      </c>
      <c r="CQ12" s="190">
        <v>0</v>
      </c>
      <c r="CR12" s="190">
        <v>0</v>
      </c>
      <c r="CS12" s="190">
        <v>0</v>
      </c>
      <c r="CT12" s="190">
        <v>3757</v>
      </c>
      <c r="CU12" s="190">
        <v>25131</v>
      </c>
      <c r="CV12" s="190">
        <v>28888</v>
      </c>
      <c r="CW12" s="190">
        <v>313</v>
      </c>
      <c r="CX12" s="190">
        <v>1378</v>
      </c>
      <c r="CY12" s="190">
        <v>1691</v>
      </c>
      <c r="CZ12" s="190">
        <v>303</v>
      </c>
      <c r="DA12" s="190">
        <v>6</v>
      </c>
      <c r="DB12" s="190">
        <v>0</v>
      </c>
      <c r="DC12" s="190">
        <v>1320</v>
      </c>
      <c r="DD12" s="190">
        <v>15</v>
      </c>
      <c r="DE12" s="190">
        <v>4</v>
      </c>
      <c r="DF12" s="190">
        <v>309</v>
      </c>
      <c r="DG12" s="190">
        <v>1339</v>
      </c>
      <c r="DH12" s="190">
        <v>1648</v>
      </c>
      <c r="DI12" s="190">
        <v>4</v>
      </c>
      <c r="DJ12" s="190">
        <v>0</v>
      </c>
      <c r="DK12" s="190">
        <v>0</v>
      </c>
      <c r="DL12" s="190">
        <v>36</v>
      </c>
      <c r="DM12" s="190">
        <v>3</v>
      </c>
      <c r="DN12" s="190">
        <v>0</v>
      </c>
      <c r="DO12" s="190">
        <v>4</v>
      </c>
      <c r="DP12" s="190">
        <v>39</v>
      </c>
      <c r="DQ12" s="190">
        <v>43</v>
      </c>
      <c r="DR12" s="190">
        <v>0</v>
      </c>
      <c r="DS12" s="190">
        <v>2</v>
      </c>
      <c r="DT12" s="191">
        <v>2</v>
      </c>
    </row>
    <row r="13" spans="1:129">
      <c r="A13" s="189" t="s">
        <v>278</v>
      </c>
      <c r="B13" s="190">
        <v>170</v>
      </c>
      <c r="C13" s="190">
        <v>17</v>
      </c>
      <c r="D13" s="190">
        <v>190</v>
      </c>
      <c r="E13" s="190">
        <v>98</v>
      </c>
      <c r="F13" s="190">
        <v>0</v>
      </c>
      <c r="G13" s="190">
        <v>0</v>
      </c>
      <c r="H13" s="190">
        <v>0</v>
      </c>
      <c r="I13" s="190">
        <v>0</v>
      </c>
      <c r="J13" s="190">
        <v>81</v>
      </c>
      <c r="K13" s="190">
        <v>81</v>
      </c>
      <c r="L13" s="190">
        <v>0</v>
      </c>
      <c r="M13" s="190">
        <v>32</v>
      </c>
      <c r="N13" s="190">
        <v>32</v>
      </c>
      <c r="O13" s="190">
        <v>0</v>
      </c>
      <c r="P13" s="190">
        <v>49</v>
      </c>
      <c r="Q13" s="190">
        <v>49</v>
      </c>
      <c r="R13" s="190">
        <v>0</v>
      </c>
      <c r="S13" s="190">
        <v>0</v>
      </c>
      <c r="T13" s="190">
        <v>0</v>
      </c>
      <c r="U13" s="190">
        <v>0</v>
      </c>
      <c r="V13" s="190">
        <v>11</v>
      </c>
      <c r="W13" s="190">
        <v>11</v>
      </c>
      <c r="X13" s="190">
        <v>7</v>
      </c>
      <c r="Y13" s="190">
        <v>183</v>
      </c>
      <c r="Z13" s="190">
        <v>190</v>
      </c>
      <c r="AA13" s="190">
        <v>4</v>
      </c>
      <c r="AB13" s="190">
        <v>70</v>
      </c>
      <c r="AC13" s="190">
        <v>74</v>
      </c>
      <c r="AD13" s="190">
        <v>4</v>
      </c>
      <c r="AE13" s="190">
        <v>66</v>
      </c>
      <c r="AF13" s="190">
        <v>70</v>
      </c>
      <c r="AG13" s="190">
        <v>0</v>
      </c>
      <c r="AH13" s="190">
        <v>3</v>
      </c>
      <c r="AI13" s="190">
        <v>3</v>
      </c>
      <c r="AJ13" s="190">
        <v>0</v>
      </c>
      <c r="AK13" s="190">
        <v>1</v>
      </c>
      <c r="AL13" s="190">
        <v>1</v>
      </c>
      <c r="AM13" s="190">
        <v>3</v>
      </c>
      <c r="AN13" s="190">
        <v>113</v>
      </c>
      <c r="AO13" s="190">
        <v>116</v>
      </c>
      <c r="AP13" s="190">
        <v>363</v>
      </c>
      <c r="AQ13" s="190">
        <v>1975</v>
      </c>
      <c r="AR13" s="190">
        <v>2338</v>
      </c>
      <c r="AS13" s="190">
        <v>363</v>
      </c>
      <c r="AT13" s="190">
        <v>1975</v>
      </c>
      <c r="AU13" s="190">
        <v>2338</v>
      </c>
      <c r="AV13" s="190">
        <v>0</v>
      </c>
      <c r="AW13" s="190">
        <v>0</v>
      </c>
      <c r="AX13" s="190">
        <v>0</v>
      </c>
      <c r="AY13" s="190">
        <v>31</v>
      </c>
      <c r="AZ13" s="190">
        <v>204</v>
      </c>
      <c r="BA13" s="190">
        <v>235</v>
      </c>
      <c r="BB13" s="190">
        <v>7</v>
      </c>
      <c r="BC13" s="190">
        <v>0</v>
      </c>
      <c r="BD13" s="190">
        <v>0</v>
      </c>
      <c r="BE13" s="190">
        <v>91</v>
      </c>
      <c r="BF13" s="190">
        <v>0</v>
      </c>
      <c r="BG13" s="190">
        <v>0</v>
      </c>
      <c r="BH13" s="190">
        <v>7</v>
      </c>
      <c r="BI13" s="190">
        <v>91</v>
      </c>
      <c r="BJ13" s="190">
        <v>98</v>
      </c>
      <c r="BK13" s="190">
        <v>11</v>
      </c>
      <c r="BL13" s="190">
        <v>-11</v>
      </c>
      <c r="BM13" s="190">
        <v>0</v>
      </c>
      <c r="BN13" s="190">
        <v>1</v>
      </c>
      <c r="BO13" s="190">
        <v>5</v>
      </c>
      <c r="BP13" s="190">
        <v>6</v>
      </c>
      <c r="BQ13" s="190">
        <v>0</v>
      </c>
      <c r="BR13" s="190">
        <v>33</v>
      </c>
      <c r="BS13" s="190">
        <v>33</v>
      </c>
      <c r="BT13" s="190">
        <v>12</v>
      </c>
      <c r="BU13" s="190">
        <v>86</v>
      </c>
      <c r="BV13" s="190">
        <v>98</v>
      </c>
      <c r="BW13" s="190">
        <v>394</v>
      </c>
      <c r="BX13" s="190">
        <v>2179</v>
      </c>
      <c r="BY13" s="190">
        <v>2573</v>
      </c>
      <c r="BZ13" s="190">
        <v>394</v>
      </c>
      <c r="CA13" s="190">
        <v>2177</v>
      </c>
      <c r="CB13" s="190">
        <v>2571</v>
      </c>
      <c r="CC13" s="190">
        <v>5287</v>
      </c>
      <c r="CD13" s="190">
        <v>0</v>
      </c>
      <c r="CE13" s="190">
        <v>2</v>
      </c>
      <c r="CF13" s="190">
        <v>0</v>
      </c>
      <c r="CG13" s="190">
        <v>2</v>
      </c>
      <c r="CH13" s="190">
        <v>2</v>
      </c>
      <c r="CI13" s="190">
        <v>0</v>
      </c>
      <c r="CJ13" s="190">
        <v>0</v>
      </c>
      <c r="CK13" s="190">
        <v>0</v>
      </c>
      <c r="CL13" s="190">
        <v>0</v>
      </c>
      <c r="CM13" s="190">
        <v>0</v>
      </c>
      <c r="CN13" s="190">
        <v>21</v>
      </c>
      <c r="CO13" s="190">
        <v>222</v>
      </c>
      <c r="CP13" s="190">
        <v>243</v>
      </c>
      <c r="CQ13" s="190">
        <v>0</v>
      </c>
      <c r="CR13" s="190">
        <v>0</v>
      </c>
      <c r="CS13" s="190">
        <v>0</v>
      </c>
      <c r="CT13" s="190">
        <v>373</v>
      </c>
      <c r="CU13" s="190">
        <v>1957</v>
      </c>
      <c r="CV13" s="190">
        <v>2330</v>
      </c>
      <c r="CW13" s="190">
        <v>31</v>
      </c>
      <c r="CX13" s="190">
        <v>97</v>
      </c>
      <c r="CY13" s="190">
        <v>128</v>
      </c>
      <c r="CZ13" s="190">
        <v>31</v>
      </c>
      <c r="DA13" s="190">
        <v>0</v>
      </c>
      <c r="DB13" s="190">
        <v>0</v>
      </c>
      <c r="DC13" s="190">
        <v>95</v>
      </c>
      <c r="DD13" s="190">
        <v>0</v>
      </c>
      <c r="DE13" s="190">
        <v>0</v>
      </c>
      <c r="DF13" s="190">
        <v>31</v>
      </c>
      <c r="DG13" s="190">
        <v>95</v>
      </c>
      <c r="DH13" s="190">
        <v>126</v>
      </c>
      <c r="DI13" s="190">
        <v>0</v>
      </c>
      <c r="DJ13" s="190">
        <v>0</v>
      </c>
      <c r="DK13" s="190">
        <v>0</v>
      </c>
      <c r="DL13" s="190">
        <v>2</v>
      </c>
      <c r="DM13" s="190">
        <v>0</v>
      </c>
      <c r="DN13" s="190">
        <v>0</v>
      </c>
      <c r="DO13" s="190">
        <v>0</v>
      </c>
      <c r="DP13" s="190">
        <v>2</v>
      </c>
      <c r="DQ13" s="190">
        <v>2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550</v>
      </c>
      <c r="C14" s="190">
        <v>105</v>
      </c>
      <c r="D14" s="190">
        <v>614</v>
      </c>
      <c r="E14" s="190">
        <v>421</v>
      </c>
      <c r="F14" s="190">
        <v>0</v>
      </c>
      <c r="G14" s="190">
        <v>16</v>
      </c>
      <c r="H14" s="190">
        <v>16</v>
      </c>
      <c r="I14" s="190">
        <v>0</v>
      </c>
      <c r="J14" s="190">
        <v>175</v>
      </c>
      <c r="K14" s="190">
        <v>175</v>
      </c>
      <c r="L14" s="190">
        <v>0</v>
      </c>
      <c r="M14" s="190">
        <v>64</v>
      </c>
      <c r="N14" s="190">
        <v>64</v>
      </c>
      <c r="O14" s="190">
        <v>0</v>
      </c>
      <c r="P14" s="190">
        <v>111</v>
      </c>
      <c r="Q14" s="190">
        <v>111</v>
      </c>
      <c r="R14" s="190">
        <v>0</v>
      </c>
      <c r="S14" s="190">
        <v>4</v>
      </c>
      <c r="T14" s="190">
        <v>4</v>
      </c>
      <c r="U14" s="190">
        <v>0</v>
      </c>
      <c r="V14" s="190">
        <v>18</v>
      </c>
      <c r="W14" s="190">
        <v>18</v>
      </c>
      <c r="X14" s="190">
        <v>16</v>
      </c>
      <c r="Y14" s="190">
        <v>598</v>
      </c>
      <c r="Z14" s="190">
        <v>614</v>
      </c>
      <c r="AA14" s="190">
        <v>9</v>
      </c>
      <c r="AB14" s="190">
        <v>287</v>
      </c>
      <c r="AC14" s="190">
        <v>296</v>
      </c>
      <c r="AD14" s="190">
        <v>8</v>
      </c>
      <c r="AE14" s="190">
        <v>281</v>
      </c>
      <c r="AF14" s="190">
        <v>289</v>
      </c>
      <c r="AG14" s="190">
        <v>1</v>
      </c>
      <c r="AH14" s="190">
        <v>2</v>
      </c>
      <c r="AI14" s="190">
        <v>3</v>
      </c>
      <c r="AJ14" s="190">
        <v>0</v>
      </c>
      <c r="AK14" s="190">
        <v>4</v>
      </c>
      <c r="AL14" s="190">
        <v>4</v>
      </c>
      <c r="AM14" s="190">
        <v>7</v>
      </c>
      <c r="AN14" s="190">
        <v>311</v>
      </c>
      <c r="AO14" s="190">
        <v>318</v>
      </c>
      <c r="AP14" s="190">
        <v>490</v>
      </c>
      <c r="AQ14" s="190">
        <v>5965</v>
      </c>
      <c r="AR14" s="190">
        <v>6455</v>
      </c>
      <c r="AS14" s="190">
        <v>490</v>
      </c>
      <c r="AT14" s="190">
        <v>5965</v>
      </c>
      <c r="AU14" s="190">
        <v>6455</v>
      </c>
      <c r="AV14" s="190">
        <v>0</v>
      </c>
      <c r="AW14" s="190">
        <v>0</v>
      </c>
      <c r="AX14" s="190">
        <v>0</v>
      </c>
      <c r="AY14" s="190">
        <v>47</v>
      </c>
      <c r="AZ14" s="190">
        <v>657</v>
      </c>
      <c r="BA14" s="190">
        <v>704</v>
      </c>
      <c r="BB14" s="190">
        <v>19</v>
      </c>
      <c r="BC14" s="190">
        <v>0</v>
      </c>
      <c r="BD14" s="190">
        <v>0</v>
      </c>
      <c r="BE14" s="190">
        <v>400</v>
      </c>
      <c r="BF14" s="190">
        <v>1</v>
      </c>
      <c r="BG14" s="190">
        <v>1</v>
      </c>
      <c r="BH14" s="190">
        <v>19</v>
      </c>
      <c r="BI14" s="190">
        <v>402</v>
      </c>
      <c r="BJ14" s="190">
        <v>421</v>
      </c>
      <c r="BK14" s="190">
        <v>10</v>
      </c>
      <c r="BL14" s="190">
        <v>-10</v>
      </c>
      <c r="BM14" s="190">
        <v>0</v>
      </c>
      <c r="BN14" s="190">
        <v>2</v>
      </c>
      <c r="BO14" s="190">
        <v>21</v>
      </c>
      <c r="BP14" s="190">
        <v>23</v>
      </c>
      <c r="BQ14" s="190">
        <v>3</v>
      </c>
      <c r="BR14" s="190">
        <v>80</v>
      </c>
      <c r="BS14" s="190">
        <v>83</v>
      </c>
      <c r="BT14" s="190">
        <v>13</v>
      </c>
      <c r="BU14" s="190">
        <v>164</v>
      </c>
      <c r="BV14" s="190">
        <v>177</v>
      </c>
      <c r="BW14" s="190">
        <v>537</v>
      </c>
      <c r="BX14" s="190">
        <v>6622</v>
      </c>
      <c r="BY14" s="190">
        <v>7159</v>
      </c>
      <c r="BZ14" s="190">
        <v>535</v>
      </c>
      <c r="CA14" s="190">
        <v>6581</v>
      </c>
      <c r="CB14" s="190">
        <v>7116</v>
      </c>
      <c r="CC14" s="190">
        <v>12646</v>
      </c>
      <c r="CD14" s="190">
        <v>3</v>
      </c>
      <c r="CE14" s="190">
        <v>35</v>
      </c>
      <c r="CF14" s="190">
        <v>2</v>
      </c>
      <c r="CG14" s="190">
        <v>31</v>
      </c>
      <c r="CH14" s="190">
        <v>33</v>
      </c>
      <c r="CI14" s="190">
        <v>13</v>
      </c>
      <c r="CJ14" s="190">
        <v>0</v>
      </c>
      <c r="CK14" s="190">
        <v>0</v>
      </c>
      <c r="CL14" s="190">
        <v>10</v>
      </c>
      <c r="CM14" s="190">
        <v>10</v>
      </c>
      <c r="CN14" s="190">
        <v>37</v>
      </c>
      <c r="CO14" s="190">
        <v>645</v>
      </c>
      <c r="CP14" s="190">
        <v>682</v>
      </c>
      <c r="CQ14" s="190">
        <v>0</v>
      </c>
      <c r="CR14" s="190">
        <v>1</v>
      </c>
      <c r="CS14" s="190">
        <v>1</v>
      </c>
      <c r="CT14" s="190">
        <v>500</v>
      </c>
      <c r="CU14" s="190">
        <v>5977</v>
      </c>
      <c r="CV14" s="190">
        <v>6477</v>
      </c>
      <c r="CW14" s="190">
        <v>32</v>
      </c>
      <c r="CX14" s="190">
        <v>323</v>
      </c>
      <c r="CY14" s="190">
        <v>355</v>
      </c>
      <c r="CZ14" s="190">
        <v>32</v>
      </c>
      <c r="DA14" s="190">
        <v>0</v>
      </c>
      <c r="DB14" s="190">
        <v>0</v>
      </c>
      <c r="DC14" s="190">
        <v>315</v>
      </c>
      <c r="DD14" s="190">
        <v>2</v>
      </c>
      <c r="DE14" s="190">
        <v>0</v>
      </c>
      <c r="DF14" s="190">
        <v>32</v>
      </c>
      <c r="DG14" s="190">
        <v>317</v>
      </c>
      <c r="DH14" s="190">
        <v>349</v>
      </c>
      <c r="DI14" s="190">
        <v>0</v>
      </c>
      <c r="DJ14" s="190">
        <v>0</v>
      </c>
      <c r="DK14" s="190">
        <v>0</v>
      </c>
      <c r="DL14" s="190">
        <v>6</v>
      </c>
      <c r="DM14" s="190">
        <v>0</v>
      </c>
      <c r="DN14" s="190">
        <v>0</v>
      </c>
      <c r="DO14" s="190">
        <v>0</v>
      </c>
      <c r="DP14" s="190">
        <v>6</v>
      </c>
      <c r="DQ14" s="190">
        <v>6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4106</v>
      </c>
      <c r="C15" s="190">
        <v>1472</v>
      </c>
      <c r="D15" s="190">
        <v>4233</v>
      </c>
      <c r="E15" s="190">
        <v>3081</v>
      </c>
      <c r="F15" s="190">
        <v>36</v>
      </c>
      <c r="G15" s="190">
        <v>115</v>
      </c>
      <c r="H15" s="190">
        <v>151</v>
      </c>
      <c r="I15" s="190">
        <v>4</v>
      </c>
      <c r="J15" s="190">
        <v>1075</v>
      </c>
      <c r="K15" s="190">
        <v>1079</v>
      </c>
      <c r="L15" s="190">
        <v>4</v>
      </c>
      <c r="M15" s="190">
        <v>1074</v>
      </c>
      <c r="N15" s="190">
        <v>1078</v>
      </c>
      <c r="O15" s="190">
        <v>0</v>
      </c>
      <c r="P15" s="190">
        <v>1</v>
      </c>
      <c r="Q15" s="190">
        <v>1</v>
      </c>
      <c r="R15" s="190">
        <v>0</v>
      </c>
      <c r="S15" s="190">
        <v>198</v>
      </c>
      <c r="T15" s="190">
        <v>198</v>
      </c>
      <c r="U15" s="190">
        <v>0</v>
      </c>
      <c r="V15" s="190">
        <v>73</v>
      </c>
      <c r="W15" s="190">
        <v>73</v>
      </c>
      <c r="X15" s="190">
        <v>54</v>
      </c>
      <c r="Y15" s="190">
        <v>3283</v>
      </c>
      <c r="Z15" s="190">
        <v>3337</v>
      </c>
      <c r="AA15" s="190">
        <v>32</v>
      </c>
      <c r="AB15" s="190">
        <v>1482</v>
      </c>
      <c r="AC15" s="190">
        <v>1514</v>
      </c>
      <c r="AD15" s="190">
        <v>27</v>
      </c>
      <c r="AE15" s="190">
        <v>1419</v>
      </c>
      <c r="AF15" s="190">
        <v>1446</v>
      </c>
      <c r="AG15" s="190">
        <v>5</v>
      </c>
      <c r="AH15" s="190">
        <v>45</v>
      </c>
      <c r="AI15" s="190">
        <v>50</v>
      </c>
      <c r="AJ15" s="190">
        <v>0</v>
      </c>
      <c r="AK15" s="190">
        <v>18</v>
      </c>
      <c r="AL15" s="190">
        <v>18</v>
      </c>
      <c r="AM15" s="190">
        <v>22</v>
      </c>
      <c r="AN15" s="190">
        <v>1801</v>
      </c>
      <c r="AO15" s="190">
        <v>1823</v>
      </c>
      <c r="AP15" s="190">
        <v>12106</v>
      </c>
      <c r="AQ15" s="190">
        <v>76062</v>
      </c>
      <c r="AR15" s="190">
        <v>88168</v>
      </c>
      <c r="AS15" s="190">
        <v>11636</v>
      </c>
      <c r="AT15" s="190">
        <v>72503</v>
      </c>
      <c r="AU15" s="190">
        <v>84139</v>
      </c>
      <c r="AV15" s="190">
        <v>470</v>
      </c>
      <c r="AW15" s="190">
        <v>3559</v>
      </c>
      <c r="AX15" s="190">
        <v>4029</v>
      </c>
      <c r="AY15" s="190">
        <v>352</v>
      </c>
      <c r="AZ15" s="190">
        <v>2843</v>
      </c>
      <c r="BA15" s="190">
        <v>3195</v>
      </c>
      <c r="BB15" s="190">
        <v>233</v>
      </c>
      <c r="BC15" s="190">
        <v>5</v>
      </c>
      <c r="BD15" s="190">
        <v>2</v>
      </c>
      <c r="BE15" s="190">
        <v>2796</v>
      </c>
      <c r="BF15" s="190">
        <v>20</v>
      </c>
      <c r="BG15" s="190">
        <v>25</v>
      </c>
      <c r="BH15" s="190">
        <v>240</v>
      </c>
      <c r="BI15" s="190">
        <v>2841</v>
      </c>
      <c r="BJ15" s="190">
        <v>3081</v>
      </c>
      <c r="BK15" s="190">
        <v>98</v>
      </c>
      <c r="BL15" s="190">
        <v>-98</v>
      </c>
      <c r="BM15" s="190">
        <v>0</v>
      </c>
      <c r="BN15" s="190">
        <v>7</v>
      </c>
      <c r="BO15" s="190">
        <v>50</v>
      </c>
      <c r="BP15" s="190">
        <v>57</v>
      </c>
      <c r="BQ15" s="190">
        <v>3</v>
      </c>
      <c r="BR15" s="190">
        <v>20</v>
      </c>
      <c r="BS15" s="190">
        <v>23</v>
      </c>
      <c r="BT15" s="190">
        <v>4</v>
      </c>
      <c r="BU15" s="190">
        <v>30</v>
      </c>
      <c r="BV15" s="190">
        <v>34</v>
      </c>
      <c r="BW15" s="190">
        <v>12458</v>
      </c>
      <c r="BX15" s="190">
        <v>78905</v>
      </c>
      <c r="BY15" s="190">
        <v>91363</v>
      </c>
      <c r="BZ15" s="190">
        <v>12243</v>
      </c>
      <c r="CA15" s="190">
        <v>78036</v>
      </c>
      <c r="CB15" s="190">
        <v>90279</v>
      </c>
      <c r="CC15" s="190">
        <v>211497</v>
      </c>
      <c r="CD15" s="190">
        <v>74</v>
      </c>
      <c r="CE15" s="190">
        <v>926</v>
      </c>
      <c r="CF15" s="190">
        <v>200</v>
      </c>
      <c r="CG15" s="190">
        <v>662</v>
      </c>
      <c r="CH15" s="190">
        <v>862</v>
      </c>
      <c r="CI15" s="190">
        <v>247</v>
      </c>
      <c r="CJ15" s="190">
        <v>37</v>
      </c>
      <c r="CK15" s="190">
        <v>15</v>
      </c>
      <c r="CL15" s="190">
        <v>207</v>
      </c>
      <c r="CM15" s="190">
        <v>222</v>
      </c>
      <c r="CN15" s="190">
        <v>663</v>
      </c>
      <c r="CO15" s="190">
        <v>7298</v>
      </c>
      <c r="CP15" s="190">
        <v>7961</v>
      </c>
      <c r="CQ15" s="190">
        <v>0</v>
      </c>
      <c r="CR15" s="190">
        <v>44</v>
      </c>
      <c r="CS15" s="190">
        <v>44</v>
      </c>
      <c r="CT15" s="190">
        <v>11795</v>
      </c>
      <c r="CU15" s="190">
        <v>71607</v>
      </c>
      <c r="CV15" s="190">
        <v>83402</v>
      </c>
      <c r="CW15" s="190">
        <v>972</v>
      </c>
      <c r="CX15" s="190">
        <v>6007</v>
      </c>
      <c r="CY15" s="190">
        <v>6979</v>
      </c>
      <c r="CZ15" s="190">
        <v>867</v>
      </c>
      <c r="DA15" s="190">
        <v>19</v>
      </c>
      <c r="DB15" s="190">
        <v>3</v>
      </c>
      <c r="DC15" s="190">
        <v>4913</v>
      </c>
      <c r="DD15" s="190">
        <v>56</v>
      </c>
      <c r="DE15" s="190">
        <v>5</v>
      </c>
      <c r="DF15" s="190">
        <v>889</v>
      </c>
      <c r="DG15" s="190">
        <v>4974</v>
      </c>
      <c r="DH15" s="190">
        <v>5863</v>
      </c>
      <c r="DI15" s="190">
        <v>82</v>
      </c>
      <c r="DJ15" s="190">
        <v>1</v>
      </c>
      <c r="DK15" s="190">
        <v>0</v>
      </c>
      <c r="DL15" s="190">
        <v>1021</v>
      </c>
      <c r="DM15" s="190">
        <v>10</v>
      </c>
      <c r="DN15" s="190">
        <v>2</v>
      </c>
      <c r="DO15" s="190">
        <v>83</v>
      </c>
      <c r="DP15" s="190">
        <v>1033</v>
      </c>
      <c r="DQ15" s="190">
        <v>1116</v>
      </c>
      <c r="DR15" s="190">
        <v>7</v>
      </c>
      <c r="DS15" s="190">
        <v>40</v>
      </c>
      <c r="DT15" s="191">
        <v>47</v>
      </c>
    </row>
    <row r="16" spans="1:129" s="172" customFormat="1">
      <c r="A16" s="189" t="s">
        <v>281</v>
      </c>
      <c r="B16" s="190">
        <v>123</v>
      </c>
      <c r="C16" s="190">
        <v>12</v>
      </c>
      <c r="D16" s="190">
        <v>124</v>
      </c>
      <c r="E16" s="190">
        <v>69</v>
      </c>
      <c r="F16" s="190">
        <v>0</v>
      </c>
      <c r="G16" s="190">
        <v>0</v>
      </c>
      <c r="H16" s="190">
        <v>0</v>
      </c>
      <c r="I16" s="190">
        <v>0</v>
      </c>
      <c r="J16" s="190">
        <v>49</v>
      </c>
      <c r="K16" s="190">
        <v>49</v>
      </c>
      <c r="L16" s="190">
        <v>0</v>
      </c>
      <c r="M16" s="190">
        <v>12</v>
      </c>
      <c r="N16" s="190">
        <v>12</v>
      </c>
      <c r="O16" s="190">
        <v>0</v>
      </c>
      <c r="P16" s="190">
        <v>37</v>
      </c>
      <c r="Q16" s="190">
        <v>37</v>
      </c>
      <c r="R16" s="190">
        <v>0</v>
      </c>
      <c r="S16" s="190">
        <v>1</v>
      </c>
      <c r="T16" s="190">
        <v>1</v>
      </c>
      <c r="U16" s="190">
        <v>0</v>
      </c>
      <c r="V16" s="190">
        <v>6</v>
      </c>
      <c r="W16" s="190">
        <v>6</v>
      </c>
      <c r="X16" s="190">
        <v>3</v>
      </c>
      <c r="Y16" s="190">
        <v>121</v>
      </c>
      <c r="Z16" s="190">
        <v>124</v>
      </c>
      <c r="AA16" s="190">
        <v>0</v>
      </c>
      <c r="AB16" s="190">
        <v>42</v>
      </c>
      <c r="AC16" s="190">
        <v>42</v>
      </c>
      <c r="AD16" s="190">
        <v>0</v>
      </c>
      <c r="AE16" s="190">
        <v>39</v>
      </c>
      <c r="AF16" s="190">
        <v>39</v>
      </c>
      <c r="AG16" s="190">
        <v>0</v>
      </c>
      <c r="AH16" s="190">
        <v>2</v>
      </c>
      <c r="AI16" s="190">
        <v>2</v>
      </c>
      <c r="AJ16" s="190">
        <v>0</v>
      </c>
      <c r="AK16" s="190">
        <v>1</v>
      </c>
      <c r="AL16" s="190">
        <v>1</v>
      </c>
      <c r="AM16" s="190">
        <v>3</v>
      </c>
      <c r="AN16" s="190">
        <v>79</v>
      </c>
      <c r="AO16" s="190">
        <v>82</v>
      </c>
      <c r="AP16" s="190">
        <v>204</v>
      </c>
      <c r="AQ16" s="190">
        <v>1214</v>
      </c>
      <c r="AR16" s="190">
        <v>1418</v>
      </c>
      <c r="AS16" s="190">
        <v>204</v>
      </c>
      <c r="AT16" s="190">
        <v>1214</v>
      </c>
      <c r="AU16" s="190">
        <v>1418</v>
      </c>
      <c r="AV16" s="190">
        <v>0</v>
      </c>
      <c r="AW16" s="190">
        <v>0</v>
      </c>
      <c r="AX16" s="190">
        <v>0</v>
      </c>
      <c r="AY16" s="190">
        <v>19</v>
      </c>
      <c r="AZ16" s="190">
        <v>116</v>
      </c>
      <c r="BA16" s="190">
        <v>135</v>
      </c>
      <c r="BB16" s="190">
        <v>3</v>
      </c>
      <c r="BC16" s="190">
        <v>0</v>
      </c>
      <c r="BD16" s="190">
        <v>0</v>
      </c>
      <c r="BE16" s="190">
        <v>65</v>
      </c>
      <c r="BF16" s="190">
        <v>1</v>
      </c>
      <c r="BG16" s="190">
        <v>0</v>
      </c>
      <c r="BH16" s="190">
        <v>3</v>
      </c>
      <c r="BI16" s="190">
        <v>66</v>
      </c>
      <c r="BJ16" s="190">
        <v>69</v>
      </c>
      <c r="BK16" s="190">
        <v>9</v>
      </c>
      <c r="BL16" s="190">
        <v>-9</v>
      </c>
      <c r="BM16" s="190">
        <v>0</v>
      </c>
      <c r="BN16" s="190">
        <v>0</v>
      </c>
      <c r="BO16" s="190">
        <v>8</v>
      </c>
      <c r="BP16" s="190">
        <v>8</v>
      </c>
      <c r="BQ16" s="190">
        <v>2</v>
      </c>
      <c r="BR16" s="190">
        <v>9</v>
      </c>
      <c r="BS16" s="190">
        <v>11</v>
      </c>
      <c r="BT16" s="190">
        <v>5</v>
      </c>
      <c r="BU16" s="190">
        <v>42</v>
      </c>
      <c r="BV16" s="190">
        <v>47</v>
      </c>
      <c r="BW16" s="190">
        <v>223</v>
      </c>
      <c r="BX16" s="190">
        <v>1330</v>
      </c>
      <c r="BY16" s="190">
        <v>1553</v>
      </c>
      <c r="BZ16" s="190">
        <v>222</v>
      </c>
      <c r="CA16" s="190">
        <v>1324</v>
      </c>
      <c r="CB16" s="190">
        <v>1546</v>
      </c>
      <c r="CC16" s="190">
        <v>3565</v>
      </c>
      <c r="CD16" s="190">
        <v>0</v>
      </c>
      <c r="CE16" s="190">
        <v>7</v>
      </c>
      <c r="CF16" s="190">
        <v>1</v>
      </c>
      <c r="CG16" s="190">
        <v>6</v>
      </c>
      <c r="CH16" s="190">
        <v>7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15</v>
      </c>
      <c r="CO16" s="190">
        <v>133</v>
      </c>
      <c r="CP16" s="190">
        <v>148</v>
      </c>
      <c r="CQ16" s="190">
        <v>0</v>
      </c>
      <c r="CR16" s="190">
        <v>0</v>
      </c>
      <c r="CS16" s="190">
        <v>0</v>
      </c>
      <c r="CT16" s="190">
        <v>208</v>
      </c>
      <c r="CU16" s="190">
        <v>1197</v>
      </c>
      <c r="CV16" s="190">
        <v>1405</v>
      </c>
      <c r="CW16" s="190">
        <v>16</v>
      </c>
      <c r="CX16" s="190">
        <v>68</v>
      </c>
      <c r="CY16" s="190">
        <v>84</v>
      </c>
      <c r="CZ16" s="190">
        <v>16</v>
      </c>
      <c r="DA16" s="190">
        <v>0</v>
      </c>
      <c r="DB16" s="190">
        <v>0</v>
      </c>
      <c r="DC16" s="190">
        <v>67</v>
      </c>
      <c r="DD16" s="190">
        <v>0</v>
      </c>
      <c r="DE16" s="190">
        <v>0</v>
      </c>
      <c r="DF16" s="190">
        <v>16</v>
      </c>
      <c r="DG16" s="190">
        <v>67</v>
      </c>
      <c r="DH16" s="190">
        <v>83</v>
      </c>
      <c r="DI16" s="190">
        <v>0</v>
      </c>
      <c r="DJ16" s="190">
        <v>0</v>
      </c>
      <c r="DK16" s="190">
        <v>0</v>
      </c>
      <c r="DL16" s="190">
        <v>1</v>
      </c>
      <c r="DM16" s="190">
        <v>0</v>
      </c>
      <c r="DN16" s="190">
        <v>0</v>
      </c>
      <c r="DO16" s="190">
        <v>0</v>
      </c>
      <c r="DP16" s="190">
        <v>1</v>
      </c>
      <c r="DQ16" s="190">
        <v>1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990</v>
      </c>
      <c r="C17" s="190">
        <v>209</v>
      </c>
      <c r="D17" s="190">
        <v>1040</v>
      </c>
      <c r="E17" s="190">
        <v>627</v>
      </c>
      <c r="F17" s="190">
        <v>1</v>
      </c>
      <c r="G17" s="190">
        <v>8</v>
      </c>
      <c r="H17" s="190">
        <v>9</v>
      </c>
      <c r="I17" s="190">
        <v>0</v>
      </c>
      <c r="J17" s="190">
        <v>383</v>
      </c>
      <c r="K17" s="190">
        <v>383</v>
      </c>
      <c r="L17" s="190">
        <v>0</v>
      </c>
      <c r="M17" s="190">
        <v>130</v>
      </c>
      <c r="N17" s="190">
        <v>130</v>
      </c>
      <c r="O17" s="190">
        <v>0</v>
      </c>
      <c r="P17" s="190">
        <v>253</v>
      </c>
      <c r="Q17" s="190">
        <v>253</v>
      </c>
      <c r="R17" s="190">
        <v>0</v>
      </c>
      <c r="S17" s="190">
        <v>1</v>
      </c>
      <c r="T17" s="190">
        <v>1</v>
      </c>
      <c r="U17" s="190">
        <v>0</v>
      </c>
      <c r="V17" s="190">
        <v>30</v>
      </c>
      <c r="W17" s="190">
        <v>30</v>
      </c>
      <c r="X17" s="190">
        <v>16</v>
      </c>
      <c r="Y17" s="190">
        <v>1024</v>
      </c>
      <c r="Z17" s="190">
        <v>1040</v>
      </c>
      <c r="AA17" s="190">
        <v>13</v>
      </c>
      <c r="AB17" s="190">
        <v>439</v>
      </c>
      <c r="AC17" s="190">
        <v>452</v>
      </c>
      <c r="AD17" s="190">
        <v>13</v>
      </c>
      <c r="AE17" s="190">
        <v>426</v>
      </c>
      <c r="AF17" s="190">
        <v>439</v>
      </c>
      <c r="AG17" s="190">
        <v>0</v>
      </c>
      <c r="AH17" s="190">
        <v>11</v>
      </c>
      <c r="AI17" s="190">
        <v>11</v>
      </c>
      <c r="AJ17" s="190">
        <v>0</v>
      </c>
      <c r="AK17" s="190">
        <v>2</v>
      </c>
      <c r="AL17" s="190">
        <v>2</v>
      </c>
      <c r="AM17" s="190">
        <v>3</v>
      </c>
      <c r="AN17" s="190">
        <v>585</v>
      </c>
      <c r="AO17" s="190">
        <v>588</v>
      </c>
      <c r="AP17" s="190">
        <v>844</v>
      </c>
      <c r="AQ17" s="190">
        <v>10647</v>
      </c>
      <c r="AR17" s="190">
        <v>11491</v>
      </c>
      <c r="AS17" s="190">
        <v>844</v>
      </c>
      <c r="AT17" s="190">
        <v>10648</v>
      </c>
      <c r="AU17" s="190">
        <v>11492</v>
      </c>
      <c r="AV17" s="190">
        <v>0</v>
      </c>
      <c r="AW17" s="190">
        <v>-1</v>
      </c>
      <c r="AX17" s="190">
        <v>-1</v>
      </c>
      <c r="AY17" s="190">
        <v>42</v>
      </c>
      <c r="AZ17" s="190">
        <v>1134</v>
      </c>
      <c r="BA17" s="190">
        <v>1176</v>
      </c>
      <c r="BB17" s="190">
        <v>17</v>
      </c>
      <c r="BC17" s="190">
        <v>0</v>
      </c>
      <c r="BD17" s="190">
        <v>0</v>
      </c>
      <c r="BE17" s="190">
        <v>609</v>
      </c>
      <c r="BF17" s="190">
        <v>1</v>
      </c>
      <c r="BG17" s="190">
        <v>0</v>
      </c>
      <c r="BH17" s="190">
        <v>17</v>
      </c>
      <c r="BI17" s="190">
        <v>610</v>
      </c>
      <c r="BJ17" s="190">
        <v>627</v>
      </c>
      <c r="BK17" s="190">
        <v>-12</v>
      </c>
      <c r="BL17" s="190">
        <v>12</v>
      </c>
      <c r="BM17" s="190">
        <v>0</v>
      </c>
      <c r="BN17" s="190">
        <v>2</v>
      </c>
      <c r="BO17" s="190">
        <v>33</v>
      </c>
      <c r="BP17" s="190">
        <v>35</v>
      </c>
      <c r="BQ17" s="190">
        <v>1</v>
      </c>
      <c r="BR17" s="190">
        <v>79</v>
      </c>
      <c r="BS17" s="190">
        <v>80</v>
      </c>
      <c r="BT17" s="190">
        <v>34</v>
      </c>
      <c r="BU17" s="190">
        <v>400</v>
      </c>
      <c r="BV17" s="190">
        <v>434</v>
      </c>
      <c r="BW17" s="190">
        <v>886</v>
      </c>
      <c r="BX17" s="190">
        <v>11781</v>
      </c>
      <c r="BY17" s="190">
        <v>12667</v>
      </c>
      <c r="BZ17" s="190">
        <v>885</v>
      </c>
      <c r="CA17" s="190">
        <v>11749</v>
      </c>
      <c r="CB17" s="190">
        <v>12634</v>
      </c>
      <c r="CC17" s="190">
        <v>21146</v>
      </c>
      <c r="CD17" s="190">
        <v>7</v>
      </c>
      <c r="CE17" s="190">
        <v>27</v>
      </c>
      <c r="CF17" s="190">
        <v>1</v>
      </c>
      <c r="CG17" s="190">
        <v>27</v>
      </c>
      <c r="CH17" s="190">
        <v>28</v>
      </c>
      <c r="CI17" s="190">
        <v>6</v>
      </c>
      <c r="CJ17" s="190">
        <v>1</v>
      </c>
      <c r="CK17" s="190">
        <v>0</v>
      </c>
      <c r="CL17" s="190">
        <v>5</v>
      </c>
      <c r="CM17" s="190">
        <v>5</v>
      </c>
      <c r="CN17" s="190">
        <v>46</v>
      </c>
      <c r="CO17" s="190">
        <v>1151</v>
      </c>
      <c r="CP17" s="190">
        <v>1197</v>
      </c>
      <c r="CQ17" s="190">
        <v>1</v>
      </c>
      <c r="CR17" s="190">
        <v>20</v>
      </c>
      <c r="CS17" s="190">
        <v>21</v>
      </c>
      <c r="CT17" s="190">
        <v>840</v>
      </c>
      <c r="CU17" s="190">
        <v>10630</v>
      </c>
      <c r="CV17" s="190">
        <v>11470</v>
      </c>
      <c r="CW17" s="190">
        <v>76</v>
      </c>
      <c r="CX17" s="190">
        <v>474</v>
      </c>
      <c r="CY17" s="190">
        <v>550</v>
      </c>
      <c r="CZ17" s="190">
        <v>75</v>
      </c>
      <c r="DA17" s="190">
        <v>0</v>
      </c>
      <c r="DB17" s="190">
        <v>0</v>
      </c>
      <c r="DC17" s="190">
        <v>463</v>
      </c>
      <c r="DD17" s="190">
        <v>1</v>
      </c>
      <c r="DE17" s="190">
        <v>0</v>
      </c>
      <c r="DF17" s="190">
        <v>75</v>
      </c>
      <c r="DG17" s="190">
        <v>464</v>
      </c>
      <c r="DH17" s="190">
        <v>539</v>
      </c>
      <c r="DI17" s="190">
        <v>1</v>
      </c>
      <c r="DJ17" s="190">
        <v>0</v>
      </c>
      <c r="DK17" s="190">
        <v>0</v>
      </c>
      <c r="DL17" s="190">
        <v>10</v>
      </c>
      <c r="DM17" s="190">
        <v>0</v>
      </c>
      <c r="DN17" s="190">
        <v>0</v>
      </c>
      <c r="DO17" s="190">
        <v>1</v>
      </c>
      <c r="DP17" s="190">
        <v>10</v>
      </c>
      <c r="DQ17" s="190">
        <v>11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896</v>
      </c>
      <c r="C18" s="190">
        <v>86</v>
      </c>
      <c r="D18" s="190">
        <v>926</v>
      </c>
      <c r="E18" s="190">
        <v>633</v>
      </c>
      <c r="F18" s="190">
        <v>2</v>
      </c>
      <c r="G18" s="190">
        <v>14</v>
      </c>
      <c r="H18" s="190">
        <v>16</v>
      </c>
      <c r="I18" s="190">
        <v>1</v>
      </c>
      <c r="J18" s="190">
        <v>255</v>
      </c>
      <c r="K18" s="190">
        <v>256</v>
      </c>
      <c r="L18" s="190">
        <v>1</v>
      </c>
      <c r="M18" s="190">
        <v>138</v>
      </c>
      <c r="N18" s="190">
        <v>139</v>
      </c>
      <c r="O18" s="190">
        <v>0</v>
      </c>
      <c r="P18" s="190">
        <v>117</v>
      </c>
      <c r="Q18" s="190">
        <v>117</v>
      </c>
      <c r="R18" s="190">
        <v>0</v>
      </c>
      <c r="S18" s="190">
        <v>6</v>
      </c>
      <c r="T18" s="190">
        <v>6</v>
      </c>
      <c r="U18" s="190">
        <v>0</v>
      </c>
      <c r="V18" s="190">
        <v>37</v>
      </c>
      <c r="W18" s="190">
        <v>37</v>
      </c>
      <c r="X18" s="190">
        <v>30</v>
      </c>
      <c r="Y18" s="190">
        <v>896</v>
      </c>
      <c r="Z18" s="190">
        <v>926</v>
      </c>
      <c r="AA18" s="190">
        <v>19</v>
      </c>
      <c r="AB18" s="190">
        <v>358</v>
      </c>
      <c r="AC18" s="190">
        <v>377</v>
      </c>
      <c r="AD18" s="190">
        <v>19</v>
      </c>
      <c r="AE18" s="190">
        <v>338</v>
      </c>
      <c r="AF18" s="190">
        <v>357</v>
      </c>
      <c r="AG18" s="190">
        <v>0</v>
      </c>
      <c r="AH18" s="190">
        <v>9</v>
      </c>
      <c r="AI18" s="190">
        <v>9</v>
      </c>
      <c r="AJ18" s="190">
        <v>0</v>
      </c>
      <c r="AK18" s="190">
        <v>11</v>
      </c>
      <c r="AL18" s="190">
        <v>11</v>
      </c>
      <c r="AM18" s="190">
        <v>11</v>
      </c>
      <c r="AN18" s="190">
        <v>538</v>
      </c>
      <c r="AO18" s="190">
        <v>549</v>
      </c>
      <c r="AP18" s="190">
        <v>2286</v>
      </c>
      <c r="AQ18" s="190">
        <v>14440</v>
      </c>
      <c r="AR18" s="190">
        <v>16726</v>
      </c>
      <c r="AS18" s="190">
        <v>2286</v>
      </c>
      <c r="AT18" s="190">
        <v>14440</v>
      </c>
      <c r="AU18" s="190">
        <v>16726</v>
      </c>
      <c r="AV18" s="190">
        <v>0</v>
      </c>
      <c r="AW18" s="190">
        <v>0</v>
      </c>
      <c r="AX18" s="190">
        <v>0</v>
      </c>
      <c r="AY18" s="190">
        <v>88</v>
      </c>
      <c r="AZ18" s="190">
        <v>970</v>
      </c>
      <c r="BA18" s="190">
        <v>1058</v>
      </c>
      <c r="BB18" s="190">
        <v>31</v>
      </c>
      <c r="BC18" s="190">
        <v>1</v>
      </c>
      <c r="BD18" s="190">
        <v>0</v>
      </c>
      <c r="BE18" s="190">
        <v>583</v>
      </c>
      <c r="BF18" s="190">
        <v>16</v>
      </c>
      <c r="BG18" s="190">
        <v>2</v>
      </c>
      <c r="BH18" s="190">
        <v>32</v>
      </c>
      <c r="BI18" s="190">
        <v>601</v>
      </c>
      <c r="BJ18" s="190">
        <v>633</v>
      </c>
      <c r="BK18" s="190">
        <v>6</v>
      </c>
      <c r="BL18" s="190">
        <v>-6</v>
      </c>
      <c r="BM18" s="190">
        <v>0</v>
      </c>
      <c r="BN18" s="190">
        <v>2</v>
      </c>
      <c r="BO18" s="190">
        <v>26</v>
      </c>
      <c r="BP18" s="190">
        <v>28</v>
      </c>
      <c r="BQ18" s="190">
        <v>10</v>
      </c>
      <c r="BR18" s="190">
        <v>142</v>
      </c>
      <c r="BS18" s="190">
        <v>152</v>
      </c>
      <c r="BT18" s="190">
        <v>38</v>
      </c>
      <c r="BU18" s="190">
        <v>207</v>
      </c>
      <c r="BV18" s="190">
        <v>245</v>
      </c>
      <c r="BW18" s="190">
        <v>2374</v>
      </c>
      <c r="BX18" s="190">
        <v>15410</v>
      </c>
      <c r="BY18" s="190">
        <v>17784</v>
      </c>
      <c r="BZ18" s="190">
        <v>2336</v>
      </c>
      <c r="CA18" s="190">
        <v>15024</v>
      </c>
      <c r="CB18" s="190">
        <v>17360</v>
      </c>
      <c r="CC18" s="190">
        <v>42629</v>
      </c>
      <c r="CD18" s="190">
        <v>31</v>
      </c>
      <c r="CE18" s="190">
        <v>372</v>
      </c>
      <c r="CF18" s="190">
        <v>34</v>
      </c>
      <c r="CG18" s="190">
        <v>334</v>
      </c>
      <c r="CH18" s="190">
        <v>368</v>
      </c>
      <c r="CI18" s="190">
        <v>55</v>
      </c>
      <c r="CJ18" s="190">
        <v>10</v>
      </c>
      <c r="CK18" s="190">
        <v>4</v>
      </c>
      <c r="CL18" s="190">
        <v>52</v>
      </c>
      <c r="CM18" s="190">
        <v>56</v>
      </c>
      <c r="CN18" s="190">
        <v>92</v>
      </c>
      <c r="CO18" s="190">
        <v>1250</v>
      </c>
      <c r="CP18" s="190">
        <v>1342</v>
      </c>
      <c r="CQ18" s="190">
        <v>0</v>
      </c>
      <c r="CR18" s="190">
        <v>3</v>
      </c>
      <c r="CS18" s="190">
        <v>3</v>
      </c>
      <c r="CT18" s="190">
        <v>2282</v>
      </c>
      <c r="CU18" s="190">
        <v>14160</v>
      </c>
      <c r="CV18" s="190">
        <v>16442</v>
      </c>
      <c r="CW18" s="190">
        <v>145</v>
      </c>
      <c r="CX18" s="190">
        <v>668</v>
      </c>
      <c r="CY18" s="190">
        <v>813</v>
      </c>
      <c r="CZ18" s="190">
        <v>144</v>
      </c>
      <c r="DA18" s="190">
        <v>1</v>
      </c>
      <c r="DB18" s="190">
        <v>0</v>
      </c>
      <c r="DC18" s="190">
        <v>654</v>
      </c>
      <c r="DD18" s="190">
        <v>11</v>
      </c>
      <c r="DE18" s="190">
        <v>1</v>
      </c>
      <c r="DF18" s="190">
        <v>145</v>
      </c>
      <c r="DG18" s="190">
        <v>666</v>
      </c>
      <c r="DH18" s="190">
        <v>811</v>
      </c>
      <c r="DI18" s="190">
        <v>0</v>
      </c>
      <c r="DJ18" s="190">
        <v>0</v>
      </c>
      <c r="DK18" s="190">
        <v>0</v>
      </c>
      <c r="DL18" s="190">
        <v>2</v>
      </c>
      <c r="DM18" s="190">
        <v>0</v>
      </c>
      <c r="DN18" s="190">
        <v>0</v>
      </c>
      <c r="DO18" s="190">
        <v>0</v>
      </c>
      <c r="DP18" s="190">
        <v>2</v>
      </c>
      <c r="DQ18" s="190">
        <v>2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95</v>
      </c>
      <c r="C19" s="190">
        <v>8</v>
      </c>
      <c r="D19" s="190">
        <v>90</v>
      </c>
      <c r="E19" s="190">
        <v>74</v>
      </c>
      <c r="F19" s="190">
        <v>0</v>
      </c>
      <c r="G19" s="190">
        <v>0</v>
      </c>
      <c r="H19" s="190">
        <v>0</v>
      </c>
      <c r="I19" s="190">
        <v>0</v>
      </c>
      <c r="J19" s="190">
        <v>14</v>
      </c>
      <c r="K19" s="190">
        <v>14</v>
      </c>
      <c r="L19" s="190">
        <v>0</v>
      </c>
      <c r="M19" s="190">
        <v>9</v>
      </c>
      <c r="N19" s="190">
        <v>9</v>
      </c>
      <c r="O19" s="190">
        <v>0</v>
      </c>
      <c r="P19" s="190">
        <v>5</v>
      </c>
      <c r="Q19" s="190">
        <v>5</v>
      </c>
      <c r="R19" s="190">
        <v>0</v>
      </c>
      <c r="S19" s="190">
        <v>0</v>
      </c>
      <c r="T19" s="190">
        <v>0</v>
      </c>
      <c r="U19" s="190">
        <v>0</v>
      </c>
      <c r="V19" s="190">
        <v>2</v>
      </c>
      <c r="W19" s="190">
        <v>2</v>
      </c>
      <c r="X19" s="190">
        <v>3</v>
      </c>
      <c r="Y19" s="190">
        <v>86</v>
      </c>
      <c r="Z19" s="190">
        <v>89</v>
      </c>
      <c r="AA19" s="190">
        <v>1</v>
      </c>
      <c r="AB19" s="190">
        <v>51</v>
      </c>
      <c r="AC19" s="190">
        <v>52</v>
      </c>
      <c r="AD19" s="190">
        <v>1</v>
      </c>
      <c r="AE19" s="190">
        <v>37</v>
      </c>
      <c r="AF19" s="190">
        <v>38</v>
      </c>
      <c r="AG19" s="190">
        <v>0</v>
      </c>
      <c r="AH19" s="190">
        <v>6</v>
      </c>
      <c r="AI19" s="190">
        <v>6</v>
      </c>
      <c r="AJ19" s="190">
        <v>0</v>
      </c>
      <c r="AK19" s="190">
        <v>8</v>
      </c>
      <c r="AL19" s="190">
        <v>8</v>
      </c>
      <c r="AM19" s="190">
        <v>2</v>
      </c>
      <c r="AN19" s="190">
        <v>35</v>
      </c>
      <c r="AO19" s="190">
        <v>37</v>
      </c>
      <c r="AP19" s="190">
        <v>86</v>
      </c>
      <c r="AQ19" s="190">
        <v>851</v>
      </c>
      <c r="AR19" s="190">
        <v>937</v>
      </c>
      <c r="AS19" s="190">
        <v>86</v>
      </c>
      <c r="AT19" s="190">
        <v>851</v>
      </c>
      <c r="AU19" s="190">
        <v>937</v>
      </c>
      <c r="AV19" s="190">
        <v>0</v>
      </c>
      <c r="AW19" s="190">
        <v>0</v>
      </c>
      <c r="AX19" s="190">
        <v>0</v>
      </c>
      <c r="AY19" s="190">
        <v>11</v>
      </c>
      <c r="AZ19" s="190">
        <v>89</v>
      </c>
      <c r="BA19" s="190">
        <v>100</v>
      </c>
      <c r="BB19" s="190">
        <v>5</v>
      </c>
      <c r="BC19" s="190">
        <v>0</v>
      </c>
      <c r="BD19" s="190">
        <v>0</v>
      </c>
      <c r="BE19" s="190">
        <v>69</v>
      </c>
      <c r="BF19" s="190">
        <v>0</v>
      </c>
      <c r="BG19" s="190">
        <v>0</v>
      </c>
      <c r="BH19" s="190">
        <v>5</v>
      </c>
      <c r="BI19" s="190">
        <v>69</v>
      </c>
      <c r="BJ19" s="190">
        <v>74</v>
      </c>
      <c r="BK19" s="190">
        <v>4</v>
      </c>
      <c r="BL19" s="190">
        <v>-4</v>
      </c>
      <c r="BM19" s="190">
        <v>0</v>
      </c>
      <c r="BN19" s="190">
        <v>0</v>
      </c>
      <c r="BO19" s="190">
        <v>0</v>
      </c>
      <c r="BP19" s="190">
        <v>0</v>
      </c>
      <c r="BQ19" s="190">
        <v>2</v>
      </c>
      <c r="BR19" s="190">
        <v>16</v>
      </c>
      <c r="BS19" s="190">
        <v>18</v>
      </c>
      <c r="BT19" s="190">
        <v>0</v>
      </c>
      <c r="BU19" s="190">
        <v>8</v>
      </c>
      <c r="BV19" s="190">
        <v>8</v>
      </c>
      <c r="BW19" s="190">
        <v>97</v>
      </c>
      <c r="BX19" s="190">
        <v>940</v>
      </c>
      <c r="BY19" s="190">
        <v>1037</v>
      </c>
      <c r="BZ19" s="190">
        <v>97</v>
      </c>
      <c r="CA19" s="190">
        <v>932</v>
      </c>
      <c r="CB19" s="190">
        <v>1029</v>
      </c>
      <c r="CC19" s="190">
        <v>1963</v>
      </c>
      <c r="CD19" s="190">
        <v>1</v>
      </c>
      <c r="CE19" s="190">
        <v>6</v>
      </c>
      <c r="CF19" s="190">
        <v>0</v>
      </c>
      <c r="CG19" s="190">
        <v>6</v>
      </c>
      <c r="CH19" s="190">
        <v>6</v>
      </c>
      <c r="CI19" s="190">
        <v>2</v>
      </c>
      <c r="CJ19" s="190">
        <v>0</v>
      </c>
      <c r="CK19" s="190">
        <v>0</v>
      </c>
      <c r="CL19" s="190">
        <v>2</v>
      </c>
      <c r="CM19" s="190">
        <v>2</v>
      </c>
      <c r="CN19" s="190">
        <v>9</v>
      </c>
      <c r="CO19" s="190">
        <v>85</v>
      </c>
      <c r="CP19" s="190">
        <v>94</v>
      </c>
      <c r="CQ19" s="190">
        <v>0</v>
      </c>
      <c r="CR19" s="190">
        <v>0</v>
      </c>
      <c r="CS19" s="190">
        <v>0</v>
      </c>
      <c r="CT19" s="190">
        <v>88</v>
      </c>
      <c r="CU19" s="190">
        <v>855</v>
      </c>
      <c r="CV19" s="190">
        <v>943</v>
      </c>
      <c r="CW19" s="190">
        <v>3</v>
      </c>
      <c r="CX19" s="190">
        <v>48</v>
      </c>
      <c r="CY19" s="190">
        <v>51</v>
      </c>
      <c r="CZ19" s="190">
        <v>3</v>
      </c>
      <c r="DA19" s="190">
        <v>0</v>
      </c>
      <c r="DB19" s="190">
        <v>0</v>
      </c>
      <c r="DC19" s="190">
        <v>48</v>
      </c>
      <c r="DD19" s="190">
        <v>0</v>
      </c>
      <c r="DE19" s="190">
        <v>0</v>
      </c>
      <c r="DF19" s="190">
        <v>3</v>
      </c>
      <c r="DG19" s="190">
        <v>48</v>
      </c>
      <c r="DH19" s="190">
        <v>51</v>
      </c>
      <c r="DI19" s="190">
        <v>0</v>
      </c>
      <c r="DJ19" s="190">
        <v>0</v>
      </c>
      <c r="DK19" s="190">
        <v>0</v>
      </c>
      <c r="DL19" s="190">
        <v>0</v>
      </c>
      <c r="DM19" s="190">
        <v>0</v>
      </c>
      <c r="DN19" s="190">
        <v>0</v>
      </c>
      <c r="DO19" s="190">
        <v>0</v>
      </c>
      <c r="DP19" s="190">
        <v>0</v>
      </c>
      <c r="DQ19" s="190">
        <v>0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5321</v>
      </c>
      <c r="C20" s="190">
        <v>1308</v>
      </c>
      <c r="D20" s="190">
        <v>5502</v>
      </c>
      <c r="E20" s="190">
        <v>3607</v>
      </c>
      <c r="F20" s="190">
        <v>10</v>
      </c>
      <c r="G20" s="190">
        <v>37</v>
      </c>
      <c r="H20" s="190">
        <v>47</v>
      </c>
      <c r="I20" s="190">
        <v>0</v>
      </c>
      <c r="J20" s="190">
        <v>1705</v>
      </c>
      <c r="K20" s="190">
        <v>1705</v>
      </c>
      <c r="L20" s="190">
        <v>0</v>
      </c>
      <c r="M20" s="190">
        <v>936</v>
      </c>
      <c r="N20" s="190">
        <v>936</v>
      </c>
      <c r="O20" s="190">
        <v>0</v>
      </c>
      <c r="P20" s="190">
        <v>769</v>
      </c>
      <c r="Q20" s="190">
        <v>769</v>
      </c>
      <c r="R20" s="190">
        <v>0</v>
      </c>
      <c r="S20" s="190">
        <v>24</v>
      </c>
      <c r="T20" s="190">
        <v>24</v>
      </c>
      <c r="U20" s="190">
        <v>0</v>
      </c>
      <c r="V20" s="190">
        <v>190</v>
      </c>
      <c r="W20" s="190">
        <v>190</v>
      </c>
      <c r="X20" s="190">
        <v>179</v>
      </c>
      <c r="Y20" s="190">
        <v>5322</v>
      </c>
      <c r="Z20" s="190">
        <v>5501</v>
      </c>
      <c r="AA20" s="190">
        <v>117</v>
      </c>
      <c r="AB20" s="190">
        <v>2159</v>
      </c>
      <c r="AC20" s="190">
        <v>2276</v>
      </c>
      <c r="AD20" s="190">
        <v>115</v>
      </c>
      <c r="AE20" s="190">
        <v>2008</v>
      </c>
      <c r="AF20" s="190">
        <v>2123</v>
      </c>
      <c r="AG20" s="190">
        <v>2</v>
      </c>
      <c r="AH20" s="190">
        <v>98</v>
      </c>
      <c r="AI20" s="190">
        <v>100</v>
      </c>
      <c r="AJ20" s="190">
        <v>0</v>
      </c>
      <c r="AK20" s="190">
        <v>53</v>
      </c>
      <c r="AL20" s="190">
        <v>53</v>
      </c>
      <c r="AM20" s="190">
        <v>62</v>
      </c>
      <c r="AN20" s="190">
        <v>3163</v>
      </c>
      <c r="AO20" s="190">
        <v>3225</v>
      </c>
      <c r="AP20" s="190">
        <v>9593</v>
      </c>
      <c r="AQ20" s="190">
        <v>55654</v>
      </c>
      <c r="AR20" s="190">
        <v>65247</v>
      </c>
      <c r="AS20" s="190">
        <v>9593</v>
      </c>
      <c r="AT20" s="190">
        <v>55654</v>
      </c>
      <c r="AU20" s="190">
        <v>65247</v>
      </c>
      <c r="AV20" s="190">
        <v>0</v>
      </c>
      <c r="AW20" s="190">
        <v>0</v>
      </c>
      <c r="AX20" s="190">
        <v>0</v>
      </c>
      <c r="AY20" s="190">
        <v>472</v>
      </c>
      <c r="AZ20" s="190">
        <v>5086</v>
      </c>
      <c r="BA20" s="190">
        <v>5558</v>
      </c>
      <c r="BB20" s="190">
        <v>269</v>
      </c>
      <c r="BC20" s="190">
        <v>5</v>
      </c>
      <c r="BD20" s="190">
        <v>0</v>
      </c>
      <c r="BE20" s="190">
        <v>3243</v>
      </c>
      <c r="BF20" s="190">
        <v>72</v>
      </c>
      <c r="BG20" s="190">
        <v>18</v>
      </c>
      <c r="BH20" s="190">
        <v>274</v>
      </c>
      <c r="BI20" s="190">
        <v>3333</v>
      </c>
      <c r="BJ20" s="190">
        <v>3607</v>
      </c>
      <c r="BK20" s="190">
        <v>-27</v>
      </c>
      <c r="BL20" s="190">
        <v>27</v>
      </c>
      <c r="BM20" s="190">
        <v>0</v>
      </c>
      <c r="BN20" s="190">
        <v>8</v>
      </c>
      <c r="BO20" s="190">
        <v>87</v>
      </c>
      <c r="BP20" s="190">
        <v>95</v>
      </c>
      <c r="BQ20" s="190">
        <v>76</v>
      </c>
      <c r="BR20" s="190">
        <v>569</v>
      </c>
      <c r="BS20" s="190">
        <v>645</v>
      </c>
      <c r="BT20" s="190">
        <v>141</v>
      </c>
      <c r="BU20" s="190">
        <v>1070</v>
      </c>
      <c r="BV20" s="190">
        <v>1211</v>
      </c>
      <c r="BW20" s="190">
        <v>10065</v>
      </c>
      <c r="BX20" s="190">
        <v>60740</v>
      </c>
      <c r="BY20" s="190">
        <v>70805</v>
      </c>
      <c r="BZ20" s="190">
        <v>9998</v>
      </c>
      <c r="CA20" s="190">
        <v>59701</v>
      </c>
      <c r="CB20" s="190">
        <v>69699</v>
      </c>
      <c r="CC20" s="190">
        <v>163128</v>
      </c>
      <c r="CD20" s="190">
        <v>60</v>
      </c>
      <c r="CE20" s="190">
        <v>870</v>
      </c>
      <c r="CF20" s="190">
        <v>67</v>
      </c>
      <c r="CG20" s="190">
        <v>783</v>
      </c>
      <c r="CH20" s="190">
        <v>850</v>
      </c>
      <c r="CI20" s="190">
        <v>321</v>
      </c>
      <c r="CJ20" s="190">
        <v>17</v>
      </c>
      <c r="CK20" s="190">
        <v>0</v>
      </c>
      <c r="CL20" s="190">
        <v>256</v>
      </c>
      <c r="CM20" s="190">
        <v>256</v>
      </c>
      <c r="CN20" s="190">
        <v>434</v>
      </c>
      <c r="CO20" s="190">
        <v>5534</v>
      </c>
      <c r="CP20" s="190">
        <v>5968</v>
      </c>
      <c r="CQ20" s="190">
        <v>0</v>
      </c>
      <c r="CR20" s="190">
        <v>3</v>
      </c>
      <c r="CS20" s="190">
        <v>3</v>
      </c>
      <c r="CT20" s="190">
        <v>9631</v>
      </c>
      <c r="CU20" s="190">
        <v>55206</v>
      </c>
      <c r="CV20" s="190">
        <v>64837</v>
      </c>
      <c r="CW20" s="190">
        <v>569</v>
      </c>
      <c r="CX20" s="190">
        <v>2536</v>
      </c>
      <c r="CY20" s="190">
        <v>3105</v>
      </c>
      <c r="CZ20" s="190">
        <v>563</v>
      </c>
      <c r="DA20" s="190">
        <v>4</v>
      </c>
      <c r="DB20" s="190">
        <v>0</v>
      </c>
      <c r="DC20" s="190">
        <v>2433</v>
      </c>
      <c r="DD20" s="190">
        <v>37</v>
      </c>
      <c r="DE20" s="190">
        <v>5</v>
      </c>
      <c r="DF20" s="190">
        <v>567</v>
      </c>
      <c r="DG20" s="190">
        <v>2475</v>
      </c>
      <c r="DH20" s="190">
        <v>3042</v>
      </c>
      <c r="DI20" s="190">
        <v>2</v>
      </c>
      <c r="DJ20" s="190">
        <v>0</v>
      </c>
      <c r="DK20" s="190">
        <v>0</v>
      </c>
      <c r="DL20" s="190">
        <v>61</v>
      </c>
      <c r="DM20" s="190">
        <v>0</v>
      </c>
      <c r="DN20" s="190">
        <v>0</v>
      </c>
      <c r="DO20" s="190">
        <v>2</v>
      </c>
      <c r="DP20" s="190">
        <v>61</v>
      </c>
      <c r="DQ20" s="190">
        <v>63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715</v>
      </c>
      <c r="C21" s="190">
        <v>105</v>
      </c>
      <c r="D21" s="190">
        <v>804</v>
      </c>
      <c r="E21" s="190">
        <v>573</v>
      </c>
      <c r="F21" s="190">
        <v>0</v>
      </c>
      <c r="G21" s="190">
        <v>3</v>
      </c>
      <c r="H21" s="190">
        <v>3</v>
      </c>
      <c r="I21" s="190">
        <v>1</v>
      </c>
      <c r="J21" s="190">
        <v>205</v>
      </c>
      <c r="K21" s="190">
        <v>206</v>
      </c>
      <c r="L21" s="190">
        <v>1</v>
      </c>
      <c r="M21" s="190">
        <v>122</v>
      </c>
      <c r="N21" s="190">
        <v>123</v>
      </c>
      <c r="O21" s="190">
        <v>0</v>
      </c>
      <c r="P21" s="190">
        <v>83</v>
      </c>
      <c r="Q21" s="190">
        <v>83</v>
      </c>
      <c r="R21" s="190">
        <v>0</v>
      </c>
      <c r="S21" s="190">
        <v>5</v>
      </c>
      <c r="T21" s="190">
        <v>5</v>
      </c>
      <c r="U21" s="190">
        <v>0</v>
      </c>
      <c r="V21" s="190">
        <v>25</v>
      </c>
      <c r="W21" s="190">
        <v>25</v>
      </c>
      <c r="X21" s="190">
        <v>36</v>
      </c>
      <c r="Y21" s="190">
        <v>767</v>
      </c>
      <c r="Z21" s="190">
        <v>803</v>
      </c>
      <c r="AA21" s="190">
        <v>26</v>
      </c>
      <c r="AB21" s="190">
        <v>325</v>
      </c>
      <c r="AC21" s="190">
        <v>351</v>
      </c>
      <c r="AD21" s="190">
        <v>24</v>
      </c>
      <c r="AE21" s="190">
        <v>317</v>
      </c>
      <c r="AF21" s="190">
        <v>341</v>
      </c>
      <c r="AG21" s="190">
        <v>2</v>
      </c>
      <c r="AH21" s="190">
        <v>4</v>
      </c>
      <c r="AI21" s="190">
        <v>6</v>
      </c>
      <c r="AJ21" s="190">
        <v>0</v>
      </c>
      <c r="AK21" s="190">
        <v>4</v>
      </c>
      <c r="AL21" s="190">
        <v>4</v>
      </c>
      <c r="AM21" s="190">
        <v>10</v>
      </c>
      <c r="AN21" s="190">
        <v>442</v>
      </c>
      <c r="AO21" s="190">
        <v>452</v>
      </c>
      <c r="AP21" s="190">
        <v>1408</v>
      </c>
      <c r="AQ21" s="190">
        <v>8549</v>
      </c>
      <c r="AR21" s="190">
        <v>9957</v>
      </c>
      <c r="AS21" s="190">
        <v>1408</v>
      </c>
      <c r="AT21" s="190">
        <v>8549</v>
      </c>
      <c r="AU21" s="190">
        <v>9957</v>
      </c>
      <c r="AV21" s="190">
        <v>0</v>
      </c>
      <c r="AW21" s="190">
        <v>0</v>
      </c>
      <c r="AX21" s="190">
        <v>0</v>
      </c>
      <c r="AY21" s="190">
        <v>80</v>
      </c>
      <c r="AZ21" s="190">
        <v>838</v>
      </c>
      <c r="BA21" s="190">
        <v>918</v>
      </c>
      <c r="BB21" s="190">
        <v>40</v>
      </c>
      <c r="BC21" s="190">
        <v>0</v>
      </c>
      <c r="BD21" s="190">
        <v>1</v>
      </c>
      <c r="BE21" s="190">
        <v>525</v>
      </c>
      <c r="BF21" s="190">
        <v>5</v>
      </c>
      <c r="BG21" s="190">
        <v>2</v>
      </c>
      <c r="BH21" s="190">
        <v>41</v>
      </c>
      <c r="BI21" s="190">
        <v>532</v>
      </c>
      <c r="BJ21" s="190">
        <v>573</v>
      </c>
      <c r="BK21" s="190">
        <v>5</v>
      </c>
      <c r="BL21" s="190">
        <v>-5</v>
      </c>
      <c r="BM21" s="190">
        <v>0</v>
      </c>
      <c r="BN21" s="190">
        <v>3</v>
      </c>
      <c r="BO21" s="190">
        <v>12</v>
      </c>
      <c r="BP21" s="190">
        <v>15</v>
      </c>
      <c r="BQ21" s="190">
        <v>9</v>
      </c>
      <c r="BR21" s="190">
        <v>122</v>
      </c>
      <c r="BS21" s="190">
        <v>131</v>
      </c>
      <c r="BT21" s="190">
        <v>22</v>
      </c>
      <c r="BU21" s="190">
        <v>177</v>
      </c>
      <c r="BV21" s="190">
        <v>199</v>
      </c>
      <c r="BW21" s="190">
        <v>1488</v>
      </c>
      <c r="BX21" s="190">
        <v>9387</v>
      </c>
      <c r="BY21" s="190">
        <v>10875</v>
      </c>
      <c r="BZ21" s="190">
        <v>1468</v>
      </c>
      <c r="CA21" s="190">
        <v>9247</v>
      </c>
      <c r="CB21" s="190">
        <v>10715</v>
      </c>
      <c r="CC21" s="190">
        <v>24453</v>
      </c>
      <c r="CD21" s="190">
        <v>11</v>
      </c>
      <c r="CE21" s="190">
        <v>125</v>
      </c>
      <c r="CF21" s="190">
        <v>18</v>
      </c>
      <c r="CG21" s="190">
        <v>113</v>
      </c>
      <c r="CH21" s="190">
        <v>131</v>
      </c>
      <c r="CI21" s="190">
        <v>31</v>
      </c>
      <c r="CJ21" s="190">
        <v>3</v>
      </c>
      <c r="CK21" s="190">
        <v>2</v>
      </c>
      <c r="CL21" s="190">
        <v>27</v>
      </c>
      <c r="CM21" s="190">
        <v>29</v>
      </c>
      <c r="CN21" s="190">
        <v>85</v>
      </c>
      <c r="CO21" s="190">
        <v>933</v>
      </c>
      <c r="CP21" s="190">
        <v>1018</v>
      </c>
      <c r="CQ21" s="190">
        <v>0</v>
      </c>
      <c r="CR21" s="190">
        <v>1</v>
      </c>
      <c r="CS21" s="190">
        <v>1</v>
      </c>
      <c r="CT21" s="190">
        <v>1403</v>
      </c>
      <c r="CU21" s="190">
        <v>8454</v>
      </c>
      <c r="CV21" s="190">
        <v>9857</v>
      </c>
      <c r="CW21" s="190">
        <v>94</v>
      </c>
      <c r="CX21" s="190">
        <v>434</v>
      </c>
      <c r="CY21" s="190">
        <v>528</v>
      </c>
      <c r="CZ21" s="190">
        <v>93</v>
      </c>
      <c r="DA21" s="190">
        <v>1</v>
      </c>
      <c r="DB21" s="190">
        <v>0</v>
      </c>
      <c r="DC21" s="190">
        <v>423</v>
      </c>
      <c r="DD21" s="190">
        <v>4</v>
      </c>
      <c r="DE21" s="190">
        <v>3</v>
      </c>
      <c r="DF21" s="190">
        <v>94</v>
      </c>
      <c r="DG21" s="190">
        <v>430</v>
      </c>
      <c r="DH21" s="190">
        <v>524</v>
      </c>
      <c r="DI21" s="190">
        <v>0</v>
      </c>
      <c r="DJ21" s="190">
        <v>0</v>
      </c>
      <c r="DK21" s="190">
        <v>0</v>
      </c>
      <c r="DL21" s="190">
        <v>4</v>
      </c>
      <c r="DM21" s="190">
        <v>0</v>
      </c>
      <c r="DN21" s="190">
        <v>0</v>
      </c>
      <c r="DO21" s="190">
        <v>0</v>
      </c>
      <c r="DP21" s="190">
        <v>4</v>
      </c>
      <c r="DQ21" s="190">
        <v>4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420</v>
      </c>
      <c r="C22" s="190">
        <v>50</v>
      </c>
      <c r="D22" s="190">
        <v>409</v>
      </c>
      <c r="E22" s="190">
        <v>310</v>
      </c>
      <c r="F22" s="190">
        <v>1</v>
      </c>
      <c r="G22" s="190">
        <v>18</v>
      </c>
      <c r="H22" s="190">
        <v>19</v>
      </c>
      <c r="I22" s="190">
        <v>0</v>
      </c>
      <c r="J22" s="190">
        <v>90</v>
      </c>
      <c r="K22" s="190">
        <v>90</v>
      </c>
      <c r="L22" s="190">
        <v>0</v>
      </c>
      <c r="M22" s="190">
        <v>32</v>
      </c>
      <c r="N22" s="190">
        <v>32</v>
      </c>
      <c r="O22" s="190">
        <v>0</v>
      </c>
      <c r="P22" s="190">
        <v>58</v>
      </c>
      <c r="Q22" s="190">
        <v>58</v>
      </c>
      <c r="R22" s="190">
        <v>0</v>
      </c>
      <c r="S22" s="190">
        <v>3</v>
      </c>
      <c r="T22" s="190">
        <v>3</v>
      </c>
      <c r="U22" s="190">
        <v>0</v>
      </c>
      <c r="V22" s="190">
        <v>9</v>
      </c>
      <c r="W22" s="190">
        <v>9</v>
      </c>
      <c r="X22" s="190">
        <v>10</v>
      </c>
      <c r="Y22" s="190">
        <v>397</v>
      </c>
      <c r="Z22" s="190">
        <v>407</v>
      </c>
      <c r="AA22" s="190">
        <v>5</v>
      </c>
      <c r="AB22" s="190">
        <v>200</v>
      </c>
      <c r="AC22" s="190">
        <v>205</v>
      </c>
      <c r="AD22" s="190">
        <v>4</v>
      </c>
      <c r="AE22" s="190">
        <v>186</v>
      </c>
      <c r="AF22" s="190">
        <v>190</v>
      </c>
      <c r="AG22" s="190">
        <v>0</v>
      </c>
      <c r="AH22" s="190">
        <v>12</v>
      </c>
      <c r="AI22" s="190">
        <v>12</v>
      </c>
      <c r="AJ22" s="190">
        <v>1</v>
      </c>
      <c r="AK22" s="190">
        <v>2</v>
      </c>
      <c r="AL22" s="190">
        <v>3</v>
      </c>
      <c r="AM22" s="190">
        <v>5</v>
      </c>
      <c r="AN22" s="190">
        <v>197</v>
      </c>
      <c r="AO22" s="190">
        <v>202</v>
      </c>
      <c r="AP22" s="190">
        <v>545</v>
      </c>
      <c r="AQ22" s="190">
        <v>5525</v>
      </c>
      <c r="AR22" s="190">
        <v>6070</v>
      </c>
      <c r="AS22" s="190">
        <v>545</v>
      </c>
      <c r="AT22" s="190">
        <v>5525</v>
      </c>
      <c r="AU22" s="190">
        <v>6070</v>
      </c>
      <c r="AV22" s="190">
        <v>0</v>
      </c>
      <c r="AW22" s="190">
        <v>0</v>
      </c>
      <c r="AX22" s="190">
        <v>0</v>
      </c>
      <c r="AY22" s="190">
        <v>37</v>
      </c>
      <c r="AZ22" s="190">
        <v>511</v>
      </c>
      <c r="BA22" s="190">
        <v>548</v>
      </c>
      <c r="BB22" s="190">
        <v>12</v>
      </c>
      <c r="BC22" s="190">
        <v>0</v>
      </c>
      <c r="BD22" s="190">
        <v>0</v>
      </c>
      <c r="BE22" s="190">
        <v>296</v>
      </c>
      <c r="BF22" s="190">
        <v>1</v>
      </c>
      <c r="BG22" s="190">
        <v>1</v>
      </c>
      <c r="BH22" s="190">
        <v>12</v>
      </c>
      <c r="BI22" s="190">
        <v>298</v>
      </c>
      <c r="BJ22" s="190">
        <v>310</v>
      </c>
      <c r="BK22" s="190">
        <v>10</v>
      </c>
      <c r="BL22" s="190">
        <v>-10</v>
      </c>
      <c r="BM22" s="190">
        <v>0</v>
      </c>
      <c r="BN22" s="190">
        <v>1</v>
      </c>
      <c r="BO22" s="190">
        <v>8</v>
      </c>
      <c r="BP22" s="190">
        <v>9</v>
      </c>
      <c r="BQ22" s="190">
        <v>2</v>
      </c>
      <c r="BR22" s="190">
        <v>22</v>
      </c>
      <c r="BS22" s="190">
        <v>24</v>
      </c>
      <c r="BT22" s="190">
        <v>12</v>
      </c>
      <c r="BU22" s="190">
        <v>193</v>
      </c>
      <c r="BV22" s="190">
        <v>205</v>
      </c>
      <c r="BW22" s="190">
        <v>582</v>
      </c>
      <c r="BX22" s="190">
        <v>6036</v>
      </c>
      <c r="BY22" s="190">
        <v>6618</v>
      </c>
      <c r="BZ22" s="190">
        <v>578</v>
      </c>
      <c r="CA22" s="190">
        <v>6008</v>
      </c>
      <c r="CB22" s="190">
        <v>6586</v>
      </c>
      <c r="CC22" s="190">
        <v>12477</v>
      </c>
      <c r="CD22" s="190">
        <v>4</v>
      </c>
      <c r="CE22" s="190">
        <v>25</v>
      </c>
      <c r="CF22" s="190">
        <v>4</v>
      </c>
      <c r="CG22" s="190">
        <v>22</v>
      </c>
      <c r="CH22" s="190">
        <v>26</v>
      </c>
      <c r="CI22" s="190">
        <v>7</v>
      </c>
      <c r="CJ22" s="190">
        <v>0</v>
      </c>
      <c r="CK22" s="190">
        <v>0</v>
      </c>
      <c r="CL22" s="190">
        <v>6</v>
      </c>
      <c r="CM22" s="190">
        <v>6</v>
      </c>
      <c r="CN22" s="190">
        <v>35</v>
      </c>
      <c r="CO22" s="190">
        <v>597</v>
      </c>
      <c r="CP22" s="190">
        <v>632</v>
      </c>
      <c r="CQ22" s="190">
        <v>0</v>
      </c>
      <c r="CR22" s="190">
        <v>0</v>
      </c>
      <c r="CS22" s="190">
        <v>0</v>
      </c>
      <c r="CT22" s="190">
        <v>547</v>
      </c>
      <c r="CU22" s="190">
        <v>5439</v>
      </c>
      <c r="CV22" s="190">
        <v>5986</v>
      </c>
      <c r="CW22" s="190">
        <v>20</v>
      </c>
      <c r="CX22" s="190">
        <v>331</v>
      </c>
      <c r="CY22" s="190">
        <v>351</v>
      </c>
      <c r="CZ22" s="190">
        <v>20</v>
      </c>
      <c r="DA22" s="190">
        <v>0</v>
      </c>
      <c r="DB22" s="190">
        <v>0</v>
      </c>
      <c r="DC22" s="190">
        <v>331</v>
      </c>
      <c r="DD22" s="190">
        <v>0</v>
      </c>
      <c r="DE22" s="190">
        <v>0</v>
      </c>
      <c r="DF22" s="190">
        <v>20</v>
      </c>
      <c r="DG22" s="190">
        <v>331</v>
      </c>
      <c r="DH22" s="190">
        <v>351</v>
      </c>
      <c r="DI22" s="190">
        <v>0</v>
      </c>
      <c r="DJ22" s="190">
        <v>0</v>
      </c>
      <c r="DK22" s="190">
        <v>0</v>
      </c>
      <c r="DL22" s="190">
        <v>0</v>
      </c>
      <c r="DM22" s="190">
        <v>0</v>
      </c>
      <c r="DN22" s="190">
        <v>0</v>
      </c>
      <c r="DO22" s="190">
        <v>0</v>
      </c>
      <c r="DP22" s="190">
        <v>0</v>
      </c>
      <c r="DQ22" s="190">
        <v>0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100</v>
      </c>
      <c r="C23" s="190">
        <v>13</v>
      </c>
      <c r="D23" s="190">
        <v>138</v>
      </c>
      <c r="E23" s="190">
        <v>86</v>
      </c>
      <c r="F23" s="190">
        <v>0</v>
      </c>
      <c r="G23" s="190">
        <v>14</v>
      </c>
      <c r="H23" s="190">
        <v>14</v>
      </c>
      <c r="I23" s="190">
        <v>0</v>
      </c>
      <c r="J23" s="190">
        <v>49</v>
      </c>
      <c r="K23" s="190">
        <v>49</v>
      </c>
      <c r="L23" s="190">
        <v>0</v>
      </c>
      <c r="M23" s="190">
        <v>28</v>
      </c>
      <c r="N23" s="190">
        <v>28</v>
      </c>
      <c r="O23" s="190">
        <v>0</v>
      </c>
      <c r="P23" s="190">
        <v>21</v>
      </c>
      <c r="Q23" s="190">
        <v>21</v>
      </c>
      <c r="R23" s="190">
        <v>0</v>
      </c>
      <c r="S23" s="190">
        <v>1</v>
      </c>
      <c r="T23" s="190">
        <v>1</v>
      </c>
      <c r="U23" s="190">
        <v>0</v>
      </c>
      <c r="V23" s="190">
        <v>3</v>
      </c>
      <c r="W23" s="190">
        <v>3</v>
      </c>
      <c r="X23" s="190">
        <v>1</v>
      </c>
      <c r="Y23" s="190">
        <v>137</v>
      </c>
      <c r="Z23" s="190">
        <v>138</v>
      </c>
      <c r="AA23" s="190">
        <v>0</v>
      </c>
      <c r="AB23" s="190">
        <v>61</v>
      </c>
      <c r="AC23" s="190">
        <v>61</v>
      </c>
      <c r="AD23" s="190">
        <v>0</v>
      </c>
      <c r="AE23" s="190">
        <v>51</v>
      </c>
      <c r="AF23" s="190">
        <v>51</v>
      </c>
      <c r="AG23" s="190">
        <v>0</v>
      </c>
      <c r="AH23" s="190">
        <v>3</v>
      </c>
      <c r="AI23" s="190">
        <v>3</v>
      </c>
      <c r="AJ23" s="190">
        <v>0</v>
      </c>
      <c r="AK23" s="190">
        <v>7</v>
      </c>
      <c r="AL23" s="190">
        <v>7</v>
      </c>
      <c r="AM23" s="190">
        <v>1</v>
      </c>
      <c r="AN23" s="190">
        <v>76</v>
      </c>
      <c r="AO23" s="190">
        <v>77</v>
      </c>
      <c r="AP23" s="190">
        <v>217</v>
      </c>
      <c r="AQ23" s="190">
        <v>1245</v>
      </c>
      <c r="AR23" s="190">
        <v>1462</v>
      </c>
      <c r="AS23" s="190">
        <v>217</v>
      </c>
      <c r="AT23" s="190">
        <v>1245</v>
      </c>
      <c r="AU23" s="190">
        <v>1462</v>
      </c>
      <c r="AV23" s="190">
        <v>0</v>
      </c>
      <c r="AW23" s="190">
        <v>0</v>
      </c>
      <c r="AX23" s="190">
        <v>0</v>
      </c>
      <c r="AY23" s="190">
        <v>16</v>
      </c>
      <c r="AZ23" s="190">
        <v>150</v>
      </c>
      <c r="BA23" s="190">
        <v>166</v>
      </c>
      <c r="BB23" s="190">
        <v>4</v>
      </c>
      <c r="BC23" s="190">
        <v>0</v>
      </c>
      <c r="BD23" s="190">
        <v>0</v>
      </c>
      <c r="BE23" s="190">
        <v>82</v>
      </c>
      <c r="BF23" s="190">
        <v>0</v>
      </c>
      <c r="BG23" s="190">
        <v>0</v>
      </c>
      <c r="BH23" s="190">
        <v>4</v>
      </c>
      <c r="BI23" s="190">
        <v>82</v>
      </c>
      <c r="BJ23" s="190">
        <v>86</v>
      </c>
      <c r="BK23" s="190">
        <v>1</v>
      </c>
      <c r="BL23" s="190">
        <v>-1</v>
      </c>
      <c r="BM23" s="190">
        <v>0</v>
      </c>
      <c r="BN23" s="190">
        <v>1</v>
      </c>
      <c r="BO23" s="190">
        <v>5</v>
      </c>
      <c r="BP23" s="190">
        <v>6</v>
      </c>
      <c r="BQ23" s="190">
        <v>2</v>
      </c>
      <c r="BR23" s="190">
        <v>35</v>
      </c>
      <c r="BS23" s="190">
        <v>37</v>
      </c>
      <c r="BT23" s="190">
        <v>8</v>
      </c>
      <c r="BU23" s="190">
        <v>29</v>
      </c>
      <c r="BV23" s="190">
        <v>37</v>
      </c>
      <c r="BW23" s="190">
        <v>233</v>
      </c>
      <c r="BX23" s="190">
        <v>1395</v>
      </c>
      <c r="BY23" s="190">
        <v>1628</v>
      </c>
      <c r="BZ23" s="190">
        <v>233</v>
      </c>
      <c r="CA23" s="190">
        <v>1393</v>
      </c>
      <c r="CB23" s="190">
        <v>1626</v>
      </c>
      <c r="CC23" s="190">
        <v>3187</v>
      </c>
      <c r="CD23" s="190">
        <v>0</v>
      </c>
      <c r="CE23" s="190">
        <v>3</v>
      </c>
      <c r="CF23" s="190">
        <v>0</v>
      </c>
      <c r="CG23" s="190">
        <v>2</v>
      </c>
      <c r="CH23" s="190">
        <v>2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18</v>
      </c>
      <c r="CO23" s="190">
        <v>161</v>
      </c>
      <c r="CP23" s="190">
        <v>179</v>
      </c>
      <c r="CQ23" s="190">
        <v>0</v>
      </c>
      <c r="CR23" s="190">
        <v>0</v>
      </c>
      <c r="CS23" s="190">
        <v>0</v>
      </c>
      <c r="CT23" s="190">
        <v>215</v>
      </c>
      <c r="CU23" s="190">
        <v>1234</v>
      </c>
      <c r="CV23" s="190">
        <v>1449</v>
      </c>
      <c r="CW23" s="190">
        <v>14</v>
      </c>
      <c r="CX23" s="190">
        <v>57</v>
      </c>
      <c r="CY23" s="190">
        <v>71</v>
      </c>
      <c r="CZ23" s="190">
        <v>13</v>
      </c>
      <c r="DA23" s="190">
        <v>0</v>
      </c>
      <c r="DB23" s="190">
        <v>0</v>
      </c>
      <c r="DC23" s="190">
        <v>57</v>
      </c>
      <c r="DD23" s="190">
        <v>0</v>
      </c>
      <c r="DE23" s="190">
        <v>0</v>
      </c>
      <c r="DF23" s="190">
        <v>13</v>
      </c>
      <c r="DG23" s="190">
        <v>57</v>
      </c>
      <c r="DH23" s="190">
        <v>70</v>
      </c>
      <c r="DI23" s="190">
        <v>1</v>
      </c>
      <c r="DJ23" s="190">
        <v>0</v>
      </c>
      <c r="DK23" s="190">
        <v>0</v>
      </c>
      <c r="DL23" s="190">
        <v>0</v>
      </c>
      <c r="DM23" s="190">
        <v>0</v>
      </c>
      <c r="DN23" s="190">
        <v>0</v>
      </c>
      <c r="DO23" s="190">
        <v>1</v>
      </c>
      <c r="DP23" s="190">
        <v>0</v>
      </c>
      <c r="DQ23" s="190">
        <v>1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28437</v>
      </c>
      <c r="C24" s="190">
        <v>4571</v>
      </c>
      <c r="D24" s="190">
        <v>32772</v>
      </c>
      <c r="E24" s="190">
        <v>25012</v>
      </c>
      <c r="F24" s="190">
        <v>83</v>
      </c>
      <c r="G24" s="190">
        <v>410</v>
      </c>
      <c r="H24" s="190">
        <v>493</v>
      </c>
      <c r="I24" s="190">
        <v>12</v>
      </c>
      <c r="J24" s="190">
        <v>6608</v>
      </c>
      <c r="K24" s="190">
        <v>6620</v>
      </c>
      <c r="L24" s="190">
        <v>2</v>
      </c>
      <c r="M24" s="190">
        <v>2326</v>
      </c>
      <c r="N24" s="190">
        <v>2328</v>
      </c>
      <c r="O24" s="190">
        <v>10</v>
      </c>
      <c r="P24" s="190">
        <v>4282</v>
      </c>
      <c r="Q24" s="190">
        <v>4292</v>
      </c>
      <c r="R24" s="190">
        <v>0</v>
      </c>
      <c r="S24" s="190">
        <v>191</v>
      </c>
      <c r="T24" s="190">
        <v>191</v>
      </c>
      <c r="U24" s="190">
        <v>0</v>
      </c>
      <c r="V24" s="190">
        <v>1140</v>
      </c>
      <c r="W24" s="190">
        <v>1140</v>
      </c>
      <c r="X24" s="190">
        <v>2138</v>
      </c>
      <c r="Y24" s="190">
        <v>28447</v>
      </c>
      <c r="Z24" s="190">
        <v>30585</v>
      </c>
      <c r="AA24" s="190">
        <v>1465</v>
      </c>
      <c r="AB24" s="190">
        <v>14209</v>
      </c>
      <c r="AC24" s="190">
        <v>15674</v>
      </c>
      <c r="AD24" s="190">
        <v>1174</v>
      </c>
      <c r="AE24" s="190">
        <v>12911</v>
      </c>
      <c r="AF24" s="190">
        <v>14085</v>
      </c>
      <c r="AG24" s="190">
        <v>83</v>
      </c>
      <c r="AH24" s="190">
        <v>438</v>
      </c>
      <c r="AI24" s="190">
        <v>521</v>
      </c>
      <c r="AJ24" s="190">
        <v>208</v>
      </c>
      <c r="AK24" s="190">
        <v>860</v>
      </c>
      <c r="AL24" s="190">
        <v>1068</v>
      </c>
      <c r="AM24" s="190">
        <v>673</v>
      </c>
      <c r="AN24" s="190">
        <v>14238</v>
      </c>
      <c r="AO24" s="190">
        <v>14911</v>
      </c>
      <c r="AP24" s="190">
        <v>87065</v>
      </c>
      <c r="AQ24" s="190">
        <v>435479</v>
      </c>
      <c r="AR24" s="190">
        <v>522544</v>
      </c>
      <c r="AS24" s="190">
        <v>87593</v>
      </c>
      <c r="AT24" s="190">
        <v>442323</v>
      </c>
      <c r="AU24" s="190">
        <v>529916</v>
      </c>
      <c r="AV24" s="190">
        <v>-528</v>
      </c>
      <c r="AW24" s="190">
        <v>-6844</v>
      </c>
      <c r="AX24" s="190">
        <v>-7372</v>
      </c>
      <c r="AY24" s="190">
        <v>2859</v>
      </c>
      <c r="AZ24" s="190">
        <v>37431</v>
      </c>
      <c r="BA24" s="190">
        <v>40290</v>
      </c>
      <c r="BB24" s="190">
        <v>2428</v>
      </c>
      <c r="BC24" s="190">
        <v>54</v>
      </c>
      <c r="BD24" s="190">
        <v>16</v>
      </c>
      <c r="BE24" s="190">
        <v>22032</v>
      </c>
      <c r="BF24" s="190">
        <v>250</v>
      </c>
      <c r="BG24" s="190">
        <v>232</v>
      </c>
      <c r="BH24" s="190">
        <v>2498</v>
      </c>
      <c r="BI24" s="190">
        <v>22514</v>
      </c>
      <c r="BJ24" s="190">
        <v>25012</v>
      </c>
      <c r="BK24" s="190">
        <v>-2131</v>
      </c>
      <c r="BL24" s="190">
        <v>2131</v>
      </c>
      <c r="BM24" s="190">
        <v>0</v>
      </c>
      <c r="BN24" s="190">
        <v>65</v>
      </c>
      <c r="BO24" s="190">
        <v>217</v>
      </c>
      <c r="BP24" s="190">
        <v>282</v>
      </c>
      <c r="BQ24" s="190">
        <v>71</v>
      </c>
      <c r="BR24" s="190">
        <v>475</v>
      </c>
      <c r="BS24" s="190">
        <v>546</v>
      </c>
      <c r="BT24" s="190">
        <v>2356</v>
      </c>
      <c r="BU24" s="190">
        <v>12094</v>
      </c>
      <c r="BV24" s="190">
        <v>14450</v>
      </c>
      <c r="BW24" s="190">
        <v>89924</v>
      </c>
      <c r="BX24" s="190">
        <v>472910</v>
      </c>
      <c r="BY24" s="190">
        <v>562834</v>
      </c>
      <c r="BZ24" s="190">
        <v>87366</v>
      </c>
      <c r="CA24" s="190">
        <v>464028</v>
      </c>
      <c r="CB24" s="190">
        <v>551394</v>
      </c>
      <c r="CC24" s="190">
        <v>1117035</v>
      </c>
      <c r="CD24" s="190">
        <v>675</v>
      </c>
      <c r="CE24" s="190">
        <v>9250</v>
      </c>
      <c r="CF24" s="190">
        <v>2295</v>
      </c>
      <c r="CG24" s="190">
        <v>5507</v>
      </c>
      <c r="CH24" s="190">
        <v>7802</v>
      </c>
      <c r="CI24" s="190">
        <v>4078</v>
      </c>
      <c r="CJ24" s="190">
        <v>558</v>
      </c>
      <c r="CK24" s="190">
        <v>263</v>
      </c>
      <c r="CL24" s="190">
        <v>3375</v>
      </c>
      <c r="CM24" s="190">
        <v>3638</v>
      </c>
      <c r="CN24" s="190">
        <v>4084</v>
      </c>
      <c r="CO24" s="190">
        <v>34783</v>
      </c>
      <c r="CP24" s="190">
        <v>38867</v>
      </c>
      <c r="CQ24" s="190">
        <v>93</v>
      </c>
      <c r="CR24" s="190">
        <v>304</v>
      </c>
      <c r="CS24" s="190">
        <v>397</v>
      </c>
      <c r="CT24" s="190">
        <v>85840</v>
      </c>
      <c r="CU24" s="190">
        <v>438127</v>
      </c>
      <c r="CV24" s="190">
        <v>523967</v>
      </c>
      <c r="CW24" s="190">
        <v>4971</v>
      </c>
      <c r="CX24" s="190">
        <v>15300</v>
      </c>
      <c r="CY24" s="190">
        <v>20271</v>
      </c>
      <c r="CZ24" s="190">
        <v>4810</v>
      </c>
      <c r="DA24" s="190">
        <v>123</v>
      </c>
      <c r="DB24" s="190">
        <v>4</v>
      </c>
      <c r="DC24" s="190">
        <v>14836</v>
      </c>
      <c r="DD24" s="190">
        <v>247</v>
      </c>
      <c r="DE24" s="190">
        <v>75</v>
      </c>
      <c r="DF24" s="190">
        <v>4937</v>
      </c>
      <c r="DG24" s="190">
        <v>15158</v>
      </c>
      <c r="DH24" s="190">
        <v>20095</v>
      </c>
      <c r="DI24" s="190">
        <v>33</v>
      </c>
      <c r="DJ24" s="190">
        <v>1</v>
      </c>
      <c r="DK24" s="190">
        <v>0</v>
      </c>
      <c r="DL24" s="190">
        <v>141</v>
      </c>
      <c r="DM24" s="190">
        <v>1</v>
      </c>
      <c r="DN24" s="190">
        <v>0</v>
      </c>
      <c r="DO24" s="190">
        <v>34</v>
      </c>
      <c r="DP24" s="190">
        <v>142</v>
      </c>
      <c r="DQ24" s="190">
        <v>176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761</v>
      </c>
      <c r="C25" s="190">
        <v>86</v>
      </c>
      <c r="D25" s="190">
        <v>838</v>
      </c>
      <c r="E25" s="190">
        <v>587</v>
      </c>
      <c r="F25" s="190">
        <v>1</v>
      </c>
      <c r="G25" s="190">
        <v>16</v>
      </c>
      <c r="H25" s="190">
        <v>17</v>
      </c>
      <c r="I25" s="190">
        <v>0</v>
      </c>
      <c r="J25" s="190">
        <v>230</v>
      </c>
      <c r="K25" s="190">
        <v>230</v>
      </c>
      <c r="L25" s="190">
        <v>0</v>
      </c>
      <c r="M25" s="190">
        <v>91</v>
      </c>
      <c r="N25" s="190">
        <v>91</v>
      </c>
      <c r="O25" s="190">
        <v>0</v>
      </c>
      <c r="P25" s="190">
        <v>139</v>
      </c>
      <c r="Q25" s="190">
        <v>139</v>
      </c>
      <c r="R25" s="190">
        <v>0</v>
      </c>
      <c r="S25" s="190">
        <v>2</v>
      </c>
      <c r="T25" s="190">
        <v>2</v>
      </c>
      <c r="U25" s="190">
        <v>0</v>
      </c>
      <c r="V25" s="190">
        <v>21</v>
      </c>
      <c r="W25" s="190">
        <v>21</v>
      </c>
      <c r="X25" s="190">
        <v>25</v>
      </c>
      <c r="Y25" s="190">
        <v>813</v>
      </c>
      <c r="Z25" s="190">
        <v>838</v>
      </c>
      <c r="AA25" s="190">
        <v>18</v>
      </c>
      <c r="AB25" s="190">
        <v>347</v>
      </c>
      <c r="AC25" s="190">
        <v>365</v>
      </c>
      <c r="AD25" s="190">
        <v>18</v>
      </c>
      <c r="AE25" s="190">
        <v>335</v>
      </c>
      <c r="AF25" s="190">
        <v>353</v>
      </c>
      <c r="AG25" s="190">
        <v>0</v>
      </c>
      <c r="AH25" s="190">
        <v>9</v>
      </c>
      <c r="AI25" s="190">
        <v>9</v>
      </c>
      <c r="AJ25" s="190">
        <v>0</v>
      </c>
      <c r="AK25" s="190">
        <v>3</v>
      </c>
      <c r="AL25" s="190">
        <v>3</v>
      </c>
      <c r="AM25" s="190">
        <v>7</v>
      </c>
      <c r="AN25" s="190">
        <v>466</v>
      </c>
      <c r="AO25" s="190">
        <v>473</v>
      </c>
      <c r="AP25" s="190">
        <v>1567</v>
      </c>
      <c r="AQ25" s="190">
        <v>9447</v>
      </c>
      <c r="AR25" s="190">
        <v>11014</v>
      </c>
      <c r="AS25" s="190">
        <v>1567</v>
      </c>
      <c r="AT25" s="190">
        <v>9446</v>
      </c>
      <c r="AU25" s="190">
        <v>11013</v>
      </c>
      <c r="AV25" s="190">
        <v>0</v>
      </c>
      <c r="AW25" s="190">
        <v>1</v>
      </c>
      <c r="AX25" s="190">
        <v>1</v>
      </c>
      <c r="AY25" s="190">
        <v>148</v>
      </c>
      <c r="AZ25" s="190">
        <v>777</v>
      </c>
      <c r="BA25" s="190">
        <v>925</v>
      </c>
      <c r="BB25" s="190">
        <v>34</v>
      </c>
      <c r="BC25" s="190">
        <v>0</v>
      </c>
      <c r="BD25" s="190">
        <v>0</v>
      </c>
      <c r="BE25" s="190">
        <v>545</v>
      </c>
      <c r="BF25" s="190">
        <v>6</v>
      </c>
      <c r="BG25" s="190">
        <v>2</v>
      </c>
      <c r="BH25" s="190">
        <v>34</v>
      </c>
      <c r="BI25" s="190">
        <v>553</v>
      </c>
      <c r="BJ25" s="190">
        <v>587</v>
      </c>
      <c r="BK25" s="190">
        <v>64</v>
      </c>
      <c r="BL25" s="190">
        <v>-64</v>
      </c>
      <c r="BM25" s="190">
        <v>0</v>
      </c>
      <c r="BN25" s="190">
        <v>3</v>
      </c>
      <c r="BO25" s="190">
        <v>17</v>
      </c>
      <c r="BP25" s="190">
        <v>20</v>
      </c>
      <c r="BQ25" s="190">
        <v>11</v>
      </c>
      <c r="BR25" s="190">
        <v>116</v>
      </c>
      <c r="BS25" s="190">
        <v>127</v>
      </c>
      <c r="BT25" s="190">
        <v>36</v>
      </c>
      <c r="BU25" s="190">
        <v>155</v>
      </c>
      <c r="BV25" s="190">
        <v>191</v>
      </c>
      <c r="BW25" s="190">
        <v>1715</v>
      </c>
      <c r="BX25" s="190">
        <v>10224</v>
      </c>
      <c r="BY25" s="190">
        <v>11939</v>
      </c>
      <c r="BZ25" s="190">
        <v>1703</v>
      </c>
      <c r="CA25" s="190">
        <v>10157</v>
      </c>
      <c r="CB25" s="190">
        <v>11860</v>
      </c>
      <c r="CC25" s="190">
        <v>28889</v>
      </c>
      <c r="CD25" s="190">
        <v>2</v>
      </c>
      <c r="CE25" s="190">
        <v>74</v>
      </c>
      <c r="CF25" s="190">
        <v>11</v>
      </c>
      <c r="CG25" s="190">
        <v>60</v>
      </c>
      <c r="CH25" s="190">
        <v>71</v>
      </c>
      <c r="CI25" s="190">
        <v>8</v>
      </c>
      <c r="CJ25" s="190">
        <v>7</v>
      </c>
      <c r="CK25" s="190">
        <v>1</v>
      </c>
      <c r="CL25" s="190">
        <v>7</v>
      </c>
      <c r="CM25" s="190">
        <v>8</v>
      </c>
      <c r="CN25" s="190">
        <v>57</v>
      </c>
      <c r="CO25" s="190">
        <v>754</v>
      </c>
      <c r="CP25" s="190">
        <v>811</v>
      </c>
      <c r="CQ25" s="190">
        <v>0</v>
      </c>
      <c r="CR25" s="190">
        <v>0</v>
      </c>
      <c r="CS25" s="190">
        <v>0</v>
      </c>
      <c r="CT25" s="190">
        <v>1658</v>
      </c>
      <c r="CU25" s="190">
        <v>9470</v>
      </c>
      <c r="CV25" s="190">
        <v>11128</v>
      </c>
      <c r="CW25" s="190">
        <v>97</v>
      </c>
      <c r="CX25" s="190">
        <v>574</v>
      </c>
      <c r="CY25" s="190">
        <v>671</v>
      </c>
      <c r="CZ25" s="190">
        <v>97</v>
      </c>
      <c r="DA25" s="190">
        <v>0</v>
      </c>
      <c r="DB25" s="190">
        <v>0</v>
      </c>
      <c r="DC25" s="190">
        <v>562</v>
      </c>
      <c r="DD25" s="190">
        <v>4</v>
      </c>
      <c r="DE25" s="190">
        <v>0</v>
      </c>
      <c r="DF25" s="190">
        <v>97</v>
      </c>
      <c r="DG25" s="190">
        <v>566</v>
      </c>
      <c r="DH25" s="190">
        <v>663</v>
      </c>
      <c r="DI25" s="190">
        <v>0</v>
      </c>
      <c r="DJ25" s="190">
        <v>0</v>
      </c>
      <c r="DK25" s="190">
        <v>0</v>
      </c>
      <c r="DL25" s="190">
        <v>8</v>
      </c>
      <c r="DM25" s="190">
        <v>0</v>
      </c>
      <c r="DN25" s="190">
        <v>0</v>
      </c>
      <c r="DO25" s="190">
        <v>0</v>
      </c>
      <c r="DP25" s="190">
        <v>8</v>
      </c>
      <c r="DQ25" s="190">
        <v>8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438</v>
      </c>
      <c r="C26" s="190">
        <v>103</v>
      </c>
      <c r="D26" s="190">
        <v>448</v>
      </c>
      <c r="E26" s="190">
        <v>312</v>
      </c>
      <c r="F26" s="190">
        <v>1</v>
      </c>
      <c r="G26" s="190">
        <v>5</v>
      </c>
      <c r="H26" s="190">
        <v>6</v>
      </c>
      <c r="I26" s="190">
        <v>0</v>
      </c>
      <c r="J26" s="190">
        <v>120</v>
      </c>
      <c r="K26" s="190">
        <v>120</v>
      </c>
      <c r="L26" s="190">
        <v>0</v>
      </c>
      <c r="M26" s="190">
        <v>44</v>
      </c>
      <c r="N26" s="190">
        <v>44</v>
      </c>
      <c r="O26" s="190">
        <v>0</v>
      </c>
      <c r="P26" s="190">
        <v>76</v>
      </c>
      <c r="Q26" s="190">
        <v>76</v>
      </c>
      <c r="R26" s="190">
        <v>0</v>
      </c>
      <c r="S26" s="190">
        <v>1</v>
      </c>
      <c r="T26" s="190">
        <v>1</v>
      </c>
      <c r="U26" s="190">
        <v>0</v>
      </c>
      <c r="V26" s="190">
        <v>16</v>
      </c>
      <c r="W26" s="190">
        <v>16</v>
      </c>
      <c r="X26" s="190">
        <v>16</v>
      </c>
      <c r="Y26" s="190">
        <v>432</v>
      </c>
      <c r="Z26" s="190">
        <v>448</v>
      </c>
      <c r="AA26" s="190">
        <v>11</v>
      </c>
      <c r="AB26" s="190">
        <v>195</v>
      </c>
      <c r="AC26" s="190">
        <v>206</v>
      </c>
      <c r="AD26" s="190">
        <v>10</v>
      </c>
      <c r="AE26" s="190">
        <v>182</v>
      </c>
      <c r="AF26" s="190">
        <v>192</v>
      </c>
      <c r="AG26" s="190">
        <v>0</v>
      </c>
      <c r="AH26" s="190">
        <v>4</v>
      </c>
      <c r="AI26" s="190">
        <v>4</v>
      </c>
      <c r="AJ26" s="190">
        <v>1</v>
      </c>
      <c r="AK26" s="190">
        <v>9</v>
      </c>
      <c r="AL26" s="190">
        <v>10</v>
      </c>
      <c r="AM26" s="190">
        <v>5</v>
      </c>
      <c r="AN26" s="190">
        <v>237</v>
      </c>
      <c r="AO26" s="190">
        <v>242</v>
      </c>
      <c r="AP26" s="190">
        <v>544</v>
      </c>
      <c r="AQ26" s="190">
        <v>5232</v>
      </c>
      <c r="AR26" s="190">
        <v>5776</v>
      </c>
      <c r="AS26" s="190">
        <v>544</v>
      </c>
      <c r="AT26" s="190">
        <v>5232</v>
      </c>
      <c r="AU26" s="190">
        <v>5776</v>
      </c>
      <c r="AV26" s="190">
        <v>0</v>
      </c>
      <c r="AW26" s="190">
        <v>0</v>
      </c>
      <c r="AX26" s="190">
        <v>0</v>
      </c>
      <c r="AY26" s="190">
        <v>32</v>
      </c>
      <c r="AZ26" s="190">
        <v>468</v>
      </c>
      <c r="BA26" s="190">
        <v>500</v>
      </c>
      <c r="BB26" s="190">
        <v>17</v>
      </c>
      <c r="BC26" s="190">
        <v>1</v>
      </c>
      <c r="BD26" s="190">
        <v>0</v>
      </c>
      <c r="BE26" s="190">
        <v>274</v>
      </c>
      <c r="BF26" s="190">
        <v>12</v>
      </c>
      <c r="BG26" s="190">
        <v>8</v>
      </c>
      <c r="BH26" s="190">
        <v>18</v>
      </c>
      <c r="BI26" s="190">
        <v>294</v>
      </c>
      <c r="BJ26" s="190">
        <v>312</v>
      </c>
      <c r="BK26" s="190">
        <v>-5</v>
      </c>
      <c r="BL26" s="190">
        <v>5</v>
      </c>
      <c r="BM26" s="190">
        <v>0</v>
      </c>
      <c r="BN26" s="190">
        <v>2</v>
      </c>
      <c r="BO26" s="190">
        <v>11</v>
      </c>
      <c r="BP26" s="190">
        <v>13</v>
      </c>
      <c r="BQ26" s="190">
        <v>2</v>
      </c>
      <c r="BR26" s="190">
        <v>54</v>
      </c>
      <c r="BS26" s="190">
        <v>56</v>
      </c>
      <c r="BT26" s="190">
        <v>15</v>
      </c>
      <c r="BU26" s="190">
        <v>104</v>
      </c>
      <c r="BV26" s="190">
        <v>119</v>
      </c>
      <c r="BW26" s="190">
        <v>576</v>
      </c>
      <c r="BX26" s="190">
        <v>5700</v>
      </c>
      <c r="BY26" s="190">
        <v>6276</v>
      </c>
      <c r="BZ26" s="190">
        <v>537</v>
      </c>
      <c r="CA26" s="190">
        <v>5403</v>
      </c>
      <c r="CB26" s="190">
        <v>5940</v>
      </c>
      <c r="CC26" s="190">
        <v>9953</v>
      </c>
      <c r="CD26" s="190">
        <v>7</v>
      </c>
      <c r="CE26" s="190">
        <v>306</v>
      </c>
      <c r="CF26" s="190">
        <v>36</v>
      </c>
      <c r="CG26" s="190">
        <v>229</v>
      </c>
      <c r="CH26" s="190">
        <v>265</v>
      </c>
      <c r="CI26" s="190">
        <v>65</v>
      </c>
      <c r="CJ26" s="190">
        <v>20</v>
      </c>
      <c r="CK26" s="190">
        <v>3</v>
      </c>
      <c r="CL26" s="190">
        <v>68</v>
      </c>
      <c r="CM26" s="190">
        <v>71</v>
      </c>
      <c r="CN26" s="190">
        <v>27</v>
      </c>
      <c r="CO26" s="190">
        <v>518</v>
      </c>
      <c r="CP26" s="190">
        <v>545</v>
      </c>
      <c r="CQ26" s="190">
        <v>0</v>
      </c>
      <c r="CR26" s="190">
        <v>0</v>
      </c>
      <c r="CS26" s="190">
        <v>0</v>
      </c>
      <c r="CT26" s="190">
        <v>549</v>
      </c>
      <c r="CU26" s="190">
        <v>5182</v>
      </c>
      <c r="CV26" s="190">
        <v>5731</v>
      </c>
      <c r="CW26" s="190">
        <v>38</v>
      </c>
      <c r="CX26" s="190">
        <v>252</v>
      </c>
      <c r="CY26" s="190">
        <v>290</v>
      </c>
      <c r="CZ26" s="190">
        <v>37</v>
      </c>
      <c r="DA26" s="190">
        <v>1</v>
      </c>
      <c r="DB26" s="190">
        <v>0</v>
      </c>
      <c r="DC26" s="190">
        <v>237</v>
      </c>
      <c r="DD26" s="190">
        <v>11</v>
      </c>
      <c r="DE26" s="190">
        <v>2</v>
      </c>
      <c r="DF26" s="190">
        <v>38</v>
      </c>
      <c r="DG26" s="190">
        <v>250</v>
      </c>
      <c r="DH26" s="190">
        <v>288</v>
      </c>
      <c r="DI26" s="190">
        <v>0</v>
      </c>
      <c r="DJ26" s="190">
        <v>0</v>
      </c>
      <c r="DK26" s="190">
        <v>0</v>
      </c>
      <c r="DL26" s="190">
        <v>2</v>
      </c>
      <c r="DM26" s="190">
        <v>0</v>
      </c>
      <c r="DN26" s="190">
        <v>0</v>
      </c>
      <c r="DO26" s="190">
        <v>0</v>
      </c>
      <c r="DP26" s="190">
        <v>2</v>
      </c>
      <c r="DQ26" s="190">
        <v>2</v>
      </c>
      <c r="DR26" s="190">
        <v>0</v>
      </c>
      <c r="DS26" s="190">
        <v>2</v>
      </c>
      <c r="DT26" s="191">
        <v>2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84</v>
      </c>
      <c r="C27" s="190">
        <v>11</v>
      </c>
      <c r="D27" s="190">
        <v>85</v>
      </c>
      <c r="E27" s="190">
        <v>42</v>
      </c>
      <c r="F27" s="190">
        <v>1</v>
      </c>
      <c r="G27" s="190">
        <v>3</v>
      </c>
      <c r="H27" s="190">
        <v>4</v>
      </c>
      <c r="I27" s="190">
        <v>0</v>
      </c>
      <c r="J27" s="190">
        <v>33</v>
      </c>
      <c r="K27" s="190">
        <v>33</v>
      </c>
      <c r="L27" s="190">
        <v>0</v>
      </c>
      <c r="M27" s="190">
        <v>12</v>
      </c>
      <c r="N27" s="190">
        <v>12</v>
      </c>
      <c r="O27" s="190">
        <v>0</v>
      </c>
      <c r="P27" s="190">
        <v>21</v>
      </c>
      <c r="Q27" s="190">
        <v>21</v>
      </c>
      <c r="R27" s="190">
        <v>0</v>
      </c>
      <c r="S27" s="190">
        <v>1</v>
      </c>
      <c r="T27" s="190">
        <v>1</v>
      </c>
      <c r="U27" s="190">
        <v>0</v>
      </c>
      <c r="V27" s="190">
        <v>10</v>
      </c>
      <c r="W27" s="190">
        <v>10</v>
      </c>
      <c r="X27" s="190">
        <v>1</v>
      </c>
      <c r="Y27" s="190">
        <v>84</v>
      </c>
      <c r="Z27" s="190">
        <v>85</v>
      </c>
      <c r="AA27" s="190">
        <v>0</v>
      </c>
      <c r="AB27" s="190">
        <v>32</v>
      </c>
      <c r="AC27" s="190">
        <v>32</v>
      </c>
      <c r="AD27" s="190">
        <v>0</v>
      </c>
      <c r="AE27" s="190">
        <v>21</v>
      </c>
      <c r="AF27" s="190">
        <v>21</v>
      </c>
      <c r="AG27" s="190">
        <v>0</v>
      </c>
      <c r="AH27" s="190">
        <v>7</v>
      </c>
      <c r="AI27" s="190">
        <v>7</v>
      </c>
      <c r="AJ27" s="190">
        <v>0</v>
      </c>
      <c r="AK27" s="190">
        <v>4</v>
      </c>
      <c r="AL27" s="190">
        <v>4</v>
      </c>
      <c r="AM27" s="190">
        <v>1</v>
      </c>
      <c r="AN27" s="190">
        <v>52</v>
      </c>
      <c r="AO27" s="190">
        <v>53</v>
      </c>
      <c r="AP27" s="190">
        <v>79</v>
      </c>
      <c r="AQ27" s="190">
        <v>878</v>
      </c>
      <c r="AR27" s="190">
        <v>957</v>
      </c>
      <c r="AS27" s="190">
        <v>79</v>
      </c>
      <c r="AT27" s="190">
        <v>878</v>
      </c>
      <c r="AU27" s="190">
        <v>957</v>
      </c>
      <c r="AV27" s="190">
        <v>0</v>
      </c>
      <c r="AW27" s="190">
        <v>0</v>
      </c>
      <c r="AX27" s="190">
        <v>0</v>
      </c>
      <c r="AY27" s="190">
        <v>7</v>
      </c>
      <c r="AZ27" s="190">
        <v>61</v>
      </c>
      <c r="BA27" s="190">
        <v>68</v>
      </c>
      <c r="BB27" s="190">
        <v>2</v>
      </c>
      <c r="BC27" s="190">
        <v>0</v>
      </c>
      <c r="BD27" s="190">
        <v>0</v>
      </c>
      <c r="BE27" s="190">
        <v>40</v>
      </c>
      <c r="BF27" s="190">
        <v>0</v>
      </c>
      <c r="BG27" s="190">
        <v>0</v>
      </c>
      <c r="BH27" s="190">
        <v>2</v>
      </c>
      <c r="BI27" s="190">
        <v>40</v>
      </c>
      <c r="BJ27" s="190">
        <v>42</v>
      </c>
      <c r="BK27" s="190">
        <v>2</v>
      </c>
      <c r="BL27" s="190">
        <v>-2</v>
      </c>
      <c r="BM27" s="190">
        <v>0</v>
      </c>
      <c r="BN27" s="190">
        <v>0</v>
      </c>
      <c r="BO27" s="190">
        <v>3</v>
      </c>
      <c r="BP27" s="190">
        <v>3</v>
      </c>
      <c r="BQ27" s="190">
        <v>1</v>
      </c>
      <c r="BR27" s="190">
        <v>11</v>
      </c>
      <c r="BS27" s="190">
        <v>12</v>
      </c>
      <c r="BT27" s="190">
        <v>2</v>
      </c>
      <c r="BU27" s="190">
        <v>9</v>
      </c>
      <c r="BV27" s="190">
        <v>11</v>
      </c>
      <c r="BW27" s="190">
        <v>86</v>
      </c>
      <c r="BX27" s="190">
        <v>939</v>
      </c>
      <c r="BY27" s="190">
        <v>1025</v>
      </c>
      <c r="BZ27" s="190">
        <v>85</v>
      </c>
      <c r="CA27" s="190">
        <v>934</v>
      </c>
      <c r="CB27" s="190">
        <v>1019</v>
      </c>
      <c r="CC27" s="190">
        <v>1876</v>
      </c>
      <c r="CD27" s="190">
        <v>0</v>
      </c>
      <c r="CE27" s="190">
        <v>3</v>
      </c>
      <c r="CF27" s="190">
        <v>0</v>
      </c>
      <c r="CG27" s="190">
        <v>3</v>
      </c>
      <c r="CH27" s="190">
        <v>3</v>
      </c>
      <c r="CI27" s="190">
        <v>3</v>
      </c>
      <c r="CJ27" s="190">
        <v>0</v>
      </c>
      <c r="CK27" s="190">
        <v>1</v>
      </c>
      <c r="CL27" s="190">
        <v>2</v>
      </c>
      <c r="CM27" s="190">
        <v>3</v>
      </c>
      <c r="CN27" s="190">
        <v>4</v>
      </c>
      <c r="CO27" s="190">
        <v>75</v>
      </c>
      <c r="CP27" s="190">
        <v>79</v>
      </c>
      <c r="CQ27" s="190">
        <v>0</v>
      </c>
      <c r="CR27" s="190">
        <v>1</v>
      </c>
      <c r="CS27" s="190">
        <v>1</v>
      </c>
      <c r="CT27" s="190">
        <v>82</v>
      </c>
      <c r="CU27" s="190">
        <v>864</v>
      </c>
      <c r="CV27" s="190">
        <v>946</v>
      </c>
      <c r="CW27" s="190">
        <v>4</v>
      </c>
      <c r="CX27" s="190">
        <v>39</v>
      </c>
      <c r="CY27" s="190">
        <v>43</v>
      </c>
      <c r="CZ27" s="190">
        <v>4</v>
      </c>
      <c r="DA27" s="190">
        <v>0</v>
      </c>
      <c r="DB27" s="190">
        <v>0</v>
      </c>
      <c r="DC27" s="190">
        <v>39</v>
      </c>
      <c r="DD27" s="190">
        <v>0</v>
      </c>
      <c r="DE27" s="190">
        <v>0</v>
      </c>
      <c r="DF27" s="190">
        <v>4</v>
      </c>
      <c r="DG27" s="190">
        <v>39</v>
      </c>
      <c r="DH27" s="190">
        <v>43</v>
      </c>
      <c r="DI27" s="190">
        <v>0</v>
      </c>
      <c r="DJ27" s="190">
        <v>0</v>
      </c>
      <c r="DK27" s="190">
        <v>0</v>
      </c>
      <c r="DL27" s="190">
        <v>0</v>
      </c>
      <c r="DM27" s="190">
        <v>0</v>
      </c>
      <c r="DN27" s="190">
        <v>0</v>
      </c>
      <c r="DO27" s="190">
        <v>0</v>
      </c>
      <c r="DP27" s="190">
        <v>0</v>
      </c>
      <c r="DQ27" s="190">
        <v>0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401</v>
      </c>
      <c r="C28" s="190">
        <v>55</v>
      </c>
      <c r="D28" s="190">
        <v>404</v>
      </c>
      <c r="E28" s="190">
        <v>311</v>
      </c>
      <c r="F28" s="190">
        <v>1</v>
      </c>
      <c r="G28" s="190">
        <v>14</v>
      </c>
      <c r="H28" s="190">
        <v>15</v>
      </c>
      <c r="I28" s="190">
        <v>0</v>
      </c>
      <c r="J28" s="190">
        <v>86</v>
      </c>
      <c r="K28" s="190">
        <v>86</v>
      </c>
      <c r="L28" s="190">
        <v>0</v>
      </c>
      <c r="M28" s="190">
        <v>48</v>
      </c>
      <c r="N28" s="190">
        <v>48</v>
      </c>
      <c r="O28" s="190">
        <v>0</v>
      </c>
      <c r="P28" s="190">
        <v>38</v>
      </c>
      <c r="Q28" s="190">
        <v>38</v>
      </c>
      <c r="R28" s="190">
        <v>0</v>
      </c>
      <c r="S28" s="190">
        <v>11</v>
      </c>
      <c r="T28" s="190">
        <v>11</v>
      </c>
      <c r="U28" s="190">
        <v>0</v>
      </c>
      <c r="V28" s="190">
        <v>7</v>
      </c>
      <c r="W28" s="190">
        <v>7</v>
      </c>
      <c r="X28" s="190">
        <v>15</v>
      </c>
      <c r="Y28" s="190">
        <v>389</v>
      </c>
      <c r="Z28" s="190">
        <v>404</v>
      </c>
      <c r="AA28" s="190">
        <v>7</v>
      </c>
      <c r="AB28" s="190">
        <v>204</v>
      </c>
      <c r="AC28" s="190">
        <v>211</v>
      </c>
      <c r="AD28" s="190">
        <v>7</v>
      </c>
      <c r="AE28" s="190">
        <v>193</v>
      </c>
      <c r="AF28" s="190">
        <v>200</v>
      </c>
      <c r="AG28" s="190">
        <v>0</v>
      </c>
      <c r="AH28" s="190">
        <v>5</v>
      </c>
      <c r="AI28" s="190">
        <v>5</v>
      </c>
      <c r="AJ28" s="190">
        <v>0</v>
      </c>
      <c r="AK28" s="190">
        <v>6</v>
      </c>
      <c r="AL28" s="190">
        <v>6</v>
      </c>
      <c r="AM28" s="190">
        <v>8</v>
      </c>
      <c r="AN28" s="190">
        <v>185</v>
      </c>
      <c r="AO28" s="190">
        <v>193</v>
      </c>
      <c r="AP28" s="190">
        <v>517</v>
      </c>
      <c r="AQ28" s="190">
        <v>5404</v>
      </c>
      <c r="AR28" s="190">
        <v>5921</v>
      </c>
      <c r="AS28" s="190">
        <v>517</v>
      </c>
      <c r="AT28" s="190">
        <v>5404</v>
      </c>
      <c r="AU28" s="190">
        <v>5921</v>
      </c>
      <c r="AV28" s="190">
        <v>0</v>
      </c>
      <c r="AW28" s="190">
        <v>0</v>
      </c>
      <c r="AX28" s="190">
        <v>0</v>
      </c>
      <c r="AY28" s="190">
        <v>46</v>
      </c>
      <c r="AZ28" s="190">
        <v>518</v>
      </c>
      <c r="BA28" s="190">
        <v>564</v>
      </c>
      <c r="BB28" s="190">
        <v>17</v>
      </c>
      <c r="BC28" s="190">
        <v>0</v>
      </c>
      <c r="BD28" s="190">
        <v>0</v>
      </c>
      <c r="BE28" s="190">
        <v>292</v>
      </c>
      <c r="BF28" s="190">
        <v>2</v>
      </c>
      <c r="BG28" s="190">
        <v>0</v>
      </c>
      <c r="BH28" s="190">
        <v>17</v>
      </c>
      <c r="BI28" s="190">
        <v>294</v>
      </c>
      <c r="BJ28" s="190">
        <v>311</v>
      </c>
      <c r="BK28" s="190">
        <v>-1</v>
      </c>
      <c r="BL28" s="190">
        <v>1</v>
      </c>
      <c r="BM28" s="190">
        <v>0</v>
      </c>
      <c r="BN28" s="190">
        <v>3</v>
      </c>
      <c r="BO28" s="190">
        <v>19</v>
      </c>
      <c r="BP28" s="190">
        <v>22</v>
      </c>
      <c r="BQ28" s="190">
        <v>12</v>
      </c>
      <c r="BR28" s="190">
        <v>74</v>
      </c>
      <c r="BS28" s="190">
        <v>86</v>
      </c>
      <c r="BT28" s="190">
        <v>15</v>
      </c>
      <c r="BU28" s="190">
        <v>130</v>
      </c>
      <c r="BV28" s="190">
        <v>145</v>
      </c>
      <c r="BW28" s="190">
        <v>563</v>
      </c>
      <c r="BX28" s="190">
        <v>5922</v>
      </c>
      <c r="BY28" s="190">
        <v>6485</v>
      </c>
      <c r="BZ28" s="190">
        <v>555</v>
      </c>
      <c r="CA28" s="190">
        <v>5882</v>
      </c>
      <c r="CB28" s="190">
        <v>6437</v>
      </c>
      <c r="CC28" s="190">
        <v>12071</v>
      </c>
      <c r="CD28" s="190">
        <v>2</v>
      </c>
      <c r="CE28" s="190">
        <v>37</v>
      </c>
      <c r="CF28" s="190">
        <v>7</v>
      </c>
      <c r="CG28" s="190">
        <v>31</v>
      </c>
      <c r="CH28" s="190">
        <v>38</v>
      </c>
      <c r="CI28" s="190">
        <v>10</v>
      </c>
      <c r="CJ28" s="190">
        <v>2</v>
      </c>
      <c r="CK28" s="190">
        <v>1</v>
      </c>
      <c r="CL28" s="190">
        <v>9</v>
      </c>
      <c r="CM28" s="190">
        <v>10</v>
      </c>
      <c r="CN28" s="190">
        <v>36</v>
      </c>
      <c r="CO28" s="190">
        <v>624</v>
      </c>
      <c r="CP28" s="190">
        <v>660</v>
      </c>
      <c r="CQ28" s="190">
        <v>0</v>
      </c>
      <c r="CR28" s="190">
        <v>0</v>
      </c>
      <c r="CS28" s="190">
        <v>0</v>
      </c>
      <c r="CT28" s="190">
        <v>527</v>
      </c>
      <c r="CU28" s="190">
        <v>5298</v>
      </c>
      <c r="CV28" s="190">
        <v>5825</v>
      </c>
      <c r="CW28" s="190">
        <v>42</v>
      </c>
      <c r="CX28" s="190">
        <v>234</v>
      </c>
      <c r="CY28" s="190">
        <v>276</v>
      </c>
      <c r="CZ28" s="190">
        <v>42</v>
      </c>
      <c r="DA28" s="190">
        <v>0</v>
      </c>
      <c r="DB28" s="190">
        <v>0</v>
      </c>
      <c r="DC28" s="190">
        <v>230</v>
      </c>
      <c r="DD28" s="190">
        <v>1</v>
      </c>
      <c r="DE28" s="190">
        <v>0</v>
      </c>
      <c r="DF28" s="190">
        <v>42</v>
      </c>
      <c r="DG28" s="190">
        <v>231</v>
      </c>
      <c r="DH28" s="190">
        <v>273</v>
      </c>
      <c r="DI28" s="190">
        <v>0</v>
      </c>
      <c r="DJ28" s="190">
        <v>0</v>
      </c>
      <c r="DK28" s="190">
        <v>0</v>
      </c>
      <c r="DL28" s="190">
        <v>3</v>
      </c>
      <c r="DM28" s="190">
        <v>0</v>
      </c>
      <c r="DN28" s="190">
        <v>0</v>
      </c>
      <c r="DO28" s="190">
        <v>0</v>
      </c>
      <c r="DP28" s="190">
        <v>3</v>
      </c>
      <c r="DQ28" s="190">
        <v>3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1602</v>
      </c>
      <c r="C29" s="190">
        <v>192</v>
      </c>
      <c r="D29" s="190">
        <v>1566</v>
      </c>
      <c r="E29" s="190">
        <v>977</v>
      </c>
      <c r="F29" s="190">
        <v>4</v>
      </c>
      <c r="G29" s="190">
        <v>44</v>
      </c>
      <c r="H29" s="190">
        <v>48</v>
      </c>
      <c r="I29" s="190">
        <v>0</v>
      </c>
      <c r="J29" s="190">
        <v>478</v>
      </c>
      <c r="K29" s="190">
        <v>478</v>
      </c>
      <c r="L29" s="190">
        <v>0</v>
      </c>
      <c r="M29" s="190">
        <v>194</v>
      </c>
      <c r="N29" s="190">
        <v>194</v>
      </c>
      <c r="O29" s="190">
        <v>0</v>
      </c>
      <c r="P29" s="190">
        <v>284</v>
      </c>
      <c r="Q29" s="190">
        <v>284</v>
      </c>
      <c r="R29" s="190">
        <v>0</v>
      </c>
      <c r="S29" s="190">
        <v>17</v>
      </c>
      <c r="T29" s="190">
        <v>17</v>
      </c>
      <c r="U29" s="190">
        <v>0</v>
      </c>
      <c r="V29" s="190">
        <v>111</v>
      </c>
      <c r="W29" s="190">
        <v>111</v>
      </c>
      <c r="X29" s="190">
        <v>63</v>
      </c>
      <c r="Y29" s="190">
        <v>1503</v>
      </c>
      <c r="Z29" s="190">
        <v>1566</v>
      </c>
      <c r="AA29" s="190">
        <v>45</v>
      </c>
      <c r="AB29" s="190">
        <v>639</v>
      </c>
      <c r="AC29" s="190">
        <v>684</v>
      </c>
      <c r="AD29" s="190">
        <v>42</v>
      </c>
      <c r="AE29" s="190">
        <v>623</v>
      </c>
      <c r="AF29" s="190">
        <v>665</v>
      </c>
      <c r="AG29" s="190">
        <v>2</v>
      </c>
      <c r="AH29" s="190">
        <v>12</v>
      </c>
      <c r="AI29" s="190">
        <v>14</v>
      </c>
      <c r="AJ29" s="190">
        <v>1</v>
      </c>
      <c r="AK29" s="190">
        <v>4</v>
      </c>
      <c r="AL29" s="190">
        <v>5</v>
      </c>
      <c r="AM29" s="190">
        <v>18</v>
      </c>
      <c r="AN29" s="190">
        <v>864</v>
      </c>
      <c r="AO29" s="190">
        <v>882</v>
      </c>
      <c r="AP29" s="190">
        <v>3473</v>
      </c>
      <c r="AQ29" s="190">
        <v>18626</v>
      </c>
      <c r="AR29" s="190">
        <v>22099</v>
      </c>
      <c r="AS29" s="190">
        <v>3475</v>
      </c>
      <c r="AT29" s="190">
        <v>18626</v>
      </c>
      <c r="AU29" s="190">
        <v>22101</v>
      </c>
      <c r="AV29" s="190">
        <v>-2</v>
      </c>
      <c r="AW29" s="190">
        <v>0</v>
      </c>
      <c r="AX29" s="190">
        <v>-2</v>
      </c>
      <c r="AY29" s="190">
        <v>174</v>
      </c>
      <c r="AZ29" s="190">
        <v>1737</v>
      </c>
      <c r="BA29" s="190">
        <v>1911</v>
      </c>
      <c r="BB29" s="190">
        <v>72</v>
      </c>
      <c r="BC29" s="190">
        <v>1</v>
      </c>
      <c r="BD29" s="190">
        <v>0</v>
      </c>
      <c r="BE29" s="190">
        <v>895</v>
      </c>
      <c r="BF29" s="190">
        <v>6</v>
      </c>
      <c r="BG29" s="190">
        <v>3</v>
      </c>
      <c r="BH29" s="190">
        <v>73</v>
      </c>
      <c r="BI29" s="190">
        <v>904</v>
      </c>
      <c r="BJ29" s="190">
        <v>977</v>
      </c>
      <c r="BK29" s="190">
        <v>-8</v>
      </c>
      <c r="BL29" s="190">
        <v>8</v>
      </c>
      <c r="BM29" s="190">
        <v>0</v>
      </c>
      <c r="BN29" s="190">
        <v>15</v>
      </c>
      <c r="BO29" s="190">
        <v>34</v>
      </c>
      <c r="BP29" s="190">
        <v>49</v>
      </c>
      <c r="BQ29" s="190">
        <v>18</v>
      </c>
      <c r="BR29" s="190">
        <v>238</v>
      </c>
      <c r="BS29" s="190">
        <v>256</v>
      </c>
      <c r="BT29" s="190">
        <v>76</v>
      </c>
      <c r="BU29" s="190">
        <v>553</v>
      </c>
      <c r="BV29" s="190">
        <v>629</v>
      </c>
      <c r="BW29" s="190">
        <v>3647</v>
      </c>
      <c r="BX29" s="190">
        <v>20363</v>
      </c>
      <c r="BY29" s="190">
        <v>24010</v>
      </c>
      <c r="BZ29" s="190">
        <v>3628</v>
      </c>
      <c r="CA29" s="190">
        <v>20263</v>
      </c>
      <c r="CB29" s="190">
        <v>23891</v>
      </c>
      <c r="CC29" s="190">
        <v>55418</v>
      </c>
      <c r="CD29" s="190">
        <v>5</v>
      </c>
      <c r="CE29" s="190">
        <v>110</v>
      </c>
      <c r="CF29" s="190">
        <v>18</v>
      </c>
      <c r="CG29" s="190">
        <v>85</v>
      </c>
      <c r="CH29" s="190">
        <v>103</v>
      </c>
      <c r="CI29" s="190">
        <v>15</v>
      </c>
      <c r="CJ29" s="190">
        <v>2</v>
      </c>
      <c r="CK29" s="190">
        <v>1</v>
      </c>
      <c r="CL29" s="190">
        <v>15</v>
      </c>
      <c r="CM29" s="190">
        <v>16</v>
      </c>
      <c r="CN29" s="190">
        <v>147</v>
      </c>
      <c r="CO29" s="190">
        <v>1755</v>
      </c>
      <c r="CP29" s="190">
        <v>1902</v>
      </c>
      <c r="CQ29" s="190">
        <v>0</v>
      </c>
      <c r="CR29" s="190">
        <v>30</v>
      </c>
      <c r="CS29" s="190">
        <v>30</v>
      </c>
      <c r="CT29" s="190">
        <v>3500</v>
      </c>
      <c r="CU29" s="190">
        <v>18608</v>
      </c>
      <c r="CV29" s="190">
        <v>22108</v>
      </c>
      <c r="CW29" s="190">
        <v>209</v>
      </c>
      <c r="CX29" s="190">
        <v>1213</v>
      </c>
      <c r="CY29" s="190">
        <v>1422</v>
      </c>
      <c r="CZ29" s="190">
        <v>206</v>
      </c>
      <c r="DA29" s="190">
        <v>2</v>
      </c>
      <c r="DB29" s="190">
        <v>0</v>
      </c>
      <c r="DC29" s="190">
        <v>1195</v>
      </c>
      <c r="DD29" s="190">
        <v>5</v>
      </c>
      <c r="DE29" s="190">
        <v>1</v>
      </c>
      <c r="DF29" s="190">
        <v>208</v>
      </c>
      <c r="DG29" s="190">
        <v>1201</v>
      </c>
      <c r="DH29" s="190">
        <v>1409</v>
      </c>
      <c r="DI29" s="190">
        <v>1</v>
      </c>
      <c r="DJ29" s="190">
        <v>0</v>
      </c>
      <c r="DK29" s="190">
        <v>0</v>
      </c>
      <c r="DL29" s="190">
        <v>12</v>
      </c>
      <c r="DM29" s="190">
        <v>0</v>
      </c>
      <c r="DN29" s="190">
        <v>0</v>
      </c>
      <c r="DO29" s="190">
        <v>1</v>
      </c>
      <c r="DP29" s="190">
        <v>12</v>
      </c>
      <c r="DQ29" s="190">
        <v>13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47</v>
      </c>
      <c r="C30" s="190">
        <v>4</v>
      </c>
      <c r="D30" s="190">
        <v>44</v>
      </c>
      <c r="E30" s="190">
        <v>32</v>
      </c>
      <c r="F30" s="190">
        <v>0</v>
      </c>
      <c r="G30" s="190">
        <v>0</v>
      </c>
      <c r="H30" s="190">
        <v>0</v>
      </c>
      <c r="I30" s="190">
        <v>0</v>
      </c>
      <c r="J30" s="190">
        <v>8</v>
      </c>
      <c r="K30" s="190">
        <v>8</v>
      </c>
      <c r="L30" s="190">
        <v>0</v>
      </c>
      <c r="M30" s="190">
        <v>1</v>
      </c>
      <c r="N30" s="190">
        <v>1</v>
      </c>
      <c r="O30" s="190">
        <v>0</v>
      </c>
      <c r="P30" s="190">
        <v>7</v>
      </c>
      <c r="Q30" s="190">
        <v>7</v>
      </c>
      <c r="R30" s="190">
        <v>0</v>
      </c>
      <c r="S30" s="190">
        <v>0</v>
      </c>
      <c r="T30" s="190">
        <v>0</v>
      </c>
      <c r="U30" s="190">
        <v>0</v>
      </c>
      <c r="V30" s="190">
        <v>4</v>
      </c>
      <c r="W30" s="190">
        <v>4</v>
      </c>
      <c r="X30" s="190">
        <v>0</v>
      </c>
      <c r="Y30" s="190">
        <v>44</v>
      </c>
      <c r="Z30" s="190">
        <v>44</v>
      </c>
      <c r="AA30" s="190">
        <v>0</v>
      </c>
      <c r="AB30" s="190">
        <v>22</v>
      </c>
      <c r="AC30" s="190">
        <v>22</v>
      </c>
      <c r="AD30" s="190">
        <v>0</v>
      </c>
      <c r="AE30" s="190">
        <v>22</v>
      </c>
      <c r="AF30" s="190">
        <v>22</v>
      </c>
      <c r="AG30" s="190">
        <v>0</v>
      </c>
      <c r="AH30" s="190">
        <v>0</v>
      </c>
      <c r="AI30" s="190">
        <v>0</v>
      </c>
      <c r="AJ30" s="190">
        <v>0</v>
      </c>
      <c r="AK30" s="190">
        <v>0</v>
      </c>
      <c r="AL30" s="190">
        <v>0</v>
      </c>
      <c r="AM30" s="190">
        <v>0</v>
      </c>
      <c r="AN30" s="190">
        <v>22</v>
      </c>
      <c r="AO30" s="190">
        <v>22</v>
      </c>
      <c r="AP30" s="190">
        <v>66</v>
      </c>
      <c r="AQ30" s="190">
        <v>425</v>
      </c>
      <c r="AR30" s="190">
        <v>491</v>
      </c>
      <c r="AS30" s="190">
        <v>66</v>
      </c>
      <c r="AT30" s="190">
        <v>425</v>
      </c>
      <c r="AU30" s="190">
        <v>491</v>
      </c>
      <c r="AV30" s="190">
        <v>0</v>
      </c>
      <c r="AW30" s="190">
        <v>0</v>
      </c>
      <c r="AX30" s="190">
        <v>0</v>
      </c>
      <c r="AY30" s="190">
        <v>6</v>
      </c>
      <c r="AZ30" s="190">
        <v>47</v>
      </c>
      <c r="BA30" s="190">
        <v>53</v>
      </c>
      <c r="BB30" s="190">
        <v>1</v>
      </c>
      <c r="BC30" s="190">
        <v>0</v>
      </c>
      <c r="BD30" s="190">
        <v>0</v>
      </c>
      <c r="BE30" s="190">
        <v>31</v>
      </c>
      <c r="BF30" s="190">
        <v>0</v>
      </c>
      <c r="BG30" s="190">
        <v>0</v>
      </c>
      <c r="BH30" s="190">
        <v>1</v>
      </c>
      <c r="BI30" s="190">
        <v>31</v>
      </c>
      <c r="BJ30" s="190">
        <v>32</v>
      </c>
      <c r="BK30" s="190">
        <v>3</v>
      </c>
      <c r="BL30" s="190">
        <v>-3</v>
      </c>
      <c r="BM30" s="190">
        <v>0</v>
      </c>
      <c r="BN30" s="190">
        <v>0</v>
      </c>
      <c r="BO30" s="190">
        <v>2</v>
      </c>
      <c r="BP30" s="190">
        <v>2</v>
      </c>
      <c r="BQ30" s="190">
        <v>2</v>
      </c>
      <c r="BR30" s="190">
        <v>8</v>
      </c>
      <c r="BS30" s="190">
        <v>10</v>
      </c>
      <c r="BT30" s="190">
        <v>0</v>
      </c>
      <c r="BU30" s="190">
        <v>9</v>
      </c>
      <c r="BV30" s="190">
        <v>9</v>
      </c>
      <c r="BW30" s="190">
        <v>72</v>
      </c>
      <c r="BX30" s="190">
        <v>472</v>
      </c>
      <c r="BY30" s="190">
        <v>544</v>
      </c>
      <c r="BZ30" s="190">
        <v>71</v>
      </c>
      <c r="CA30" s="190">
        <v>471</v>
      </c>
      <c r="CB30" s="190">
        <v>542</v>
      </c>
      <c r="CC30" s="190">
        <v>1146</v>
      </c>
      <c r="CD30" s="190">
        <v>0</v>
      </c>
      <c r="CE30" s="190">
        <v>1</v>
      </c>
      <c r="CF30" s="190">
        <v>1</v>
      </c>
      <c r="CG30" s="190">
        <v>0</v>
      </c>
      <c r="CH30" s="190">
        <v>1</v>
      </c>
      <c r="CI30" s="190">
        <v>2</v>
      </c>
      <c r="CJ30" s="190">
        <v>0</v>
      </c>
      <c r="CK30" s="190">
        <v>0</v>
      </c>
      <c r="CL30" s="190">
        <v>1</v>
      </c>
      <c r="CM30" s="190">
        <v>1</v>
      </c>
      <c r="CN30" s="190">
        <v>5</v>
      </c>
      <c r="CO30" s="190">
        <v>51</v>
      </c>
      <c r="CP30" s="190">
        <v>56</v>
      </c>
      <c r="CQ30" s="190">
        <v>0</v>
      </c>
      <c r="CR30" s="190">
        <v>1</v>
      </c>
      <c r="CS30" s="190">
        <v>1</v>
      </c>
      <c r="CT30" s="190">
        <v>67</v>
      </c>
      <c r="CU30" s="190">
        <v>421</v>
      </c>
      <c r="CV30" s="190">
        <v>488</v>
      </c>
      <c r="CW30" s="190">
        <v>1</v>
      </c>
      <c r="CX30" s="190">
        <v>15</v>
      </c>
      <c r="CY30" s="190">
        <v>16</v>
      </c>
      <c r="CZ30" s="190">
        <v>1</v>
      </c>
      <c r="DA30" s="190">
        <v>0</v>
      </c>
      <c r="DB30" s="190">
        <v>0</v>
      </c>
      <c r="DC30" s="190">
        <v>14</v>
      </c>
      <c r="DD30" s="190">
        <v>0</v>
      </c>
      <c r="DE30" s="190">
        <v>0</v>
      </c>
      <c r="DF30" s="190">
        <v>1</v>
      </c>
      <c r="DG30" s="190">
        <v>14</v>
      </c>
      <c r="DH30" s="190">
        <v>15</v>
      </c>
      <c r="DI30" s="190">
        <v>0</v>
      </c>
      <c r="DJ30" s="190">
        <v>0</v>
      </c>
      <c r="DK30" s="190">
        <v>0</v>
      </c>
      <c r="DL30" s="190">
        <v>1</v>
      </c>
      <c r="DM30" s="190">
        <v>0</v>
      </c>
      <c r="DN30" s="190">
        <v>0</v>
      </c>
      <c r="DO30" s="190">
        <v>0</v>
      </c>
      <c r="DP30" s="190">
        <v>1</v>
      </c>
      <c r="DQ30" s="190">
        <v>1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51</v>
      </c>
      <c r="C31" s="190">
        <v>15</v>
      </c>
      <c r="D31" s="190">
        <v>69</v>
      </c>
      <c r="E31" s="190">
        <v>47</v>
      </c>
      <c r="F31" s="190">
        <v>0</v>
      </c>
      <c r="G31" s="190">
        <v>1</v>
      </c>
      <c r="H31" s="190">
        <v>1</v>
      </c>
      <c r="I31" s="190">
        <v>0</v>
      </c>
      <c r="J31" s="190">
        <v>20</v>
      </c>
      <c r="K31" s="190">
        <v>20</v>
      </c>
      <c r="L31" s="190">
        <v>0</v>
      </c>
      <c r="M31" s="190">
        <v>6</v>
      </c>
      <c r="N31" s="190">
        <v>6</v>
      </c>
      <c r="O31" s="190">
        <v>0</v>
      </c>
      <c r="P31" s="190">
        <v>14</v>
      </c>
      <c r="Q31" s="190">
        <v>14</v>
      </c>
      <c r="R31" s="190">
        <v>0</v>
      </c>
      <c r="S31" s="190">
        <v>1</v>
      </c>
      <c r="T31" s="190">
        <v>1</v>
      </c>
      <c r="U31" s="190">
        <v>0</v>
      </c>
      <c r="V31" s="190">
        <v>2</v>
      </c>
      <c r="W31" s="190">
        <v>2</v>
      </c>
      <c r="X31" s="190">
        <v>0</v>
      </c>
      <c r="Y31" s="190">
        <v>69</v>
      </c>
      <c r="Z31" s="190">
        <v>69</v>
      </c>
      <c r="AA31" s="190">
        <v>0</v>
      </c>
      <c r="AB31" s="190">
        <v>31</v>
      </c>
      <c r="AC31" s="190">
        <v>31</v>
      </c>
      <c r="AD31" s="190">
        <v>0</v>
      </c>
      <c r="AE31" s="190">
        <v>27</v>
      </c>
      <c r="AF31" s="190">
        <v>27</v>
      </c>
      <c r="AG31" s="190">
        <v>0</v>
      </c>
      <c r="AH31" s="190">
        <v>2</v>
      </c>
      <c r="AI31" s="190">
        <v>2</v>
      </c>
      <c r="AJ31" s="190">
        <v>0</v>
      </c>
      <c r="AK31" s="190">
        <v>2</v>
      </c>
      <c r="AL31" s="190">
        <v>2</v>
      </c>
      <c r="AM31" s="190">
        <v>0</v>
      </c>
      <c r="AN31" s="190">
        <v>38</v>
      </c>
      <c r="AO31" s="190">
        <v>38</v>
      </c>
      <c r="AP31" s="190">
        <v>13</v>
      </c>
      <c r="AQ31" s="190">
        <v>405</v>
      </c>
      <c r="AR31" s="190">
        <v>418</v>
      </c>
      <c r="AS31" s="190">
        <v>13</v>
      </c>
      <c r="AT31" s="190">
        <v>405</v>
      </c>
      <c r="AU31" s="190">
        <v>418</v>
      </c>
      <c r="AV31" s="190">
        <v>0</v>
      </c>
      <c r="AW31" s="190">
        <v>0</v>
      </c>
      <c r="AX31" s="190">
        <v>0</v>
      </c>
      <c r="AY31" s="190">
        <v>0</v>
      </c>
      <c r="AZ31" s="190">
        <v>67</v>
      </c>
      <c r="BA31" s="190">
        <v>67</v>
      </c>
      <c r="BB31" s="190">
        <v>0</v>
      </c>
      <c r="BC31" s="190">
        <v>0</v>
      </c>
      <c r="BD31" s="190">
        <v>0</v>
      </c>
      <c r="BE31" s="190">
        <v>47</v>
      </c>
      <c r="BF31" s="190">
        <v>0</v>
      </c>
      <c r="BG31" s="190">
        <v>0</v>
      </c>
      <c r="BH31" s="190">
        <v>0</v>
      </c>
      <c r="BI31" s="190">
        <v>47</v>
      </c>
      <c r="BJ31" s="190">
        <v>47</v>
      </c>
      <c r="BK31" s="190">
        <v>0</v>
      </c>
      <c r="BL31" s="190">
        <v>0</v>
      </c>
      <c r="BM31" s="190">
        <v>0</v>
      </c>
      <c r="BN31" s="190">
        <v>0</v>
      </c>
      <c r="BO31" s="190">
        <v>1</v>
      </c>
      <c r="BP31" s="190">
        <v>1</v>
      </c>
      <c r="BQ31" s="190">
        <v>0</v>
      </c>
      <c r="BR31" s="190">
        <v>2</v>
      </c>
      <c r="BS31" s="190">
        <v>2</v>
      </c>
      <c r="BT31" s="190">
        <v>0</v>
      </c>
      <c r="BU31" s="190">
        <v>17</v>
      </c>
      <c r="BV31" s="190">
        <v>17</v>
      </c>
      <c r="BW31" s="190">
        <v>13</v>
      </c>
      <c r="BX31" s="190">
        <v>472</v>
      </c>
      <c r="BY31" s="190">
        <v>485</v>
      </c>
      <c r="BZ31" s="190">
        <v>13</v>
      </c>
      <c r="CA31" s="190">
        <v>469</v>
      </c>
      <c r="CB31" s="190">
        <v>482</v>
      </c>
      <c r="CC31" s="190">
        <v>810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1</v>
      </c>
      <c r="CO31" s="190">
        <v>43</v>
      </c>
      <c r="CP31" s="190">
        <v>44</v>
      </c>
      <c r="CQ31" s="190">
        <v>0</v>
      </c>
      <c r="CR31" s="190">
        <v>0</v>
      </c>
      <c r="CS31" s="190">
        <v>0</v>
      </c>
      <c r="CT31" s="190">
        <v>12</v>
      </c>
      <c r="CU31" s="190">
        <v>429</v>
      </c>
      <c r="CV31" s="190">
        <v>441</v>
      </c>
      <c r="CW31" s="190">
        <v>0</v>
      </c>
      <c r="CX31" s="190">
        <v>18</v>
      </c>
      <c r="CY31" s="190">
        <v>18</v>
      </c>
      <c r="CZ31" s="190">
        <v>0</v>
      </c>
      <c r="DA31" s="190">
        <v>0</v>
      </c>
      <c r="DB31" s="190">
        <v>0</v>
      </c>
      <c r="DC31" s="190">
        <v>16</v>
      </c>
      <c r="DD31" s="190">
        <v>2</v>
      </c>
      <c r="DE31" s="190">
        <v>0</v>
      </c>
      <c r="DF31" s="190">
        <v>0</v>
      </c>
      <c r="DG31" s="190">
        <v>18</v>
      </c>
      <c r="DH31" s="190">
        <v>18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3066</v>
      </c>
      <c r="C32" s="190">
        <v>418</v>
      </c>
      <c r="D32" s="190">
        <v>3461</v>
      </c>
      <c r="E32" s="190">
        <v>2464</v>
      </c>
      <c r="F32" s="190">
        <v>3</v>
      </c>
      <c r="G32" s="190">
        <v>46</v>
      </c>
      <c r="H32" s="190">
        <v>49</v>
      </c>
      <c r="I32" s="190">
        <v>0</v>
      </c>
      <c r="J32" s="190">
        <v>924</v>
      </c>
      <c r="K32" s="190">
        <v>924</v>
      </c>
      <c r="L32" s="190">
        <v>0</v>
      </c>
      <c r="M32" s="190">
        <v>595</v>
      </c>
      <c r="N32" s="190">
        <v>595</v>
      </c>
      <c r="O32" s="190">
        <v>0</v>
      </c>
      <c r="P32" s="190">
        <v>329</v>
      </c>
      <c r="Q32" s="190">
        <v>329</v>
      </c>
      <c r="R32" s="190">
        <v>0</v>
      </c>
      <c r="S32" s="190">
        <v>3</v>
      </c>
      <c r="T32" s="190">
        <v>3</v>
      </c>
      <c r="U32" s="190">
        <v>0</v>
      </c>
      <c r="V32" s="190">
        <v>73</v>
      </c>
      <c r="W32" s="190">
        <v>73</v>
      </c>
      <c r="X32" s="190">
        <v>58</v>
      </c>
      <c r="Y32" s="190">
        <v>3402</v>
      </c>
      <c r="Z32" s="190">
        <v>3460</v>
      </c>
      <c r="AA32" s="190">
        <v>30</v>
      </c>
      <c r="AB32" s="190">
        <v>993</v>
      </c>
      <c r="AC32" s="190">
        <v>1023</v>
      </c>
      <c r="AD32" s="190">
        <v>28</v>
      </c>
      <c r="AE32" s="190">
        <v>936</v>
      </c>
      <c r="AF32" s="190">
        <v>964</v>
      </c>
      <c r="AG32" s="190">
        <v>2</v>
      </c>
      <c r="AH32" s="190">
        <v>30</v>
      </c>
      <c r="AI32" s="190">
        <v>32</v>
      </c>
      <c r="AJ32" s="190">
        <v>0</v>
      </c>
      <c r="AK32" s="190">
        <v>27</v>
      </c>
      <c r="AL32" s="190">
        <v>27</v>
      </c>
      <c r="AM32" s="190">
        <v>28</v>
      </c>
      <c r="AN32" s="190">
        <v>2409</v>
      </c>
      <c r="AO32" s="190">
        <v>2437</v>
      </c>
      <c r="AP32" s="190">
        <v>2027</v>
      </c>
      <c r="AQ32" s="190">
        <v>16549</v>
      </c>
      <c r="AR32" s="190">
        <v>18576</v>
      </c>
      <c r="AS32" s="190">
        <v>2027</v>
      </c>
      <c r="AT32" s="190">
        <v>16549</v>
      </c>
      <c r="AU32" s="190">
        <v>18576</v>
      </c>
      <c r="AV32" s="190">
        <v>0</v>
      </c>
      <c r="AW32" s="190">
        <v>0</v>
      </c>
      <c r="AX32" s="190">
        <v>0</v>
      </c>
      <c r="AY32" s="190">
        <v>435</v>
      </c>
      <c r="AZ32" s="190">
        <v>3239</v>
      </c>
      <c r="BA32" s="190">
        <v>3674</v>
      </c>
      <c r="BB32" s="190">
        <v>208</v>
      </c>
      <c r="BC32" s="190">
        <v>0</v>
      </c>
      <c r="BD32" s="190">
        <v>0</v>
      </c>
      <c r="BE32" s="190">
        <v>2214</v>
      </c>
      <c r="BF32" s="190">
        <v>37</v>
      </c>
      <c r="BG32" s="190">
        <v>5</v>
      </c>
      <c r="BH32" s="190">
        <v>208</v>
      </c>
      <c r="BI32" s="190">
        <v>2256</v>
      </c>
      <c r="BJ32" s="190">
        <v>2464</v>
      </c>
      <c r="BK32" s="190">
        <v>141</v>
      </c>
      <c r="BL32" s="190">
        <v>-141</v>
      </c>
      <c r="BM32" s="190">
        <v>0</v>
      </c>
      <c r="BN32" s="190">
        <v>4</v>
      </c>
      <c r="BO32" s="190">
        <v>26</v>
      </c>
      <c r="BP32" s="190">
        <v>30</v>
      </c>
      <c r="BQ32" s="190">
        <v>15</v>
      </c>
      <c r="BR32" s="190">
        <v>105</v>
      </c>
      <c r="BS32" s="190">
        <v>120</v>
      </c>
      <c r="BT32" s="190">
        <v>67</v>
      </c>
      <c r="BU32" s="190">
        <v>993</v>
      </c>
      <c r="BV32" s="190">
        <v>1060</v>
      </c>
      <c r="BW32" s="190">
        <v>2462</v>
      </c>
      <c r="BX32" s="190">
        <v>19788</v>
      </c>
      <c r="BY32" s="190">
        <v>22250</v>
      </c>
      <c r="BZ32" s="190">
        <v>2440</v>
      </c>
      <c r="CA32" s="190">
        <v>19518</v>
      </c>
      <c r="CB32" s="190">
        <v>21958</v>
      </c>
      <c r="CC32" s="190">
        <v>49023</v>
      </c>
      <c r="CD32" s="190">
        <v>12</v>
      </c>
      <c r="CE32" s="190">
        <v>288</v>
      </c>
      <c r="CF32" s="190">
        <v>22</v>
      </c>
      <c r="CG32" s="190">
        <v>240</v>
      </c>
      <c r="CH32" s="190">
        <v>262</v>
      </c>
      <c r="CI32" s="190">
        <v>33</v>
      </c>
      <c r="CJ32" s="190">
        <v>7</v>
      </c>
      <c r="CK32" s="190">
        <v>0</v>
      </c>
      <c r="CL32" s="190">
        <v>30</v>
      </c>
      <c r="CM32" s="190">
        <v>30</v>
      </c>
      <c r="CN32" s="190">
        <v>103</v>
      </c>
      <c r="CO32" s="190">
        <v>1917</v>
      </c>
      <c r="CP32" s="190">
        <v>2020</v>
      </c>
      <c r="CQ32" s="190">
        <v>0</v>
      </c>
      <c r="CR32" s="190">
        <v>0</v>
      </c>
      <c r="CS32" s="190">
        <v>0</v>
      </c>
      <c r="CT32" s="190">
        <v>2359</v>
      </c>
      <c r="CU32" s="190">
        <v>17871</v>
      </c>
      <c r="CV32" s="190">
        <v>20230</v>
      </c>
      <c r="CW32" s="190">
        <v>139</v>
      </c>
      <c r="CX32" s="190">
        <v>932</v>
      </c>
      <c r="CY32" s="190">
        <v>1071</v>
      </c>
      <c r="CZ32" s="190">
        <v>137</v>
      </c>
      <c r="DA32" s="190">
        <v>2</v>
      </c>
      <c r="DB32" s="190">
        <v>0</v>
      </c>
      <c r="DC32" s="190">
        <v>919</v>
      </c>
      <c r="DD32" s="190">
        <v>10</v>
      </c>
      <c r="DE32" s="190">
        <v>0</v>
      </c>
      <c r="DF32" s="190">
        <v>139</v>
      </c>
      <c r="DG32" s="190">
        <v>929</v>
      </c>
      <c r="DH32" s="190">
        <v>1068</v>
      </c>
      <c r="DI32" s="190">
        <v>0</v>
      </c>
      <c r="DJ32" s="190">
        <v>0</v>
      </c>
      <c r="DK32" s="190">
        <v>0</v>
      </c>
      <c r="DL32" s="190">
        <v>3</v>
      </c>
      <c r="DM32" s="190">
        <v>0</v>
      </c>
      <c r="DN32" s="190">
        <v>0</v>
      </c>
      <c r="DO32" s="190">
        <v>0</v>
      </c>
      <c r="DP32" s="190">
        <v>3</v>
      </c>
      <c r="DQ32" s="190">
        <v>3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280</v>
      </c>
      <c r="C33" s="190">
        <v>57</v>
      </c>
      <c r="D33" s="190">
        <v>290</v>
      </c>
      <c r="E33" s="190">
        <v>165</v>
      </c>
      <c r="F33" s="190">
        <v>2</v>
      </c>
      <c r="G33" s="190">
        <v>3</v>
      </c>
      <c r="H33" s="190">
        <v>5</v>
      </c>
      <c r="I33" s="190">
        <v>0</v>
      </c>
      <c r="J33" s="190">
        <v>88</v>
      </c>
      <c r="K33" s="190">
        <v>88</v>
      </c>
      <c r="L33" s="190">
        <v>0</v>
      </c>
      <c r="M33" s="190">
        <v>30</v>
      </c>
      <c r="N33" s="190">
        <v>30</v>
      </c>
      <c r="O33" s="190">
        <v>0</v>
      </c>
      <c r="P33" s="190">
        <v>58</v>
      </c>
      <c r="Q33" s="190">
        <v>58</v>
      </c>
      <c r="R33" s="190">
        <v>0</v>
      </c>
      <c r="S33" s="190">
        <v>2</v>
      </c>
      <c r="T33" s="190">
        <v>2</v>
      </c>
      <c r="U33" s="190">
        <v>0</v>
      </c>
      <c r="V33" s="190">
        <v>37</v>
      </c>
      <c r="W33" s="190">
        <v>37</v>
      </c>
      <c r="X33" s="190">
        <v>2</v>
      </c>
      <c r="Y33" s="190">
        <v>288</v>
      </c>
      <c r="Z33" s="190">
        <v>290</v>
      </c>
      <c r="AA33" s="190">
        <v>2</v>
      </c>
      <c r="AB33" s="190">
        <v>101</v>
      </c>
      <c r="AC33" s="190">
        <v>103</v>
      </c>
      <c r="AD33" s="190">
        <v>2</v>
      </c>
      <c r="AE33" s="190">
        <v>83</v>
      </c>
      <c r="AF33" s="190">
        <v>85</v>
      </c>
      <c r="AG33" s="190">
        <v>0</v>
      </c>
      <c r="AH33" s="190">
        <v>6</v>
      </c>
      <c r="AI33" s="190">
        <v>6</v>
      </c>
      <c r="AJ33" s="190">
        <v>0</v>
      </c>
      <c r="AK33" s="190">
        <v>12</v>
      </c>
      <c r="AL33" s="190">
        <v>12</v>
      </c>
      <c r="AM33" s="190">
        <v>0</v>
      </c>
      <c r="AN33" s="190">
        <v>187</v>
      </c>
      <c r="AO33" s="190">
        <v>187</v>
      </c>
      <c r="AP33" s="190">
        <v>289</v>
      </c>
      <c r="AQ33" s="190">
        <v>2831</v>
      </c>
      <c r="AR33" s="190">
        <v>3120</v>
      </c>
      <c r="AS33" s="190">
        <v>289</v>
      </c>
      <c r="AT33" s="190">
        <v>2831</v>
      </c>
      <c r="AU33" s="190">
        <v>3120</v>
      </c>
      <c r="AV33" s="190">
        <v>0</v>
      </c>
      <c r="AW33" s="190">
        <v>0</v>
      </c>
      <c r="AX33" s="190">
        <v>0</v>
      </c>
      <c r="AY33" s="190">
        <v>18</v>
      </c>
      <c r="AZ33" s="190">
        <v>291</v>
      </c>
      <c r="BA33" s="190">
        <v>309</v>
      </c>
      <c r="BB33" s="190">
        <v>4</v>
      </c>
      <c r="BC33" s="190">
        <v>1</v>
      </c>
      <c r="BD33" s="190">
        <v>0</v>
      </c>
      <c r="BE33" s="190">
        <v>159</v>
      </c>
      <c r="BF33" s="190">
        <v>1</v>
      </c>
      <c r="BG33" s="190">
        <v>0</v>
      </c>
      <c r="BH33" s="190">
        <v>5</v>
      </c>
      <c r="BI33" s="190">
        <v>160</v>
      </c>
      <c r="BJ33" s="190">
        <v>165</v>
      </c>
      <c r="BK33" s="190">
        <v>2</v>
      </c>
      <c r="BL33" s="190">
        <v>-2</v>
      </c>
      <c r="BM33" s="190">
        <v>0</v>
      </c>
      <c r="BN33" s="190">
        <v>2</v>
      </c>
      <c r="BO33" s="190">
        <v>4</v>
      </c>
      <c r="BP33" s="190">
        <v>6</v>
      </c>
      <c r="BQ33" s="190">
        <v>1</v>
      </c>
      <c r="BR33" s="190">
        <v>17</v>
      </c>
      <c r="BS33" s="190">
        <v>18</v>
      </c>
      <c r="BT33" s="190">
        <v>8</v>
      </c>
      <c r="BU33" s="190">
        <v>112</v>
      </c>
      <c r="BV33" s="190">
        <v>120</v>
      </c>
      <c r="BW33" s="190">
        <v>307</v>
      </c>
      <c r="BX33" s="190">
        <v>3122</v>
      </c>
      <c r="BY33" s="190">
        <v>3429</v>
      </c>
      <c r="BZ33" s="190">
        <v>299</v>
      </c>
      <c r="CA33" s="190">
        <v>3068</v>
      </c>
      <c r="CB33" s="190">
        <v>3367</v>
      </c>
      <c r="CC33" s="190">
        <v>6915</v>
      </c>
      <c r="CD33" s="190">
        <v>2</v>
      </c>
      <c r="CE33" s="190">
        <v>60</v>
      </c>
      <c r="CF33" s="190">
        <v>8</v>
      </c>
      <c r="CG33" s="190">
        <v>49</v>
      </c>
      <c r="CH33" s="190">
        <v>57</v>
      </c>
      <c r="CI33" s="190">
        <v>5</v>
      </c>
      <c r="CJ33" s="190">
        <v>0</v>
      </c>
      <c r="CK33" s="190">
        <v>0</v>
      </c>
      <c r="CL33" s="190">
        <v>5</v>
      </c>
      <c r="CM33" s="190">
        <v>5</v>
      </c>
      <c r="CN33" s="190">
        <v>16</v>
      </c>
      <c r="CO33" s="190">
        <v>306</v>
      </c>
      <c r="CP33" s="190">
        <v>322</v>
      </c>
      <c r="CQ33" s="190">
        <v>0</v>
      </c>
      <c r="CR33" s="190">
        <v>0</v>
      </c>
      <c r="CS33" s="190">
        <v>0</v>
      </c>
      <c r="CT33" s="190">
        <v>291</v>
      </c>
      <c r="CU33" s="190">
        <v>2816</v>
      </c>
      <c r="CV33" s="190">
        <v>3107</v>
      </c>
      <c r="CW33" s="190">
        <v>23</v>
      </c>
      <c r="CX33" s="190">
        <v>181</v>
      </c>
      <c r="CY33" s="190">
        <v>204</v>
      </c>
      <c r="CZ33" s="190">
        <v>21</v>
      </c>
      <c r="DA33" s="190">
        <v>2</v>
      </c>
      <c r="DB33" s="190">
        <v>0</v>
      </c>
      <c r="DC33" s="190">
        <v>167</v>
      </c>
      <c r="DD33" s="190">
        <v>9</v>
      </c>
      <c r="DE33" s="190">
        <v>1</v>
      </c>
      <c r="DF33" s="190">
        <v>23</v>
      </c>
      <c r="DG33" s="190">
        <v>177</v>
      </c>
      <c r="DH33" s="190">
        <v>200</v>
      </c>
      <c r="DI33" s="190">
        <v>0</v>
      </c>
      <c r="DJ33" s="190">
        <v>0</v>
      </c>
      <c r="DK33" s="190">
        <v>0</v>
      </c>
      <c r="DL33" s="190">
        <v>4</v>
      </c>
      <c r="DM33" s="190">
        <v>0</v>
      </c>
      <c r="DN33" s="190">
        <v>0</v>
      </c>
      <c r="DO33" s="190">
        <v>0</v>
      </c>
      <c r="DP33" s="190">
        <v>4</v>
      </c>
      <c r="DQ33" s="190">
        <v>4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314</v>
      </c>
      <c r="C34" s="190">
        <v>85</v>
      </c>
      <c r="D34" s="190">
        <v>299</v>
      </c>
      <c r="E34" s="190">
        <v>190</v>
      </c>
      <c r="F34" s="190">
        <v>2</v>
      </c>
      <c r="G34" s="190">
        <v>21</v>
      </c>
      <c r="H34" s="190">
        <v>23</v>
      </c>
      <c r="I34" s="190">
        <v>0</v>
      </c>
      <c r="J34" s="190">
        <v>96</v>
      </c>
      <c r="K34" s="190">
        <v>96</v>
      </c>
      <c r="L34" s="190">
        <v>0</v>
      </c>
      <c r="M34" s="190">
        <v>47</v>
      </c>
      <c r="N34" s="190">
        <v>47</v>
      </c>
      <c r="O34" s="190">
        <v>0</v>
      </c>
      <c r="P34" s="190">
        <v>49</v>
      </c>
      <c r="Q34" s="190">
        <v>49</v>
      </c>
      <c r="R34" s="190">
        <v>0</v>
      </c>
      <c r="S34" s="190">
        <v>4</v>
      </c>
      <c r="T34" s="190">
        <v>4</v>
      </c>
      <c r="U34" s="190">
        <v>0</v>
      </c>
      <c r="V34" s="190">
        <v>13</v>
      </c>
      <c r="W34" s="190">
        <v>13</v>
      </c>
      <c r="X34" s="190">
        <v>2</v>
      </c>
      <c r="Y34" s="190">
        <v>297</v>
      </c>
      <c r="Z34" s="190">
        <v>299</v>
      </c>
      <c r="AA34" s="190">
        <v>1</v>
      </c>
      <c r="AB34" s="190">
        <v>135</v>
      </c>
      <c r="AC34" s="190">
        <v>136</v>
      </c>
      <c r="AD34" s="190">
        <v>1</v>
      </c>
      <c r="AE34" s="190">
        <v>100</v>
      </c>
      <c r="AF34" s="190">
        <v>101</v>
      </c>
      <c r="AG34" s="190">
        <v>0</v>
      </c>
      <c r="AH34" s="190">
        <v>13</v>
      </c>
      <c r="AI34" s="190">
        <v>13</v>
      </c>
      <c r="AJ34" s="190">
        <v>0</v>
      </c>
      <c r="AK34" s="190">
        <v>22</v>
      </c>
      <c r="AL34" s="190">
        <v>22</v>
      </c>
      <c r="AM34" s="190">
        <v>1</v>
      </c>
      <c r="AN34" s="190">
        <v>162</v>
      </c>
      <c r="AO34" s="190">
        <v>163</v>
      </c>
      <c r="AP34" s="190">
        <v>212</v>
      </c>
      <c r="AQ34" s="190">
        <v>3791</v>
      </c>
      <c r="AR34" s="190">
        <v>4003</v>
      </c>
      <c r="AS34" s="190">
        <v>212</v>
      </c>
      <c r="AT34" s="190">
        <v>3791</v>
      </c>
      <c r="AU34" s="190">
        <v>4003</v>
      </c>
      <c r="AV34" s="190">
        <v>0</v>
      </c>
      <c r="AW34" s="190">
        <v>0</v>
      </c>
      <c r="AX34" s="190">
        <v>0</v>
      </c>
      <c r="AY34" s="190">
        <v>29</v>
      </c>
      <c r="AZ34" s="190">
        <v>317</v>
      </c>
      <c r="BA34" s="190">
        <v>346</v>
      </c>
      <c r="BB34" s="190">
        <v>5</v>
      </c>
      <c r="BC34" s="190">
        <v>0</v>
      </c>
      <c r="BD34" s="190">
        <v>0</v>
      </c>
      <c r="BE34" s="190">
        <v>182</v>
      </c>
      <c r="BF34" s="190">
        <v>2</v>
      </c>
      <c r="BG34" s="190">
        <v>1</v>
      </c>
      <c r="BH34" s="190">
        <v>5</v>
      </c>
      <c r="BI34" s="190">
        <v>185</v>
      </c>
      <c r="BJ34" s="190">
        <v>190</v>
      </c>
      <c r="BK34" s="190">
        <v>9</v>
      </c>
      <c r="BL34" s="190">
        <v>-9</v>
      </c>
      <c r="BM34" s="190">
        <v>0</v>
      </c>
      <c r="BN34" s="190">
        <v>1</v>
      </c>
      <c r="BO34" s="190">
        <v>11</v>
      </c>
      <c r="BP34" s="190">
        <v>12</v>
      </c>
      <c r="BQ34" s="190">
        <v>0</v>
      </c>
      <c r="BR34" s="190">
        <v>29</v>
      </c>
      <c r="BS34" s="190">
        <v>29</v>
      </c>
      <c r="BT34" s="190">
        <v>14</v>
      </c>
      <c r="BU34" s="190">
        <v>101</v>
      </c>
      <c r="BV34" s="190">
        <v>115</v>
      </c>
      <c r="BW34" s="190">
        <v>241</v>
      </c>
      <c r="BX34" s="190">
        <v>4108</v>
      </c>
      <c r="BY34" s="190">
        <v>4349</v>
      </c>
      <c r="BZ34" s="190">
        <v>241</v>
      </c>
      <c r="CA34" s="190">
        <v>4099</v>
      </c>
      <c r="CB34" s="190">
        <v>4340</v>
      </c>
      <c r="CC34" s="190">
        <v>7492</v>
      </c>
      <c r="CD34" s="190">
        <v>0</v>
      </c>
      <c r="CE34" s="190">
        <v>8</v>
      </c>
      <c r="CF34" s="190">
        <v>0</v>
      </c>
      <c r="CG34" s="190">
        <v>7</v>
      </c>
      <c r="CH34" s="190">
        <v>7</v>
      </c>
      <c r="CI34" s="190">
        <v>2</v>
      </c>
      <c r="CJ34" s="190">
        <v>0</v>
      </c>
      <c r="CK34" s="190">
        <v>0</v>
      </c>
      <c r="CL34" s="190">
        <v>2</v>
      </c>
      <c r="CM34" s="190">
        <v>2</v>
      </c>
      <c r="CN34" s="190">
        <v>20</v>
      </c>
      <c r="CO34" s="190">
        <v>379</v>
      </c>
      <c r="CP34" s="190">
        <v>399</v>
      </c>
      <c r="CQ34" s="190">
        <v>0</v>
      </c>
      <c r="CR34" s="190">
        <v>0</v>
      </c>
      <c r="CS34" s="190">
        <v>0</v>
      </c>
      <c r="CT34" s="190">
        <v>221</v>
      </c>
      <c r="CU34" s="190">
        <v>3729</v>
      </c>
      <c r="CV34" s="190">
        <v>3950</v>
      </c>
      <c r="CW34" s="190">
        <v>16</v>
      </c>
      <c r="CX34" s="190">
        <v>170</v>
      </c>
      <c r="CY34" s="190">
        <v>186</v>
      </c>
      <c r="CZ34" s="190">
        <v>16</v>
      </c>
      <c r="DA34" s="190">
        <v>0</v>
      </c>
      <c r="DB34" s="190">
        <v>0</v>
      </c>
      <c r="DC34" s="190">
        <v>169</v>
      </c>
      <c r="DD34" s="190">
        <v>1</v>
      </c>
      <c r="DE34" s="190">
        <v>0</v>
      </c>
      <c r="DF34" s="190">
        <v>16</v>
      </c>
      <c r="DG34" s="190">
        <v>170</v>
      </c>
      <c r="DH34" s="190">
        <v>186</v>
      </c>
      <c r="DI34" s="190">
        <v>0</v>
      </c>
      <c r="DJ34" s="190">
        <v>0</v>
      </c>
      <c r="DK34" s="190">
        <v>0</v>
      </c>
      <c r="DL34" s="190">
        <v>0</v>
      </c>
      <c r="DM34" s="190">
        <v>0</v>
      </c>
      <c r="DN34" s="190">
        <v>0</v>
      </c>
      <c r="DO34" s="190">
        <v>0</v>
      </c>
      <c r="DP34" s="190">
        <v>0</v>
      </c>
      <c r="DQ34" s="190">
        <v>0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6609</v>
      </c>
      <c r="C35" s="190">
        <v>1468</v>
      </c>
      <c r="D35" s="190">
        <v>6579</v>
      </c>
      <c r="E35" s="190">
        <v>4549</v>
      </c>
      <c r="F35" s="190">
        <v>7</v>
      </c>
      <c r="G35" s="190">
        <v>57</v>
      </c>
      <c r="H35" s="190">
        <v>64</v>
      </c>
      <c r="I35" s="190">
        <v>8</v>
      </c>
      <c r="J35" s="190">
        <v>1755</v>
      </c>
      <c r="K35" s="190">
        <v>1763</v>
      </c>
      <c r="L35" s="190">
        <v>7</v>
      </c>
      <c r="M35" s="190">
        <v>832</v>
      </c>
      <c r="N35" s="190">
        <v>839</v>
      </c>
      <c r="O35" s="190">
        <v>1</v>
      </c>
      <c r="P35" s="190">
        <v>923</v>
      </c>
      <c r="Q35" s="190">
        <v>924</v>
      </c>
      <c r="R35" s="190">
        <v>6</v>
      </c>
      <c r="S35" s="190">
        <v>110</v>
      </c>
      <c r="T35" s="190">
        <v>116</v>
      </c>
      <c r="U35" s="190">
        <v>0</v>
      </c>
      <c r="V35" s="190">
        <v>267</v>
      </c>
      <c r="W35" s="190">
        <v>267</v>
      </c>
      <c r="X35" s="190">
        <v>90</v>
      </c>
      <c r="Y35" s="190">
        <v>4839</v>
      </c>
      <c r="Z35" s="190">
        <v>4929</v>
      </c>
      <c r="AA35" s="190">
        <v>52</v>
      </c>
      <c r="AB35" s="190">
        <v>1842</v>
      </c>
      <c r="AC35" s="190">
        <v>1894</v>
      </c>
      <c r="AD35" s="190">
        <v>51</v>
      </c>
      <c r="AE35" s="190">
        <v>1830</v>
      </c>
      <c r="AF35" s="190">
        <v>1881</v>
      </c>
      <c r="AG35" s="190">
        <v>1</v>
      </c>
      <c r="AH35" s="190">
        <v>9</v>
      </c>
      <c r="AI35" s="190">
        <v>10</v>
      </c>
      <c r="AJ35" s="190">
        <v>0</v>
      </c>
      <c r="AK35" s="190">
        <v>3</v>
      </c>
      <c r="AL35" s="190">
        <v>3</v>
      </c>
      <c r="AM35" s="190">
        <v>38</v>
      </c>
      <c r="AN35" s="190">
        <v>2997</v>
      </c>
      <c r="AO35" s="190">
        <v>3035</v>
      </c>
      <c r="AP35" s="190">
        <v>9869</v>
      </c>
      <c r="AQ35" s="190">
        <v>102181</v>
      </c>
      <c r="AR35" s="190">
        <v>112050</v>
      </c>
      <c r="AS35" s="190">
        <v>9951</v>
      </c>
      <c r="AT35" s="190">
        <v>102207</v>
      </c>
      <c r="AU35" s="190">
        <v>112158</v>
      </c>
      <c r="AV35" s="190">
        <v>-82</v>
      </c>
      <c r="AW35" s="190">
        <v>-26</v>
      </c>
      <c r="AX35" s="190">
        <v>-108</v>
      </c>
      <c r="AY35" s="190">
        <v>555</v>
      </c>
      <c r="AZ35" s="190">
        <v>8702</v>
      </c>
      <c r="BA35" s="190">
        <v>9257</v>
      </c>
      <c r="BB35" s="190">
        <v>227</v>
      </c>
      <c r="BC35" s="190">
        <v>10</v>
      </c>
      <c r="BD35" s="190">
        <v>0</v>
      </c>
      <c r="BE35" s="190">
        <v>4167</v>
      </c>
      <c r="BF35" s="190">
        <v>86</v>
      </c>
      <c r="BG35" s="190">
        <v>59</v>
      </c>
      <c r="BH35" s="190">
        <v>237</v>
      </c>
      <c r="BI35" s="190">
        <v>4312</v>
      </c>
      <c r="BJ35" s="190">
        <v>4549</v>
      </c>
      <c r="BK35" s="190">
        <v>-111</v>
      </c>
      <c r="BL35" s="190">
        <v>111</v>
      </c>
      <c r="BM35" s="190">
        <v>0</v>
      </c>
      <c r="BN35" s="190">
        <v>12</v>
      </c>
      <c r="BO35" s="190">
        <v>83</v>
      </c>
      <c r="BP35" s="190">
        <v>95</v>
      </c>
      <c r="BQ35" s="190">
        <v>63</v>
      </c>
      <c r="BR35" s="190">
        <v>838</v>
      </c>
      <c r="BS35" s="190">
        <v>901</v>
      </c>
      <c r="BT35" s="190">
        <v>354</v>
      </c>
      <c r="BU35" s="190">
        <v>3358</v>
      </c>
      <c r="BV35" s="190">
        <v>3712</v>
      </c>
      <c r="BW35" s="190">
        <v>10424</v>
      </c>
      <c r="BX35" s="190">
        <v>110883</v>
      </c>
      <c r="BY35" s="190">
        <v>121307</v>
      </c>
      <c r="BZ35" s="190">
        <v>10223</v>
      </c>
      <c r="CA35" s="190">
        <v>107650</v>
      </c>
      <c r="CB35" s="190">
        <v>117873</v>
      </c>
      <c r="CC35" s="190">
        <v>248331</v>
      </c>
      <c r="CD35" s="190">
        <v>270</v>
      </c>
      <c r="CE35" s="190">
        <v>2967</v>
      </c>
      <c r="CF35" s="190">
        <v>197</v>
      </c>
      <c r="CG35" s="190">
        <v>2086</v>
      </c>
      <c r="CH35" s="190">
        <v>2283</v>
      </c>
      <c r="CI35" s="190">
        <v>1600</v>
      </c>
      <c r="CJ35" s="190">
        <v>8</v>
      </c>
      <c r="CK35" s="190">
        <v>4</v>
      </c>
      <c r="CL35" s="190">
        <v>1147</v>
      </c>
      <c r="CM35" s="190">
        <v>1151</v>
      </c>
      <c r="CN35" s="190">
        <v>560</v>
      </c>
      <c r="CO35" s="190">
        <v>9990</v>
      </c>
      <c r="CP35" s="190">
        <v>10550</v>
      </c>
      <c r="CQ35" s="190">
        <v>0</v>
      </c>
      <c r="CR35" s="190">
        <v>9</v>
      </c>
      <c r="CS35" s="190">
        <v>9</v>
      </c>
      <c r="CT35" s="190">
        <v>9864</v>
      </c>
      <c r="CU35" s="190">
        <v>100893</v>
      </c>
      <c r="CV35" s="190">
        <v>110757</v>
      </c>
      <c r="CW35" s="190">
        <v>779</v>
      </c>
      <c r="CX35" s="190">
        <v>7131</v>
      </c>
      <c r="CY35" s="190">
        <v>7910</v>
      </c>
      <c r="CZ35" s="190">
        <v>757</v>
      </c>
      <c r="DA35" s="190">
        <v>12</v>
      </c>
      <c r="DB35" s="190">
        <v>0</v>
      </c>
      <c r="DC35" s="190">
        <v>5599</v>
      </c>
      <c r="DD35" s="190">
        <v>128</v>
      </c>
      <c r="DE35" s="190">
        <v>36</v>
      </c>
      <c r="DF35" s="190">
        <v>769</v>
      </c>
      <c r="DG35" s="190">
        <v>5763</v>
      </c>
      <c r="DH35" s="190">
        <v>6532</v>
      </c>
      <c r="DI35" s="190">
        <v>10</v>
      </c>
      <c r="DJ35" s="190">
        <v>0</v>
      </c>
      <c r="DK35" s="190">
        <v>0</v>
      </c>
      <c r="DL35" s="190">
        <v>1320</v>
      </c>
      <c r="DM35" s="190">
        <v>31</v>
      </c>
      <c r="DN35" s="190">
        <v>17</v>
      </c>
      <c r="DO35" s="190">
        <v>10</v>
      </c>
      <c r="DP35" s="190">
        <v>1368</v>
      </c>
      <c r="DQ35" s="190">
        <v>1378</v>
      </c>
      <c r="DR35" s="190">
        <v>3</v>
      </c>
      <c r="DS35" s="190">
        <v>62</v>
      </c>
      <c r="DT35" s="191">
        <v>65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510</v>
      </c>
      <c r="C36" s="190">
        <v>214</v>
      </c>
      <c r="D36" s="190">
        <v>494</v>
      </c>
      <c r="E36" s="190">
        <v>263</v>
      </c>
      <c r="F36" s="190">
        <v>0</v>
      </c>
      <c r="G36" s="190">
        <v>0</v>
      </c>
      <c r="H36" s="190">
        <v>0</v>
      </c>
      <c r="I36" s="190">
        <v>0</v>
      </c>
      <c r="J36" s="190">
        <v>206</v>
      </c>
      <c r="K36" s="190">
        <v>206</v>
      </c>
      <c r="L36" s="190">
        <v>0</v>
      </c>
      <c r="M36" s="190">
        <v>51</v>
      </c>
      <c r="N36" s="190">
        <v>51</v>
      </c>
      <c r="O36" s="190">
        <v>0</v>
      </c>
      <c r="P36" s="190">
        <v>155</v>
      </c>
      <c r="Q36" s="190">
        <v>155</v>
      </c>
      <c r="R36" s="190">
        <v>0</v>
      </c>
      <c r="S36" s="190">
        <v>9</v>
      </c>
      <c r="T36" s="190">
        <v>9</v>
      </c>
      <c r="U36" s="190">
        <v>0</v>
      </c>
      <c r="V36" s="190">
        <v>25</v>
      </c>
      <c r="W36" s="190">
        <v>25</v>
      </c>
      <c r="X36" s="190">
        <v>2</v>
      </c>
      <c r="Y36" s="190">
        <v>320</v>
      </c>
      <c r="Z36" s="190">
        <v>322</v>
      </c>
      <c r="AA36" s="190">
        <v>2</v>
      </c>
      <c r="AB36" s="190">
        <v>155</v>
      </c>
      <c r="AC36" s="190">
        <v>157</v>
      </c>
      <c r="AD36" s="190">
        <v>2</v>
      </c>
      <c r="AE36" s="190">
        <v>152</v>
      </c>
      <c r="AF36" s="190">
        <v>154</v>
      </c>
      <c r="AG36" s="190">
        <v>0</v>
      </c>
      <c r="AH36" s="190">
        <v>1</v>
      </c>
      <c r="AI36" s="190">
        <v>1</v>
      </c>
      <c r="AJ36" s="190">
        <v>0</v>
      </c>
      <c r="AK36" s="190">
        <v>2</v>
      </c>
      <c r="AL36" s="190">
        <v>2</v>
      </c>
      <c r="AM36" s="190">
        <v>0</v>
      </c>
      <c r="AN36" s="190">
        <v>165</v>
      </c>
      <c r="AO36" s="190">
        <v>165</v>
      </c>
      <c r="AP36" s="190">
        <v>624</v>
      </c>
      <c r="AQ36" s="190">
        <v>7820</v>
      </c>
      <c r="AR36" s="190">
        <v>8444</v>
      </c>
      <c r="AS36" s="190">
        <v>613</v>
      </c>
      <c r="AT36" s="190">
        <v>7612</v>
      </c>
      <c r="AU36" s="190">
        <v>8225</v>
      </c>
      <c r="AV36" s="190">
        <v>11</v>
      </c>
      <c r="AW36" s="190">
        <v>208</v>
      </c>
      <c r="AX36" s="190">
        <v>219</v>
      </c>
      <c r="AY36" s="190">
        <v>61</v>
      </c>
      <c r="AZ36" s="190">
        <v>576</v>
      </c>
      <c r="BA36" s="190">
        <v>637</v>
      </c>
      <c r="BB36" s="190">
        <v>18</v>
      </c>
      <c r="BC36" s="190">
        <v>0</v>
      </c>
      <c r="BD36" s="190">
        <v>0</v>
      </c>
      <c r="BE36" s="190">
        <v>243</v>
      </c>
      <c r="BF36" s="190">
        <v>1</v>
      </c>
      <c r="BG36" s="190">
        <v>1</v>
      </c>
      <c r="BH36" s="190">
        <v>18</v>
      </c>
      <c r="BI36" s="190">
        <v>245</v>
      </c>
      <c r="BJ36" s="190">
        <v>263</v>
      </c>
      <c r="BK36" s="190">
        <v>-10</v>
      </c>
      <c r="BL36" s="190">
        <v>10</v>
      </c>
      <c r="BM36" s="190">
        <v>0</v>
      </c>
      <c r="BN36" s="190">
        <v>8</v>
      </c>
      <c r="BO36" s="190">
        <v>47</v>
      </c>
      <c r="BP36" s="190">
        <v>55</v>
      </c>
      <c r="BQ36" s="190">
        <v>16</v>
      </c>
      <c r="BR36" s="190">
        <v>80</v>
      </c>
      <c r="BS36" s="190">
        <v>96</v>
      </c>
      <c r="BT36" s="190">
        <v>29</v>
      </c>
      <c r="BU36" s="190">
        <v>194</v>
      </c>
      <c r="BV36" s="190">
        <v>223</v>
      </c>
      <c r="BW36" s="190">
        <v>685</v>
      </c>
      <c r="BX36" s="190">
        <v>8396</v>
      </c>
      <c r="BY36" s="190">
        <v>9081</v>
      </c>
      <c r="BZ36" s="190">
        <v>675</v>
      </c>
      <c r="CA36" s="190">
        <v>8321</v>
      </c>
      <c r="CB36" s="190">
        <v>8996</v>
      </c>
      <c r="CC36" s="190">
        <v>16801</v>
      </c>
      <c r="CD36" s="190">
        <v>6</v>
      </c>
      <c r="CE36" s="190">
        <v>67</v>
      </c>
      <c r="CF36" s="190">
        <v>8</v>
      </c>
      <c r="CG36" s="190">
        <v>45</v>
      </c>
      <c r="CH36" s="190">
        <v>53</v>
      </c>
      <c r="CI36" s="190">
        <v>45</v>
      </c>
      <c r="CJ36" s="190">
        <v>9</v>
      </c>
      <c r="CK36" s="190">
        <v>2</v>
      </c>
      <c r="CL36" s="190">
        <v>30</v>
      </c>
      <c r="CM36" s="190">
        <v>32</v>
      </c>
      <c r="CN36" s="190">
        <v>53</v>
      </c>
      <c r="CO36" s="190">
        <v>931</v>
      </c>
      <c r="CP36" s="190">
        <v>984</v>
      </c>
      <c r="CQ36" s="190">
        <v>0</v>
      </c>
      <c r="CR36" s="190">
        <v>14</v>
      </c>
      <c r="CS36" s="190">
        <v>14</v>
      </c>
      <c r="CT36" s="190">
        <v>632</v>
      </c>
      <c r="CU36" s="190">
        <v>7465</v>
      </c>
      <c r="CV36" s="190">
        <v>8097</v>
      </c>
      <c r="CW36" s="190">
        <v>35</v>
      </c>
      <c r="CX36" s="190">
        <v>356</v>
      </c>
      <c r="CY36" s="190">
        <v>391</v>
      </c>
      <c r="CZ36" s="190">
        <v>34</v>
      </c>
      <c r="DA36" s="190">
        <v>1</v>
      </c>
      <c r="DB36" s="190">
        <v>0</v>
      </c>
      <c r="DC36" s="190">
        <v>341</v>
      </c>
      <c r="DD36" s="190">
        <v>3</v>
      </c>
      <c r="DE36" s="190">
        <v>2</v>
      </c>
      <c r="DF36" s="190">
        <v>35</v>
      </c>
      <c r="DG36" s="190">
        <v>346</v>
      </c>
      <c r="DH36" s="190">
        <v>381</v>
      </c>
      <c r="DI36" s="190">
        <v>0</v>
      </c>
      <c r="DJ36" s="190">
        <v>0</v>
      </c>
      <c r="DK36" s="190">
        <v>0</v>
      </c>
      <c r="DL36" s="190">
        <v>9</v>
      </c>
      <c r="DM36" s="190">
        <v>0</v>
      </c>
      <c r="DN36" s="190">
        <v>1</v>
      </c>
      <c r="DO36" s="190">
        <v>0</v>
      </c>
      <c r="DP36" s="190">
        <v>10</v>
      </c>
      <c r="DQ36" s="190">
        <v>10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103</v>
      </c>
      <c r="C37" s="190">
        <v>19</v>
      </c>
      <c r="D37" s="190">
        <v>102</v>
      </c>
      <c r="E37" s="190">
        <v>74</v>
      </c>
      <c r="F37" s="190">
        <v>0</v>
      </c>
      <c r="G37" s="190">
        <v>3</v>
      </c>
      <c r="H37" s="190">
        <v>3</v>
      </c>
      <c r="I37" s="190">
        <v>0</v>
      </c>
      <c r="J37" s="190">
        <v>24</v>
      </c>
      <c r="K37" s="190">
        <v>24</v>
      </c>
      <c r="L37" s="190">
        <v>0</v>
      </c>
      <c r="M37" s="190">
        <v>11</v>
      </c>
      <c r="N37" s="190">
        <v>11</v>
      </c>
      <c r="O37" s="190">
        <v>0</v>
      </c>
      <c r="P37" s="190">
        <v>13</v>
      </c>
      <c r="Q37" s="190">
        <v>13</v>
      </c>
      <c r="R37" s="190">
        <v>0</v>
      </c>
      <c r="S37" s="190">
        <v>2</v>
      </c>
      <c r="T37" s="190">
        <v>2</v>
      </c>
      <c r="U37" s="190">
        <v>0</v>
      </c>
      <c r="V37" s="190">
        <v>4</v>
      </c>
      <c r="W37" s="190">
        <v>4</v>
      </c>
      <c r="X37" s="190">
        <v>3</v>
      </c>
      <c r="Y37" s="190">
        <v>99</v>
      </c>
      <c r="Z37" s="190">
        <v>102</v>
      </c>
      <c r="AA37" s="190">
        <v>1</v>
      </c>
      <c r="AB37" s="190">
        <v>47</v>
      </c>
      <c r="AC37" s="190">
        <v>48</v>
      </c>
      <c r="AD37" s="190">
        <v>1</v>
      </c>
      <c r="AE37" s="190">
        <v>44</v>
      </c>
      <c r="AF37" s="190">
        <v>45</v>
      </c>
      <c r="AG37" s="190">
        <v>0</v>
      </c>
      <c r="AH37" s="190">
        <v>2</v>
      </c>
      <c r="AI37" s="190">
        <v>2</v>
      </c>
      <c r="AJ37" s="190">
        <v>0</v>
      </c>
      <c r="AK37" s="190">
        <v>1</v>
      </c>
      <c r="AL37" s="190">
        <v>1</v>
      </c>
      <c r="AM37" s="190">
        <v>2</v>
      </c>
      <c r="AN37" s="190">
        <v>52</v>
      </c>
      <c r="AO37" s="190">
        <v>54</v>
      </c>
      <c r="AP37" s="190">
        <v>77</v>
      </c>
      <c r="AQ37" s="190">
        <v>966</v>
      </c>
      <c r="AR37" s="190">
        <v>1043</v>
      </c>
      <c r="AS37" s="190">
        <v>77</v>
      </c>
      <c r="AT37" s="190">
        <v>966</v>
      </c>
      <c r="AU37" s="190">
        <v>1043</v>
      </c>
      <c r="AV37" s="190">
        <v>0</v>
      </c>
      <c r="AW37" s="190">
        <v>0</v>
      </c>
      <c r="AX37" s="190">
        <v>0</v>
      </c>
      <c r="AY37" s="190">
        <v>7</v>
      </c>
      <c r="AZ37" s="190">
        <v>119</v>
      </c>
      <c r="BA37" s="190">
        <v>126</v>
      </c>
      <c r="BB37" s="190">
        <v>3</v>
      </c>
      <c r="BC37" s="190">
        <v>0</v>
      </c>
      <c r="BD37" s="190">
        <v>0</v>
      </c>
      <c r="BE37" s="190">
        <v>71</v>
      </c>
      <c r="BF37" s="190">
        <v>0</v>
      </c>
      <c r="BG37" s="190">
        <v>0</v>
      </c>
      <c r="BH37" s="190">
        <v>3</v>
      </c>
      <c r="BI37" s="190">
        <v>71</v>
      </c>
      <c r="BJ37" s="190">
        <v>74</v>
      </c>
      <c r="BK37" s="190">
        <v>1</v>
      </c>
      <c r="BL37" s="190">
        <v>-1</v>
      </c>
      <c r="BM37" s="190">
        <v>0</v>
      </c>
      <c r="BN37" s="190">
        <v>0</v>
      </c>
      <c r="BO37" s="190">
        <v>1</v>
      </c>
      <c r="BP37" s="190">
        <v>1</v>
      </c>
      <c r="BQ37" s="190">
        <v>0</v>
      </c>
      <c r="BR37" s="190">
        <v>10</v>
      </c>
      <c r="BS37" s="190">
        <v>10</v>
      </c>
      <c r="BT37" s="190">
        <v>3</v>
      </c>
      <c r="BU37" s="190">
        <v>38</v>
      </c>
      <c r="BV37" s="190">
        <v>41</v>
      </c>
      <c r="BW37" s="190">
        <v>84</v>
      </c>
      <c r="BX37" s="190">
        <v>1085</v>
      </c>
      <c r="BY37" s="190">
        <v>1169</v>
      </c>
      <c r="BZ37" s="190">
        <v>84</v>
      </c>
      <c r="CA37" s="190">
        <v>1084</v>
      </c>
      <c r="CB37" s="190">
        <v>1168</v>
      </c>
      <c r="CC37" s="190">
        <v>2097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7</v>
      </c>
      <c r="CO37" s="190">
        <v>92</v>
      </c>
      <c r="CP37" s="190">
        <v>99</v>
      </c>
      <c r="CQ37" s="190">
        <v>0</v>
      </c>
      <c r="CR37" s="190">
        <v>0</v>
      </c>
      <c r="CS37" s="190">
        <v>0</v>
      </c>
      <c r="CT37" s="190">
        <v>77</v>
      </c>
      <c r="CU37" s="190">
        <v>993</v>
      </c>
      <c r="CV37" s="190">
        <v>1070</v>
      </c>
      <c r="CW37" s="190">
        <v>2</v>
      </c>
      <c r="CX37" s="190">
        <v>46</v>
      </c>
      <c r="CY37" s="190">
        <v>48</v>
      </c>
      <c r="CZ37" s="190">
        <v>2</v>
      </c>
      <c r="DA37" s="190">
        <v>0</v>
      </c>
      <c r="DB37" s="190">
        <v>0</v>
      </c>
      <c r="DC37" s="190">
        <v>45</v>
      </c>
      <c r="DD37" s="190">
        <v>0</v>
      </c>
      <c r="DE37" s="190">
        <v>0</v>
      </c>
      <c r="DF37" s="190">
        <v>2</v>
      </c>
      <c r="DG37" s="190">
        <v>45</v>
      </c>
      <c r="DH37" s="190">
        <v>47</v>
      </c>
      <c r="DI37" s="190">
        <v>0</v>
      </c>
      <c r="DJ37" s="190">
        <v>0</v>
      </c>
      <c r="DK37" s="190">
        <v>0</v>
      </c>
      <c r="DL37" s="190">
        <v>1</v>
      </c>
      <c r="DM37" s="190">
        <v>0</v>
      </c>
      <c r="DN37" s="190">
        <v>0</v>
      </c>
      <c r="DO37" s="190">
        <v>0</v>
      </c>
      <c r="DP37" s="190">
        <v>1</v>
      </c>
      <c r="DQ37" s="190">
        <v>1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8876</v>
      </c>
      <c r="C38" s="190">
        <v>2293</v>
      </c>
      <c r="D38" s="190">
        <v>9096</v>
      </c>
      <c r="E38" s="190">
        <v>5488</v>
      </c>
      <c r="F38" s="190">
        <v>1</v>
      </c>
      <c r="G38" s="190">
        <v>32</v>
      </c>
      <c r="H38" s="190">
        <v>33</v>
      </c>
      <c r="I38" s="190">
        <v>1</v>
      </c>
      <c r="J38" s="190">
        <v>3321</v>
      </c>
      <c r="K38" s="190">
        <v>3322</v>
      </c>
      <c r="L38" s="190">
        <v>1</v>
      </c>
      <c r="M38" s="190">
        <v>1384</v>
      </c>
      <c r="N38" s="190">
        <v>1385</v>
      </c>
      <c r="O38" s="190">
        <v>0</v>
      </c>
      <c r="P38" s="190">
        <v>1937</v>
      </c>
      <c r="Q38" s="190">
        <v>1937</v>
      </c>
      <c r="R38" s="190">
        <v>0</v>
      </c>
      <c r="S38" s="190">
        <v>13</v>
      </c>
      <c r="T38" s="190">
        <v>13</v>
      </c>
      <c r="U38" s="190">
        <v>0</v>
      </c>
      <c r="V38" s="190">
        <v>286</v>
      </c>
      <c r="W38" s="190">
        <v>286</v>
      </c>
      <c r="X38" s="190">
        <v>289</v>
      </c>
      <c r="Y38" s="190">
        <v>8803</v>
      </c>
      <c r="Z38" s="190">
        <v>9092</v>
      </c>
      <c r="AA38" s="190">
        <v>199</v>
      </c>
      <c r="AB38" s="190">
        <v>3688</v>
      </c>
      <c r="AC38" s="190">
        <v>3887</v>
      </c>
      <c r="AD38" s="190">
        <v>193</v>
      </c>
      <c r="AE38" s="190">
        <v>3436</v>
      </c>
      <c r="AF38" s="190">
        <v>3629</v>
      </c>
      <c r="AG38" s="190">
        <v>3</v>
      </c>
      <c r="AH38" s="190">
        <v>125</v>
      </c>
      <c r="AI38" s="190">
        <v>128</v>
      </c>
      <c r="AJ38" s="190">
        <v>3</v>
      </c>
      <c r="AK38" s="190">
        <v>127</v>
      </c>
      <c r="AL38" s="190">
        <v>130</v>
      </c>
      <c r="AM38" s="190">
        <v>90</v>
      </c>
      <c r="AN38" s="190">
        <v>5115</v>
      </c>
      <c r="AO38" s="190">
        <v>5205</v>
      </c>
      <c r="AP38" s="190">
        <v>14493</v>
      </c>
      <c r="AQ38" s="190">
        <v>103901</v>
      </c>
      <c r="AR38" s="190">
        <v>118394</v>
      </c>
      <c r="AS38" s="190">
        <v>14493</v>
      </c>
      <c r="AT38" s="190">
        <v>103902</v>
      </c>
      <c r="AU38" s="190">
        <v>118395</v>
      </c>
      <c r="AV38" s="190">
        <v>0</v>
      </c>
      <c r="AW38" s="190">
        <v>-1</v>
      </c>
      <c r="AX38" s="190">
        <v>-1</v>
      </c>
      <c r="AY38" s="190">
        <v>670</v>
      </c>
      <c r="AZ38" s="190">
        <v>9250</v>
      </c>
      <c r="BA38" s="190">
        <v>9920</v>
      </c>
      <c r="BB38" s="190">
        <v>335</v>
      </c>
      <c r="BC38" s="190">
        <v>2</v>
      </c>
      <c r="BD38" s="190">
        <v>0</v>
      </c>
      <c r="BE38" s="190">
        <v>5100</v>
      </c>
      <c r="BF38" s="190">
        <v>36</v>
      </c>
      <c r="BG38" s="190">
        <v>15</v>
      </c>
      <c r="BH38" s="190">
        <v>337</v>
      </c>
      <c r="BI38" s="190">
        <v>5151</v>
      </c>
      <c r="BJ38" s="190">
        <v>5488</v>
      </c>
      <c r="BK38" s="190">
        <v>-145</v>
      </c>
      <c r="BL38" s="190">
        <v>145</v>
      </c>
      <c r="BM38" s="190">
        <v>0</v>
      </c>
      <c r="BN38" s="190">
        <v>25</v>
      </c>
      <c r="BO38" s="190">
        <v>178</v>
      </c>
      <c r="BP38" s="190">
        <v>203</v>
      </c>
      <c r="BQ38" s="190">
        <v>115</v>
      </c>
      <c r="BR38" s="190">
        <v>1781</v>
      </c>
      <c r="BS38" s="190">
        <v>1896</v>
      </c>
      <c r="BT38" s="190">
        <v>338</v>
      </c>
      <c r="BU38" s="190">
        <v>1995</v>
      </c>
      <c r="BV38" s="190">
        <v>2333</v>
      </c>
      <c r="BW38" s="190">
        <v>15163</v>
      </c>
      <c r="BX38" s="190">
        <v>113151</v>
      </c>
      <c r="BY38" s="190">
        <v>128314</v>
      </c>
      <c r="BZ38" s="190">
        <v>15052</v>
      </c>
      <c r="CA38" s="190">
        <v>112112</v>
      </c>
      <c r="CB38" s="190">
        <v>127164</v>
      </c>
      <c r="CC38" s="190">
        <v>282998</v>
      </c>
      <c r="CD38" s="190">
        <v>121</v>
      </c>
      <c r="CE38" s="190">
        <v>955</v>
      </c>
      <c r="CF38" s="190">
        <v>101</v>
      </c>
      <c r="CG38" s="190">
        <v>855</v>
      </c>
      <c r="CH38" s="190">
        <v>956</v>
      </c>
      <c r="CI38" s="190">
        <v>223</v>
      </c>
      <c r="CJ38" s="190">
        <v>25</v>
      </c>
      <c r="CK38" s="190">
        <v>10</v>
      </c>
      <c r="CL38" s="190">
        <v>184</v>
      </c>
      <c r="CM38" s="190">
        <v>194</v>
      </c>
      <c r="CN38" s="190">
        <v>792</v>
      </c>
      <c r="CO38" s="190">
        <v>11136</v>
      </c>
      <c r="CP38" s="190">
        <v>11928</v>
      </c>
      <c r="CQ38" s="190">
        <v>1</v>
      </c>
      <c r="CR38" s="190">
        <v>100</v>
      </c>
      <c r="CS38" s="190">
        <v>101</v>
      </c>
      <c r="CT38" s="190">
        <v>14371</v>
      </c>
      <c r="CU38" s="190">
        <v>102015</v>
      </c>
      <c r="CV38" s="190">
        <v>116386</v>
      </c>
      <c r="CW38" s="190">
        <v>1000</v>
      </c>
      <c r="CX38" s="190">
        <v>4728</v>
      </c>
      <c r="CY38" s="190">
        <v>5728</v>
      </c>
      <c r="CZ38" s="190">
        <v>989</v>
      </c>
      <c r="DA38" s="190">
        <v>9</v>
      </c>
      <c r="DB38" s="190">
        <v>0</v>
      </c>
      <c r="DC38" s="190">
        <v>4638</v>
      </c>
      <c r="DD38" s="190">
        <v>43</v>
      </c>
      <c r="DE38" s="190">
        <v>6</v>
      </c>
      <c r="DF38" s="190">
        <v>998</v>
      </c>
      <c r="DG38" s="190">
        <v>4687</v>
      </c>
      <c r="DH38" s="190">
        <v>5685</v>
      </c>
      <c r="DI38" s="190">
        <v>2</v>
      </c>
      <c r="DJ38" s="190">
        <v>0</v>
      </c>
      <c r="DK38" s="190">
        <v>0</v>
      </c>
      <c r="DL38" s="190">
        <v>40</v>
      </c>
      <c r="DM38" s="190">
        <v>1</v>
      </c>
      <c r="DN38" s="190">
        <v>0</v>
      </c>
      <c r="DO38" s="190">
        <v>2</v>
      </c>
      <c r="DP38" s="190">
        <v>41</v>
      </c>
      <c r="DQ38" s="190">
        <v>43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7297</v>
      </c>
      <c r="C39" s="190">
        <v>1882</v>
      </c>
      <c r="D39" s="190">
        <v>6265</v>
      </c>
      <c r="E39" s="190">
        <v>4106</v>
      </c>
      <c r="F39" s="190">
        <v>3</v>
      </c>
      <c r="G39" s="190">
        <v>23</v>
      </c>
      <c r="H39" s="190">
        <v>26</v>
      </c>
      <c r="I39" s="190">
        <v>4</v>
      </c>
      <c r="J39" s="190">
        <v>2003</v>
      </c>
      <c r="K39" s="190">
        <v>2007</v>
      </c>
      <c r="L39" s="190">
        <v>0</v>
      </c>
      <c r="M39" s="190">
        <v>685</v>
      </c>
      <c r="N39" s="190">
        <v>685</v>
      </c>
      <c r="O39" s="190">
        <v>4</v>
      </c>
      <c r="P39" s="190">
        <v>1318</v>
      </c>
      <c r="Q39" s="190">
        <v>1322</v>
      </c>
      <c r="R39" s="190">
        <v>0</v>
      </c>
      <c r="S39" s="190">
        <v>61</v>
      </c>
      <c r="T39" s="190">
        <v>61</v>
      </c>
      <c r="U39" s="190">
        <v>0</v>
      </c>
      <c r="V39" s="190">
        <v>152</v>
      </c>
      <c r="W39" s="190">
        <v>152</v>
      </c>
      <c r="X39" s="190">
        <v>297</v>
      </c>
      <c r="Y39" s="190">
        <v>5968</v>
      </c>
      <c r="Z39" s="190">
        <v>6265</v>
      </c>
      <c r="AA39" s="190">
        <v>146</v>
      </c>
      <c r="AB39" s="190">
        <v>1576</v>
      </c>
      <c r="AC39" s="190">
        <v>1722</v>
      </c>
      <c r="AD39" s="190">
        <v>143</v>
      </c>
      <c r="AE39" s="190">
        <v>1556</v>
      </c>
      <c r="AF39" s="190">
        <v>1699</v>
      </c>
      <c r="AG39" s="190">
        <v>2</v>
      </c>
      <c r="AH39" s="190">
        <v>19</v>
      </c>
      <c r="AI39" s="190">
        <v>21</v>
      </c>
      <c r="AJ39" s="190">
        <v>1</v>
      </c>
      <c r="AK39" s="190">
        <v>1</v>
      </c>
      <c r="AL39" s="190">
        <v>2</v>
      </c>
      <c r="AM39" s="190">
        <v>151</v>
      </c>
      <c r="AN39" s="190">
        <v>4392</v>
      </c>
      <c r="AO39" s="190">
        <v>4543</v>
      </c>
      <c r="AP39" s="190">
        <v>13240</v>
      </c>
      <c r="AQ39" s="190">
        <v>78345</v>
      </c>
      <c r="AR39" s="190">
        <v>91585</v>
      </c>
      <c r="AS39" s="190">
        <v>13140</v>
      </c>
      <c r="AT39" s="190">
        <v>77715</v>
      </c>
      <c r="AU39" s="190">
        <v>90855</v>
      </c>
      <c r="AV39" s="190">
        <v>100</v>
      </c>
      <c r="AW39" s="190">
        <v>630</v>
      </c>
      <c r="AX39" s="190">
        <v>730</v>
      </c>
      <c r="AY39" s="190">
        <v>905</v>
      </c>
      <c r="AZ39" s="190">
        <v>7959</v>
      </c>
      <c r="BA39" s="190">
        <v>8864</v>
      </c>
      <c r="BB39" s="190">
        <v>422</v>
      </c>
      <c r="BC39" s="190">
        <v>23</v>
      </c>
      <c r="BD39" s="190">
        <v>1</v>
      </c>
      <c r="BE39" s="190">
        <v>3587</v>
      </c>
      <c r="BF39" s="190">
        <v>41</v>
      </c>
      <c r="BG39" s="190">
        <v>32</v>
      </c>
      <c r="BH39" s="190">
        <v>446</v>
      </c>
      <c r="BI39" s="190">
        <v>3660</v>
      </c>
      <c r="BJ39" s="190">
        <v>4106</v>
      </c>
      <c r="BK39" s="190">
        <v>-231</v>
      </c>
      <c r="BL39" s="190">
        <v>231</v>
      </c>
      <c r="BM39" s="190">
        <v>0</v>
      </c>
      <c r="BN39" s="190">
        <v>22</v>
      </c>
      <c r="BO39" s="190">
        <v>123</v>
      </c>
      <c r="BP39" s="190">
        <v>145</v>
      </c>
      <c r="BQ39" s="190">
        <v>72</v>
      </c>
      <c r="BR39" s="190">
        <v>683</v>
      </c>
      <c r="BS39" s="190">
        <v>755</v>
      </c>
      <c r="BT39" s="190">
        <v>596</v>
      </c>
      <c r="BU39" s="190">
        <v>3262</v>
      </c>
      <c r="BV39" s="190">
        <v>3858</v>
      </c>
      <c r="BW39" s="190">
        <v>14145</v>
      </c>
      <c r="BX39" s="190">
        <v>86304</v>
      </c>
      <c r="BY39" s="190">
        <v>100449</v>
      </c>
      <c r="BZ39" s="190">
        <v>13532</v>
      </c>
      <c r="CA39" s="190">
        <v>84321</v>
      </c>
      <c r="CB39" s="190">
        <v>97853</v>
      </c>
      <c r="CC39" s="190">
        <v>209859</v>
      </c>
      <c r="CD39" s="190">
        <v>140</v>
      </c>
      <c r="CE39" s="190">
        <v>2589</v>
      </c>
      <c r="CF39" s="190">
        <v>602</v>
      </c>
      <c r="CG39" s="190">
        <v>1304</v>
      </c>
      <c r="CH39" s="190">
        <v>1906</v>
      </c>
      <c r="CI39" s="190">
        <v>786</v>
      </c>
      <c r="CJ39" s="190">
        <v>27</v>
      </c>
      <c r="CK39" s="190">
        <v>11</v>
      </c>
      <c r="CL39" s="190">
        <v>679</v>
      </c>
      <c r="CM39" s="190">
        <v>690</v>
      </c>
      <c r="CN39" s="190">
        <v>913</v>
      </c>
      <c r="CO39" s="190">
        <v>9215</v>
      </c>
      <c r="CP39" s="190">
        <v>10128</v>
      </c>
      <c r="CQ39" s="190">
        <v>0</v>
      </c>
      <c r="CR39" s="190">
        <v>28</v>
      </c>
      <c r="CS39" s="190">
        <v>28</v>
      </c>
      <c r="CT39" s="190">
        <v>13232</v>
      </c>
      <c r="CU39" s="190">
        <v>77089</v>
      </c>
      <c r="CV39" s="190">
        <v>90321</v>
      </c>
      <c r="CW39" s="190">
        <v>929</v>
      </c>
      <c r="CX39" s="190">
        <v>4476</v>
      </c>
      <c r="CY39" s="190">
        <v>5405</v>
      </c>
      <c r="CZ39" s="190">
        <v>868</v>
      </c>
      <c r="DA39" s="190">
        <v>39</v>
      </c>
      <c r="DB39" s="190">
        <v>0</v>
      </c>
      <c r="DC39" s="190">
        <v>4066</v>
      </c>
      <c r="DD39" s="190">
        <v>84</v>
      </c>
      <c r="DE39" s="190">
        <v>19</v>
      </c>
      <c r="DF39" s="190">
        <v>907</v>
      </c>
      <c r="DG39" s="190">
        <v>4169</v>
      </c>
      <c r="DH39" s="190">
        <v>5076</v>
      </c>
      <c r="DI39" s="190">
        <v>22</v>
      </c>
      <c r="DJ39" s="190">
        <v>0</v>
      </c>
      <c r="DK39" s="190">
        <v>0</v>
      </c>
      <c r="DL39" s="190">
        <v>300</v>
      </c>
      <c r="DM39" s="190">
        <v>7</v>
      </c>
      <c r="DN39" s="190">
        <v>0</v>
      </c>
      <c r="DO39" s="190">
        <v>22</v>
      </c>
      <c r="DP39" s="190">
        <v>307</v>
      </c>
      <c r="DQ39" s="190">
        <v>329</v>
      </c>
      <c r="DR39" s="190">
        <v>2</v>
      </c>
      <c r="DS39" s="190">
        <v>21</v>
      </c>
      <c r="DT39" s="191">
        <v>23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166</v>
      </c>
      <c r="C40" s="190">
        <v>18</v>
      </c>
      <c r="D40" s="190">
        <v>185</v>
      </c>
      <c r="E40" s="190">
        <v>132</v>
      </c>
      <c r="F40" s="190">
        <v>0</v>
      </c>
      <c r="G40" s="190">
        <v>2</v>
      </c>
      <c r="H40" s="190">
        <v>2</v>
      </c>
      <c r="I40" s="190">
        <v>0</v>
      </c>
      <c r="J40" s="190">
        <v>49</v>
      </c>
      <c r="K40" s="190">
        <v>49</v>
      </c>
      <c r="L40" s="190">
        <v>0</v>
      </c>
      <c r="M40" s="190">
        <v>13</v>
      </c>
      <c r="N40" s="190">
        <v>13</v>
      </c>
      <c r="O40" s="190">
        <v>0</v>
      </c>
      <c r="P40" s="190">
        <v>36</v>
      </c>
      <c r="Q40" s="190">
        <v>36</v>
      </c>
      <c r="R40" s="190">
        <v>0</v>
      </c>
      <c r="S40" s="190">
        <v>1</v>
      </c>
      <c r="T40" s="190">
        <v>1</v>
      </c>
      <c r="U40" s="190">
        <v>0</v>
      </c>
      <c r="V40" s="190">
        <v>4</v>
      </c>
      <c r="W40" s="190">
        <v>4</v>
      </c>
      <c r="X40" s="190">
        <v>6</v>
      </c>
      <c r="Y40" s="190">
        <v>179</v>
      </c>
      <c r="Z40" s="190">
        <v>185</v>
      </c>
      <c r="AA40" s="190">
        <v>0</v>
      </c>
      <c r="AB40" s="190">
        <v>83</v>
      </c>
      <c r="AC40" s="190">
        <v>83</v>
      </c>
      <c r="AD40" s="190">
        <v>0</v>
      </c>
      <c r="AE40" s="190">
        <v>83</v>
      </c>
      <c r="AF40" s="190">
        <v>83</v>
      </c>
      <c r="AG40" s="190">
        <v>0</v>
      </c>
      <c r="AH40" s="190">
        <v>0</v>
      </c>
      <c r="AI40" s="190">
        <v>0</v>
      </c>
      <c r="AJ40" s="190">
        <v>0</v>
      </c>
      <c r="AK40" s="190">
        <v>0</v>
      </c>
      <c r="AL40" s="190">
        <v>0</v>
      </c>
      <c r="AM40" s="190">
        <v>6</v>
      </c>
      <c r="AN40" s="190">
        <v>96</v>
      </c>
      <c r="AO40" s="190">
        <v>102</v>
      </c>
      <c r="AP40" s="190">
        <v>232</v>
      </c>
      <c r="AQ40" s="190">
        <v>1942</v>
      </c>
      <c r="AR40" s="190">
        <v>2174</v>
      </c>
      <c r="AS40" s="190">
        <v>232</v>
      </c>
      <c r="AT40" s="190">
        <v>1943</v>
      </c>
      <c r="AU40" s="190">
        <v>2175</v>
      </c>
      <c r="AV40" s="190">
        <v>0</v>
      </c>
      <c r="AW40" s="190">
        <v>-1</v>
      </c>
      <c r="AX40" s="190">
        <v>-1</v>
      </c>
      <c r="AY40" s="190">
        <v>22</v>
      </c>
      <c r="AZ40" s="190">
        <v>220</v>
      </c>
      <c r="BA40" s="190">
        <v>242</v>
      </c>
      <c r="BB40" s="190">
        <v>13</v>
      </c>
      <c r="BC40" s="190">
        <v>0</v>
      </c>
      <c r="BD40" s="190">
        <v>0</v>
      </c>
      <c r="BE40" s="190">
        <v>118</v>
      </c>
      <c r="BF40" s="190">
        <v>0</v>
      </c>
      <c r="BG40" s="190">
        <v>1</v>
      </c>
      <c r="BH40" s="190">
        <v>13</v>
      </c>
      <c r="BI40" s="190">
        <v>119</v>
      </c>
      <c r="BJ40" s="190">
        <v>132</v>
      </c>
      <c r="BK40" s="190">
        <v>-3</v>
      </c>
      <c r="BL40" s="190">
        <v>3</v>
      </c>
      <c r="BM40" s="190">
        <v>0</v>
      </c>
      <c r="BN40" s="190">
        <v>5</v>
      </c>
      <c r="BO40" s="190">
        <v>3</v>
      </c>
      <c r="BP40" s="190">
        <v>8</v>
      </c>
      <c r="BQ40" s="190">
        <v>0</v>
      </c>
      <c r="BR40" s="190">
        <v>16</v>
      </c>
      <c r="BS40" s="190">
        <v>16</v>
      </c>
      <c r="BT40" s="190">
        <v>7</v>
      </c>
      <c r="BU40" s="190">
        <v>79</v>
      </c>
      <c r="BV40" s="190">
        <v>86</v>
      </c>
      <c r="BW40" s="190">
        <v>254</v>
      </c>
      <c r="BX40" s="190">
        <v>2162</v>
      </c>
      <c r="BY40" s="190">
        <v>2416</v>
      </c>
      <c r="BZ40" s="190">
        <v>253</v>
      </c>
      <c r="CA40" s="190">
        <v>2139</v>
      </c>
      <c r="CB40" s="190">
        <v>2392</v>
      </c>
      <c r="CC40" s="190">
        <v>5340</v>
      </c>
      <c r="CD40" s="190">
        <v>3</v>
      </c>
      <c r="CE40" s="190">
        <v>22</v>
      </c>
      <c r="CF40" s="190">
        <v>1</v>
      </c>
      <c r="CG40" s="190">
        <v>22</v>
      </c>
      <c r="CH40" s="190">
        <v>23</v>
      </c>
      <c r="CI40" s="190">
        <v>1</v>
      </c>
      <c r="CJ40" s="190">
        <v>0</v>
      </c>
      <c r="CK40" s="190">
        <v>0</v>
      </c>
      <c r="CL40" s="190">
        <v>1</v>
      </c>
      <c r="CM40" s="190">
        <v>1</v>
      </c>
      <c r="CN40" s="190">
        <v>18</v>
      </c>
      <c r="CO40" s="190">
        <v>251</v>
      </c>
      <c r="CP40" s="190">
        <v>269</v>
      </c>
      <c r="CQ40" s="190">
        <v>0</v>
      </c>
      <c r="CR40" s="190">
        <v>0</v>
      </c>
      <c r="CS40" s="190">
        <v>0</v>
      </c>
      <c r="CT40" s="190">
        <v>236</v>
      </c>
      <c r="CU40" s="190">
        <v>1911</v>
      </c>
      <c r="CV40" s="190">
        <v>2147</v>
      </c>
      <c r="CW40" s="190">
        <v>20</v>
      </c>
      <c r="CX40" s="190">
        <v>129</v>
      </c>
      <c r="CY40" s="190">
        <v>149</v>
      </c>
      <c r="CZ40" s="190">
        <v>20</v>
      </c>
      <c r="DA40" s="190">
        <v>0</v>
      </c>
      <c r="DB40" s="190">
        <v>0</v>
      </c>
      <c r="DC40" s="190">
        <v>125</v>
      </c>
      <c r="DD40" s="190">
        <v>1</v>
      </c>
      <c r="DE40" s="190">
        <v>0</v>
      </c>
      <c r="DF40" s="190">
        <v>20</v>
      </c>
      <c r="DG40" s="190">
        <v>126</v>
      </c>
      <c r="DH40" s="190">
        <v>146</v>
      </c>
      <c r="DI40" s="190">
        <v>0</v>
      </c>
      <c r="DJ40" s="190">
        <v>0</v>
      </c>
      <c r="DK40" s="190">
        <v>0</v>
      </c>
      <c r="DL40" s="190">
        <v>3</v>
      </c>
      <c r="DM40" s="190">
        <v>0</v>
      </c>
      <c r="DN40" s="190">
        <v>0</v>
      </c>
      <c r="DO40" s="190">
        <v>0</v>
      </c>
      <c r="DP40" s="190">
        <v>3</v>
      </c>
      <c r="DQ40" s="190">
        <v>3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10219</v>
      </c>
      <c r="C41" s="190">
        <v>2588</v>
      </c>
      <c r="D41" s="190">
        <v>10682</v>
      </c>
      <c r="E41" s="190">
        <v>7593</v>
      </c>
      <c r="F41" s="190">
        <v>4</v>
      </c>
      <c r="G41" s="190">
        <v>29</v>
      </c>
      <c r="H41" s="190">
        <v>33</v>
      </c>
      <c r="I41" s="190">
        <v>2</v>
      </c>
      <c r="J41" s="190">
        <v>2815</v>
      </c>
      <c r="K41" s="190">
        <v>2817</v>
      </c>
      <c r="L41" s="190">
        <v>2</v>
      </c>
      <c r="M41" s="190">
        <v>1289</v>
      </c>
      <c r="N41" s="190">
        <v>1291</v>
      </c>
      <c r="O41" s="190">
        <v>0</v>
      </c>
      <c r="P41" s="190">
        <v>1526</v>
      </c>
      <c r="Q41" s="190">
        <v>1526</v>
      </c>
      <c r="R41" s="190">
        <v>0</v>
      </c>
      <c r="S41" s="190">
        <v>23</v>
      </c>
      <c r="T41" s="190">
        <v>23</v>
      </c>
      <c r="U41" s="190">
        <v>0</v>
      </c>
      <c r="V41" s="190">
        <v>272</v>
      </c>
      <c r="W41" s="190">
        <v>272</v>
      </c>
      <c r="X41" s="190">
        <v>346</v>
      </c>
      <c r="Y41" s="190">
        <v>10333</v>
      </c>
      <c r="Z41" s="190">
        <v>10679</v>
      </c>
      <c r="AA41" s="190">
        <v>225</v>
      </c>
      <c r="AB41" s="190">
        <v>5007</v>
      </c>
      <c r="AC41" s="190">
        <v>5232</v>
      </c>
      <c r="AD41" s="190">
        <v>205</v>
      </c>
      <c r="AE41" s="190">
        <v>4818</v>
      </c>
      <c r="AF41" s="190">
        <v>5023</v>
      </c>
      <c r="AG41" s="190">
        <v>11</v>
      </c>
      <c r="AH41" s="190">
        <v>108</v>
      </c>
      <c r="AI41" s="190">
        <v>119</v>
      </c>
      <c r="AJ41" s="190">
        <v>9</v>
      </c>
      <c r="AK41" s="190">
        <v>81</v>
      </c>
      <c r="AL41" s="190">
        <v>90</v>
      </c>
      <c r="AM41" s="190">
        <v>121</v>
      </c>
      <c r="AN41" s="190">
        <v>5326</v>
      </c>
      <c r="AO41" s="190">
        <v>5447</v>
      </c>
      <c r="AP41" s="190">
        <v>23001</v>
      </c>
      <c r="AQ41" s="190">
        <v>139106</v>
      </c>
      <c r="AR41" s="190">
        <v>162107</v>
      </c>
      <c r="AS41" s="190">
        <v>23001</v>
      </c>
      <c r="AT41" s="190">
        <v>139110</v>
      </c>
      <c r="AU41" s="190">
        <v>162111</v>
      </c>
      <c r="AV41" s="190">
        <v>0</v>
      </c>
      <c r="AW41" s="190">
        <v>-4</v>
      </c>
      <c r="AX41" s="190">
        <v>-4</v>
      </c>
      <c r="AY41" s="190">
        <v>1496</v>
      </c>
      <c r="AZ41" s="190">
        <v>11406</v>
      </c>
      <c r="BA41" s="190">
        <v>12902</v>
      </c>
      <c r="BB41" s="190">
        <v>391</v>
      </c>
      <c r="BC41" s="190">
        <v>3</v>
      </c>
      <c r="BD41" s="190">
        <v>1</v>
      </c>
      <c r="BE41" s="190">
        <v>7136</v>
      </c>
      <c r="BF41" s="190">
        <v>43</v>
      </c>
      <c r="BG41" s="190">
        <v>19</v>
      </c>
      <c r="BH41" s="190">
        <v>395</v>
      </c>
      <c r="BI41" s="190">
        <v>7198</v>
      </c>
      <c r="BJ41" s="190">
        <v>7593</v>
      </c>
      <c r="BK41" s="190">
        <v>314</v>
      </c>
      <c r="BL41" s="190">
        <v>-314</v>
      </c>
      <c r="BM41" s="190">
        <v>0</v>
      </c>
      <c r="BN41" s="190">
        <v>54</v>
      </c>
      <c r="BO41" s="190">
        <v>169</v>
      </c>
      <c r="BP41" s="190">
        <v>223</v>
      </c>
      <c r="BQ41" s="190">
        <v>91</v>
      </c>
      <c r="BR41" s="190">
        <v>1285</v>
      </c>
      <c r="BS41" s="190">
        <v>1376</v>
      </c>
      <c r="BT41" s="190">
        <v>642</v>
      </c>
      <c r="BU41" s="190">
        <v>3068</v>
      </c>
      <c r="BV41" s="190">
        <v>3710</v>
      </c>
      <c r="BW41" s="190">
        <v>24497</v>
      </c>
      <c r="BX41" s="190">
        <v>150512</v>
      </c>
      <c r="BY41" s="190">
        <v>175009</v>
      </c>
      <c r="BZ41" s="190">
        <v>24333</v>
      </c>
      <c r="CA41" s="190">
        <v>149224</v>
      </c>
      <c r="CB41" s="190">
        <v>173557</v>
      </c>
      <c r="CC41" s="190">
        <v>379697</v>
      </c>
      <c r="CD41" s="190">
        <v>110</v>
      </c>
      <c r="CE41" s="190">
        <v>1161</v>
      </c>
      <c r="CF41" s="190">
        <v>155</v>
      </c>
      <c r="CG41" s="190">
        <v>919</v>
      </c>
      <c r="CH41" s="190">
        <v>1074</v>
      </c>
      <c r="CI41" s="190">
        <v>441</v>
      </c>
      <c r="CJ41" s="190">
        <v>52</v>
      </c>
      <c r="CK41" s="190">
        <v>9</v>
      </c>
      <c r="CL41" s="190">
        <v>369</v>
      </c>
      <c r="CM41" s="190">
        <v>378</v>
      </c>
      <c r="CN41" s="190">
        <v>1615</v>
      </c>
      <c r="CO41" s="190">
        <v>15187</v>
      </c>
      <c r="CP41" s="190">
        <v>16802</v>
      </c>
      <c r="CQ41" s="190">
        <v>1</v>
      </c>
      <c r="CR41" s="190">
        <v>38</v>
      </c>
      <c r="CS41" s="190">
        <v>39</v>
      </c>
      <c r="CT41" s="190">
        <v>22882</v>
      </c>
      <c r="CU41" s="190">
        <v>135325</v>
      </c>
      <c r="CV41" s="190">
        <v>158207</v>
      </c>
      <c r="CW41" s="190">
        <v>1400</v>
      </c>
      <c r="CX41" s="190">
        <v>5575</v>
      </c>
      <c r="CY41" s="190">
        <v>6975</v>
      </c>
      <c r="CZ41" s="190">
        <v>1388</v>
      </c>
      <c r="DA41" s="190">
        <v>9</v>
      </c>
      <c r="DB41" s="190">
        <v>0</v>
      </c>
      <c r="DC41" s="190">
        <v>5462</v>
      </c>
      <c r="DD41" s="190">
        <v>46</v>
      </c>
      <c r="DE41" s="190">
        <v>12</v>
      </c>
      <c r="DF41" s="190">
        <v>1397</v>
      </c>
      <c r="DG41" s="190">
        <v>5520</v>
      </c>
      <c r="DH41" s="190">
        <v>6917</v>
      </c>
      <c r="DI41" s="190">
        <v>3</v>
      </c>
      <c r="DJ41" s="190">
        <v>0</v>
      </c>
      <c r="DK41" s="190">
        <v>0</v>
      </c>
      <c r="DL41" s="190">
        <v>53</v>
      </c>
      <c r="DM41" s="190">
        <v>2</v>
      </c>
      <c r="DN41" s="190">
        <v>0</v>
      </c>
      <c r="DO41" s="190">
        <v>3</v>
      </c>
      <c r="DP41" s="190">
        <v>55</v>
      </c>
      <c r="DQ41" s="190">
        <v>58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10358</v>
      </c>
      <c r="C42" s="190">
        <v>3253</v>
      </c>
      <c r="D42" s="190">
        <v>10460</v>
      </c>
      <c r="E42" s="190">
        <v>6083</v>
      </c>
      <c r="F42" s="190">
        <v>2</v>
      </c>
      <c r="G42" s="190">
        <v>99</v>
      </c>
      <c r="H42" s="190">
        <v>101</v>
      </c>
      <c r="I42" s="190">
        <v>10</v>
      </c>
      <c r="J42" s="190">
        <v>3949</v>
      </c>
      <c r="K42" s="190">
        <v>3959</v>
      </c>
      <c r="L42" s="190">
        <v>10</v>
      </c>
      <c r="M42" s="190">
        <v>3941</v>
      </c>
      <c r="N42" s="190">
        <v>3951</v>
      </c>
      <c r="O42" s="190">
        <v>0</v>
      </c>
      <c r="P42" s="190">
        <v>8</v>
      </c>
      <c r="Q42" s="190">
        <v>8</v>
      </c>
      <c r="R42" s="190">
        <v>1</v>
      </c>
      <c r="S42" s="190">
        <v>339</v>
      </c>
      <c r="T42" s="190">
        <v>340</v>
      </c>
      <c r="U42" s="190">
        <v>0</v>
      </c>
      <c r="V42" s="190">
        <v>418</v>
      </c>
      <c r="W42" s="190">
        <v>418</v>
      </c>
      <c r="X42" s="190">
        <v>170</v>
      </c>
      <c r="Y42" s="190">
        <v>6828</v>
      </c>
      <c r="Z42" s="190">
        <v>6998</v>
      </c>
      <c r="AA42" s="190">
        <v>84</v>
      </c>
      <c r="AB42" s="190">
        <v>2450</v>
      </c>
      <c r="AC42" s="190">
        <v>2534</v>
      </c>
      <c r="AD42" s="190">
        <v>82</v>
      </c>
      <c r="AE42" s="190">
        <v>2419</v>
      </c>
      <c r="AF42" s="190">
        <v>2501</v>
      </c>
      <c r="AG42" s="190">
        <v>1</v>
      </c>
      <c r="AH42" s="190">
        <v>21</v>
      </c>
      <c r="AI42" s="190">
        <v>22</v>
      </c>
      <c r="AJ42" s="190">
        <v>1</v>
      </c>
      <c r="AK42" s="190">
        <v>10</v>
      </c>
      <c r="AL42" s="190">
        <v>11</v>
      </c>
      <c r="AM42" s="190">
        <v>86</v>
      </c>
      <c r="AN42" s="190">
        <v>4378</v>
      </c>
      <c r="AO42" s="190">
        <v>4464</v>
      </c>
      <c r="AP42" s="190">
        <v>12114</v>
      </c>
      <c r="AQ42" s="190">
        <v>115842</v>
      </c>
      <c r="AR42" s="190">
        <v>127956</v>
      </c>
      <c r="AS42" s="190">
        <v>12067</v>
      </c>
      <c r="AT42" s="190">
        <v>115036</v>
      </c>
      <c r="AU42" s="190">
        <v>127103</v>
      </c>
      <c r="AV42" s="190">
        <v>47</v>
      </c>
      <c r="AW42" s="190">
        <v>806</v>
      </c>
      <c r="AX42" s="190">
        <v>853</v>
      </c>
      <c r="AY42" s="190">
        <v>639</v>
      </c>
      <c r="AZ42" s="190">
        <v>10600</v>
      </c>
      <c r="BA42" s="190">
        <v>11239</v>
      </c>
      <c r="BB42" s="190">
        <v>233</v>
      </c>
      <c r="BC42" s="190">
        <v>7</v>
      </c>
      <c r="BD42" s="190">
        <v>0</v>
      </c>
      <c r="BE42" s="190">
        <v>5701</v>
      </c>
      <c r="BF42" s="190">
        <v>83</v>
      </c>
      <c r="BG42" s="190">
        <v>59</v>
      </c>
      <c r="BH42" s="190">
        <v>240</v>
      </c>
      <c r="BI42" s="190">
        <v>5843</v>
      </c>
      <c r="BJ42" s="190">
        <v>6083</v>
      </c>
      <c r="BK42" s="190">
        <v>-121</v>
      </c>
      <c r="BL42" s="190">
        <v>121</v>
      </c>
      <c r="BM42" s="190">
        <v>0</v>
      </c>
      <c r="BN42" s="190">
        <v>13</v>
      </c>
      <c r="BO42" s="190">
        <v>117</v>
      </c>
      <c r="BP42" s="190">
        <v>130</v>
      </c>
      <c r="BQ42" s="190">
        <v>13</v>
      </c>
      <c r="BR42" s="190">
        <v>275</v>
      </c>
      <c r="BS42" s="190">
        <v>288</v>
      </c>
      <c r="BT42" s="190">
        <v>494</v>
      </c>
      <c r="BU42" s="190">
        <v>4244</v>
      </c>
      <c r="BV42" s="190">
        <v>4738</v>
      </c>
      <c r="BW42" s="190">
        <v>12753</v>
      </c>
      <c r="BX42" s="190">
        <v>126442</v>
      </c>
      <c r="BY42" s="190">
        <v>139195</v>
      </c>
      <c r="BZ42" s="190">
        <v>12443</v>
      </c>
      <c r="CA42" s="190">
        <v>123914</v>
      </c>
      <c r="CB42" s="190">
        <v>136357</v>
      </c>
      <c r="CC42" s="190">
        <v>282075</v>
      </c>
      <c r="CD42" s="190">
        <v>268</v>
      </c>
      <c r="CE42" s="190">
        <v>2525</v>
      </c>
      <c r="CF42" s="190">
        <v>305</v>
      </c>
      <c r="CG42" s="190">
        <v>1764</v>
      </c>
      <c r="CH42" s="190">
        <v>2069</v>
      </c>
      <c r="CI42" s="190">
        <v>933</v>
      </c>
      <c r="CJ42" s="190">
        <v>54</v>
      </c>
      <c r="CK42" s="190">
        <v>5</v>
      </c>
      <c r="CL42" s="190">
        <v>764</v>
      </c>
      <c r="CM42" s="190">
        <v>769</v>
      </c>
      <c r="CN42" s="190">
        <v>833</v>
      </c>
      <c r="CO42" s="190">
        <v>12664</v>
      </c>
      <c r="CP42" s="190">
        <v>13497</v>
      </c>
      <c r="CQ42" s="190">
        <v>0</v>
      </c>
      <c r="CR42" s="190">
        <v>17</v>
      </c>
      <c r="CS42" s="190">
        <v>17</v>
      </c>
      <c r="CT42" s="190">
        <v>11920</v>
      </c>
      <c r="CU42" s="190">
        <v>113778</v>
      </c>
      <c r="CV42" s="190">
        <v>125698</v>
      </c>
      <c r="CW42" s="190">
        <v>852</v>
      </c>
      <c r="CX42" s="190">
        <v>6267</v>
      </c>
      <c r="CY42" s="190">
        <v>7119</v>
      </c>
      <c r="CZ42" s="190">
        <v>789</v>
      </c>
      <c r="DA42" s="190">
        <v>18</v>
      </c>
      <c r="DB42" s="190">
        <v>1</v>
      </c>
      <c r="DC42" s="190">
        <v>5484</v>
      </c>
      <c r="DD42" s="190">
        <v>95</v>
      </c>
      <c r="DE42" s="190">
        <v>32</v>
      </c>
      <c r="DF42" s="190">
        <v>808</v>
      </c>
      <c r="DG42" s="190">
        <v>5611</v>
      </c>
      <c r="DH42" s="190">
        <v>6419</v>
      </c>
      <c r="DI42" s="190">
        <v>44</v>
      </c>
      <c r="DJ42" s="190">
        <v>0</v>
      </c>
      <c r="DK42" s="190">
        <v>0</v>
      </c>
      <c r="DL42" s="190">
        <v>637</v>
      </c>
      <c r="DM42" s="190">
        <v>16</v>
      </c>
      <c r="DN42" s="190">
        <v>3</v>
      </c>
      <c r="DO42" s="190">
        <v>44</v>
      </c>
      <c r="DP42" s="190">
        <v>656</v>
      </c>
      <c r="DQ42" s="190">
        <v>700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2464</v>
      </c>
      <c r="C43" s="190">
        <v>700</v>
      </c>
      <c r="D43" s="190">
        <v>2013</v>
      </c>
      <c r="E43" s="190">
        <v>1335</v>
      </c>
      <c r="F43" s="190">
        <v>3</v>
      </c>
      <c r="G43" s="190">
        <v>21</v>
      </c>
      <c r="H43" s="190">
        <v>24</v>
      </c>
      <c r="I43" s="190">
        <v>0</v>
      </c>
      <c r="J43" s="190">
        <v>573</v>
      </c>
      <c r="K43" s="190">
        <v>573</v>
      </c>
      <c r="L43" s="190">
        <v>0</v>
      </c>
      <c r="M43" s="190">
        <v>190</v>
      </c>
      <c r="N43" s="190">
        <v>190</v>
      </c>
      <c r="O43" s="190">
        <v>0</v>
      </c>
      <c r="P43" s="190">
        <v>383</v>
      </c>
      <c r="Q43" s="190">
        <v>383</v>
      </c>
      <c r="R43" s="190">
        <v>0</v>
      </c>
      <c r="S43" s="190">
        <v>21</v>
      </c>
      <c r="T43" s="190">
        <v>21</v>
      </c>
      <c r="U43" s="190">
        <v>0</v>
      </c>
      <c r="V43" s="190">
        <v>105</v>
      </c>
      <c r="W43" s="190">
        <v>105</v>
      </c>
      <c r="X43" s="190">
        <v>36</v>
      </c>
      <c r="Y43" s="190">
        <v>1524</v>
      </c>
      <c r="Z43" s="190">
        <v>1560</v>
      </c>
      <c r="AA43" s="190">
        <v>18</v>
      </c>
      <c r="AB43" s="190">
        <v>683</v>
      </c>
      <c r="AC43" s="190">
        <v>701</v>
      </c>
      <c r="AD43" s="190">
        <v>14</v>
      </c>
      <c r="AE43" s="190">
        <v>647</v>
      </c>
      <c r="AF43" s="190">
        <v>661</v>
      </c>
      <c r="AG43" s="190">
        <v>3</v>
      </c>
      <c r="AH43" s="190">
        <v>25</v>
      </c>
      <c r="AI43" s="190">
        <v>28</v>
      </c>
      <c r="AJ43" s="190">
        <v>1</v>
      </c>
      <c r="AK43" s="190">
        <v>11</v>
      </c>
      <c r="AL43" s="190">
        <v>12</v>
      </c>
      <c r="AM43" s="190">
        <v>18</v>
      </c>
      <c r="AN43" s="190">
        <v>841</v>
      </c>
      <c r="AO43" s="190">
        <v>859</v>
      </c>
      <c r="AP43" s="190">
        <v>2114</v>
      </c>
      <c r="AQ43" s="190">
        <v>29566</v>
      </c>
      <c r="AR43" s="190">
        <v>31680</v>
      </c>
      <c r="AS43" s="190">
        <v>2088</v>
      </c>
      <c r="AT43" s="190">
        <v>29500</v>
      </c>
      <c r="AU43" s="190">
        <v>31588</v>
      </c>
      <c r="AV43" s="190">
        <v>26</v>
      </c>
      <c r="AW43" s="190">
        <v>66</v>
      </c>
      <c r="AX43" s="190">
        <v>92</v>
      </c>
      <c r="AY43" s="190">
        <v>67</v>
      </c>
      <c r="AZ43" s="190">
        <v>2536</v>
      </c>
      <c r="BA43" s="190">
        <v>2603</v>
      </c>
      <c r="BB43" s="190">
        <v>57</v>
      </c>
      <c r="BC43" s="190">
        <v>1</v>
      </c>
      <c r="BD43" s="190">
        <v>0</v>
      </c>
      <c r="BE43" s="190">
        <v>1194</v>
      </c>
      <c r="BF43" s="190">
        <v>32</v>
      </c>
      <c r="BG43" s="190">
        <v>51</v>
      </c>
      <c r="BH43" s="190">
        <v>58</v>
      </c>
      <c r="BI43" s="190">
        <v>1277</v>
      </c>
      <c r="BJ43" s="190">
        <v>1335</v>
      </c>
      <c r="BK43" s="190">
        <v>-99</v>
      </c>
      <c r="BL43" s="190">
        <v>99</v>
      </c>
      <c r="BM43" s="190">
        <v>0</v>
      </c>
      <c r="BN43" s="190">
        <v>8</v>
      </c>
      <c r="BO43" s="190">
        <v>47</v>
      </c>
      <c r="BP43" s="190">
        <v>55</v>
      </c>
      <c r="BQ43" s="190">
        <v>13</v>
      </c>
      <c r="BR43" s="190">
        <v>251</v>
      </c>
      <c r="BS43" s="190">
        <v>264</v>
      </c>
      <c r="BT43" s="190">
        <v>87</v>
      </c>
      <c r="BU43" s="190">
        <v>862</v>
      </c>
      <c r="BV43" s="190">
        <v>949</v>
      </c>
      <c r="BW43" s="190">
        <v>2181</v>
      </c>
      <c r="BX43" s="190">
        <v>32102</v>
      </c>
      <c r="BY43" s="190">
        <v>34283</v>
      </c>
      <c r="BZ43" s="190">
        <v>2046</v>
      </c>
      <c r="CA43" s="190">
        <v>30331</v>
      </c>
      <c r="CB43" s="190">
        <v>32377</v>
      </c>
      <c r="CC43" s="190">
        <v>50986</v>
      </c>
      <c r="CD43" s="190">
        <v>97</v>
      </c>
      <c r="CE43" s="190">
        <v>1229</v>
      </c>
      <c r="CF43" s="190">
        <v>126</v>
      </c>
      <c r="CG43" s="190">
        <v>836</v>
      </c>
      <c r="CH43" s="190">
        <v>962</v>
      </c>
      <c r="CI43" s="190">
        <v>1255</v>
      </c>
      <c r="CJ43" s="190">
        <v>55</v>
      </c>
      <c r="CK43" s="190">
        <v>9</v>
      </c>
      <c r="CL43" s="190">
        <v>935</v>
      </c>
      <c r="CM43" s="190">
        <v>944</v>
      </c>
      <c r="CN43" s="190">
        <v>158</v>
      </c>
      <c r="CO43" s="190">
        <v>2979</v>
      </c>
      <c r="CP43" s="190">
        <v>3137</v>
      </c>
      <c r="CQ43" s="190">
        <v>0</v>
      </c>
      <c r="CR43" s="190">
        <v>3</v>
      </c>
      <c r="CS43" s="190">
        <v>3</v>
      </c>
      <c r="CT43" s="190">
        <v>2023</v>
      </c>
      <c r="CU43" s="190">
        <v>29123</v>
      </c>
      <c r="CV43" s="190">
        <v>31146</v>
      </c>
      <c r="CW43" s="190">
        <v>149</v>
      </c>
      <c r="CX43" s="190">
        <v>1209</v>
      </c>
      <c r="CY43" s="190">
        <v>1358</v>
      </c>
      <c r="CZ43" s="190">
        <v>140</v>
      </c>
      <c r="DA43" s="190">
        <v>9</v>
      </c>
      <c r="DB43" s="190">
        <v>0</v>
      </c>
      <c r="DC43" s="190">
        <v>1108</v>
      </c>
      <c r="DD43" s="190">
        <v>43</v>
      </c>
      <c r="DE43" s="190">
        <v>18</v>
      </c>
      <c r="DF43" s="190">
        <v>149</v>
      </c>
      <c r="DG43" s="190">
        <v>1169</v>
      </c>
      <c r="DH43" s="190">
        <v>1318</v>
      </c>
      <c r="DI43" s="190">
        <v>0</v>
      </c>
      <c r="DJ43" s="190">
        <v>0</v>
      </c>
      <c r="DK43" s="190">
        <v>0</v>
      </c>
      <c r="DL43" s="190">
        <v>35</v>
      </c>
      <c r="DM43" s="190">
        <v>4</v>
      </c>
      <c r="DN43" s="190">
        <v>1</v>
      </c>
      <c r="DO43" s="190">
        <v>0</v>
      </c>
      <c r="DP43" s="190">
        <v>40</v>
      </c>
      <c r="DQ43" s="190">
        <v>40</v>
      </c>
      <c r="DR43" s="190">
        <v>2</v>
      </c>
      <c r="DS43" s="190">
        <v>8</v>
      </c>
      <c r="DT43" s="191">
        <v>10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3036</v>
      </c>
      <c r="C44" s="190">
        <v>1056</v>
      </c>
      <c r="D44" s="190">
        <v>3065</v>
      </c>
      <c r="E44" s="190">
        <v>2082</v>
      </c>
      <c r="F44" s="190">
        <v>5</v>
      </c>
      <c r="G44" s="190">
        <v>43</v>
      </c>
      <c r="H44" s="190">
        <v>48</v>
      </c>
      <c r="I44" s="190">
        <v>1</v>
      </c>
      <c r="J44" s="190">
        <v>850</v>
      </c>
      <c r="K44" s="190">
        <v>851</v>
      </c>
      <c r="L44" s="190">
        <v>1</v>
      </c>
      <c r="M44" s="190">
        <v>407</v>
      </c>
      <c r="N44" s="190">
        <v>408</v>
      </c>
      <c r="O44" s="190">
        <v>0</v>
      </c>
      <c r="P44" s="190">
        <v>443</v>
      </c>
      <c r="Q44" s="190">
        <v>443</v>
      </c>
      <c r="R44" s="190">
        <v>0</v>
      </c>
      <c r="S44" s="190">
        <v>19</v>
      </c>
      <c r="T44" s="190">
        <v>19</v>
      </c>
      <c r="U44" s="190">
        <v>0</v>
      </c>
      <c r="V44" s="190">
        <v>132</v>
      </c>
      <c r="W44" s="190">
        <v>132</v>
      </c>
      <c r="X44" s="190">
        <v>109</v>
      </c>
      <c r="Y44" s="190">
        <v>2953</v>
      </c>
      <c r="Z44" s="190">
        <v>3062</v>
      </c>
      <c r="AA44" s="190">
        <v>68</v>
      </c>
      <c r="AB44" s="190">
        <v>1236</v>
      </c>
      <c r="AC44" s="190">
        <v>1304</v>
      </c>
      <c r="AD44" s="190">
        <v>62</v>
      </c>
      <c r="AE44" s="190">
        <v>1137</v>
      </c>
      <c r="AF44" s="190">
        <v>1199</v>
      </c>
      <c r="AG44" s="190">
        <v>4</v>
      </c>
      <c r="AH44" s="190">
        <v>42</v>
      </c>
      <c r="AI44" s="190">
        <v>46</v>
      </c>
      <c r="AJ44" s="190">
        <v>2</v>
      </c>
      <c r="AK44" s="190">
        <v>57</v>
      </c>
      <c r="AL44" s="190">
        <v>59</v>
      </c>
      <c r="AM44" s="190">
        <v>41</v>
      </c>
      <c r="AN44" s="190">
        <v>1717</v>
      </c>
      <c r="AO44" s="190">
        <v>1758</v>
      </c>
      <c r="AP44" s="190">
        <v>6539</v>
      </c>
      <c r="AQ44" s="190">
        <v>39967</v>
      </c>
      <c r="AR44" s="190">
        <v>46506</v>
      </c>
      <c r="AS44" s="190">
        <v>6540</v>
      </c>
      <c r="AT44" s="190">
        <v>39967</v>
      </c>
      <c r="AU44" s="190">
        <v>46507</v>
      </c>
      <c r="AV44" s="190">
        <v>-1</v>
      </c>
      <c r="AW44" s="190">
        <v>0</v>
      </c>
      <c r="AX44" s="190">
        <v>-1</v>
      </c>
      <c r="AY44" s="190">
        <v>370</v>
      </c>
      <c r="AZ44" s="190">
        <v>3585</v>
      </c>
      <c r="BA44" s="190">
        <v>3955</v>
      </c>
      <c r="BB44" s="190">
        <v>142</v>
      </c>
      <c r="BC44" s="190">
        <v>2</v>
      </c>
      <c r="BD44" s="190">
        <v>0</v>
      </c>
      <c r="BE44" s="190">
        <v>1904</v>
      </c>
      <c r="BF44" s="190">
        <v>30</v>
      </c>
      <c r="BG44" s="190">
        <v>4</v>
      </c>
      <c r="BH44" s="190">
        <v>144</v>
      </c>
      <c r="BI44" s="190">
        <v>1938</v>
      </c>
      <c r="BJ44" s="190">
        <v>2082</v>
      </c>
      <c r="BK44" s="190">
        <v>-30</v>
      </c>
      <c r="BL44" s="190">
        <v>30</v>
      </c>
      <c r="BM44" s="190">
        <v>0</v>
      </c>
      <c r="BN44" s="190">
        <v>22</v>
      </c>
      <c r="BO44" s="190">
        <v>93</v>
      </c>
      <c r="BP44" s="190">
        <v>115</v>
      </c>
      <c r="BQ44" s="190">
        <v>70</v>
      </c>
      <c r="BR44" s="190">
        <v>580</v>
      </c>
      <c r="BS44" s="190">
        <v>650</v>
      </c>
      <c r="BT44" s="190">
        <v>164</v>
      </c>
      <c r="BU44" s="190">
        <v>944</v>
      </c>
      <c r="BV44" s="190">
        <v>1108</v>
      </c>
      <c r="BW44" s="190">
        <v>6909</v>
      </c>
      <c r="BX44" s="190">
        <v>43552</v>
      </c>
      <c r="BY44" s="190">
        <v>50461</v>
      </c>
      <c r="BZ44" s="190">
        <v>6855</v>
      </c>
      <c r="CA44" s="190">
        <v>42930</v>
      </c>
      <c r="CB44" s="190">
        <v>49785</v>
      </c>
      <c r="CC44" s="190">
        <v>112198</v>
      </c>
      <c r="CD44" s="190">
        <v>47</v>
      </c>
      <c r="CE44" s="190">
        <v>593</v>
      </c>
      <c r="CF44" s="190">
        <v>53</v>
      </c>
      <c r="CG44" s="190">
        <v>467</v>
      </c>
      <c r="CH44" s="190">
        <v>520</v>
      </c>
      <c r="CI44" s="190">
        <v>201</v>
      </c>
      <c r="CJ44" s="190">
        <v>16</v>
      </c>
      <c r="CK44" s="190">
        <v>1</v>
      </c>
      <c r="CL44" s="190">
        <v>155</v>
      </c>
      <c r="CM44" s="190">
        <v>156</v>
      </c>
      <c r="CN44" s="190">
        <v>373</v>
      </c>
      <c r="CO44" s="190">
        <v>3795</v>
      </c>
      <c r="CP44" s="190">
        <v>4168</v>
      </c>
      <c r="CQ44" s="190">
        <v>0</v>
      </c>
      <c r="CR44" s="190">
        <v>2</v>
      </c>
      <c r="CS44" s="190">
        <v>2</v>
      </c>
      <c r="CT44" s="190">
        <v>6536</v>
      </c>
      <c r="CU44" s="190">
        <v>39757</v>
      </c>
      <c r="CV44" s="190">
        <v>46293</v>
      </c>
      <c r="CW44" s="190">
        <v>423</v>
      </c>
      <c r="CX44" s="190">
        <v>2239</v>
      </c>
      <c r="CY44" s="190">
        <v>2662</v>
      </c>
      <c r="CZ44" s="190">
        <v>416</v>
      </c>
      <c r="DA44" s="190">
        <v>5</v>
      </c>
      <c r="DB44" s="190">
        <v>0</v>
      </c>
      <c r="DC44" s="190">
        <v>2190</v>
      </c>
      <c r="DD44" s="190">
        <v>17</v>
      </c>
      <c r="DE44" s="190">
        <v>6</v>
      </c>
      <c r="DF44" s="190">
        <v>421</v>
      </c>
      <c r="DG44" s="190">
        <v>2213</v>
      </c>
      <c r="DH44" s="190">
        <v>2634</v>
      </c>
      <c r="DI44" s="190">
        <v>2</v>
      </c>
      <c r="DJ44" s="190">
        <v>0</v>
      </c>
      <c r="DK44" s="190">
        <v>0</v>
      </c>
      <c r="DL44" s="190">
        <v>25</v>
      </c>
      <c r="DM44" s="190">
        <v>1</v>
      </c>
      <c r="DN44" s="190">
        <v>0</v>
      </c>
      <c r="DO44" s="190">
        <v>2</v>
      </c>
      <c r="DP44" s="190">
        <v>26</v>
      </c>
      <c r="DQ44" s="190">
        <v>28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712</v>
      </c>
      <c r="C45" s="190">
        <v>157</v>
      </c>
      <c r="D45" s="190">
        <v>743</v>
      </c>
      <c r="E45" s="190">
        <v>446</v>
      </c>
      <c r="F45" s="190">
        <v>4</v>
      </c>
      <c r="G45" s="190">
        <v>4</v>
      </c>
      <c r="H45" s="190">
        <v>8</v>
      </c>
      <c r="I45" s="190">
        <v>1</v>
      </c>
      <c r="J45" s="190">
        <v>177</v>
      </c>
      <c r="K45" s="190">
        <v>178</v>
      </c>
      <c r="L45" s="190">
        <v>0</v>
      </c>
      <c r="M45" s="190">
        <v>50</v>
      </c>
      <c r="N45" s="190">
        <v>50</v>
      </c>
      <c r="O45" s="190">
        <v>1</v>
      </c>
      <c r="P45" s="190">
        <v>127</v>
      </c>
      <c r="Q45" s="190">
        <v>128</v>
      </c>
      <c r="R45" s="190">
        <v>1</v>
      </c>
      <c r="S45" s="190">
        <v>12</v>
      </c>
      <c r="T45" s="190">
        <v>13</v>
      </c>
      <c r="U45" s="190">
        <v>0</v>
      </c>
      <c r="V45" s="190">
        <v>119</v>
      </c>
      <c r="W45" s="190">
        <v>119</v>
      </c>
      <c r="X45" s="190">
        <v>11</v>
      </c>
      <c r="Y45" s="190">
        <v>363</v>
      </c>
      <c r="Z45" s="190">
        <v>374</v>
      </c>
      <c r="AA45" s="190">
        <v>7</v>
      </c>
      <c r="AB45" s="190">
        <v>243</v>
      </c>
      <c r="AC45" s="190">
        <v>250</v>
      </c>
      <c r="AD45" s="190">
        <v>6</v>
      </c>
      <c r="AE45" s="190">
        <v>238</v>
      </c>
      <c r="AF45" s="190">
        <v>244</v>
      </c>
      <c r="AG45" s="190">
        <v>0</v>
      </c>
      <c r="AH45" s="190">
        <v>2</v>
      </c>
      <c r="AI45" s="190">
        <v>2</v>
      </c>
      <c r="AJ45" s="190">
        <v>1</v>
      </c>
      <c r="AK45" s="190">
        <v>3</v>
      </c>
      <c r="AL45" s="190">
        <v>4</v>
      </c>
      <c r="AM45" s="190">
        <v>4</v>
      </c>
      <c r="AN45" s="190">
        <v>120</v>
      </c>
      <c r="AO45" s="190">
        <v>124</v>
      </c>
      <c r="AP45" s="190">
        <v>779</v>
      </c>
      <c r="AQ45" s="190">
        <v>7966</v>
      </c>
      <c r="AR45" s="190">
        <v>8745</v>
      </c>
      <c r="AS45" s="190">
        <v>779</v>
      </c>
      <c r="AT45" s="190">
        <v>7966</v>
      </c>
      <c r="AU45" s="190">
        <v>8745</v>
      </c>
      <c r="AV45" s="190">
        <v>0</v>
      </c>
      <c r="AW45" s="190">
        <v>0</v>
      </c>
      <c r="AX45" s="190">
        <v>0</v>
      </c>
      <c r="AY45" s="190">
        <v>81</v>
      </c>
      <c r="AZ45" s="190">
        <v>871</v>
      </c>
      <c r="BA45" s="190">
        <v>952</v>
      </c>
      <c r="BB45" s="190">
        <v>33</v>
      </c>
      <c r="BC45" s="190">
        <v>1</v>
      </c>
      <c r="BD45" s="190">
        <v>0</v>
      </c>
      <c r="BE45" s="190">
        <v>407</v>
      </c>
      <c r="BF45" s="190">
        <v>4</v>
      </c>
      <c r="BG45" s="190">
        <v>1</v>
      </c>
      <c r="BH45" s="190">
        <v>34</v>
      </c>
      <c r="BI45" s="190">
        <v>412</v>
      </c>
      <c r="BJ45" s="190">
        <v>446</v>
      </c>
      <c r="BK45" s="190">
        <v>6</v>
      </c>
      <c r="BL45" s="190">
        <v>-6</v>
      </c>
      <c r="BM45" s="190">
        <v>0</v>
      </c>
      <c r="BN45" s="190">
        <v>5</v>
      </c>
      <c r="BO45" s="190">
        <v>11</v>
      </c>
      <c r="BP45" s="190">
        <v>16</v>
      </c>
      <c r="BQ45" s="190">
        <v>4</v>
      </c>
      <c r="BR45" s="190">
        <v>128</v>
      </c>
      <c r="BS45" s="190">
        <v>132</v>
      </c>
      <c r="BT45" s="190">
        <v>32</v>
      </c>
      <c r="BU45" s="190">
        <v>326</v>
      </c>
      <c r="BV45" s="190">
        <v>358</v>
      </c>
      <c r="BW45" s="190">
        <v>860</v>
      </c>
      <c r="BX45" s="190">
        <v>8837</v>
      </c>
      <c r="BY45" s="190">
        <v>9697</v>
      </c>
      <c r="BZ45" s="190">
        <v>854</v>
      </c>
      <c r="CA45" s="190">
        <v>8790</v>
      </c>
      <c r="CB45" s="190">
        <v>9644</v>
      </c>
      <c r="CC45" s="190">
        <v>17424</v>
      </c>
      <c r="CD45" s="190">
        <v>0</v>
      </c>
      <c r="CE45" s="190">
        <v>55</v>
      </c>
      <c r="CF45" s="190">
        <v>6</v>
      </c>
      <c r="CG45" s="190">
        <v>39</v>
      </c>
      <c r="CH45" s="190">
        <v>45</v>
      </c>
      <c r="CI45" s="190">
        <v>7</v>
      </c>
      <c r="CJ45" s="190">
        <v>2</v>
      </c>
      <c r="CK45" s="190">
        <v>0</v>
      </c>
      <c r="CL45" s="190">
        <v>8</v>
      </c>
      <c r="CM45" s="190">
        <v>8</v>
      </c>
      <c r="CN45" s="190">
        <v>39</v>
      </c>
      <c r="CO45" s="190">
        <v>861</v>
      </c>
      <c r="CP45" s="190">
        <v>900</v>
      </c>
      <c r="CQ45" s="190">
        <v>0</v>
      </c>
      <c r="CR45" s="190">
        <v>5</v>
      </c>
      <c r="CS45" s="190">
        <v>5</v>
      </c>
      <c r="CT45" s="190">
        <v>821</v>
      </c>
      <c r="CU45" s="190">
        <v>7976</v>
      </c>
      <c r="CV45" s="190">
        <v>8797</v>
      </c>
      <c r="CW45" s="190">
        <v>65</v>
      </c>
      <c r="CX45" s="190">
        <v>474</v>
      </c>
      <c r="CY45" s="190">
        <v>539</v>
      </c>
      <c r="CZ45" s="190">
        <v>65</v>
      </c>
      <c r="DA45" s="190">
        <v>0</v>
      </c>
      <c r="DB45" s="190">
        <v>0</v>
      </c>
      <c r="DC45" s="190">
        <v>443</v>
      </c>
      <c r="DD45" s="190">
        <v>2</v>
      </c>
      <c r="DE45" s="190">
        <v>1</v>
      </c>
      <c r="DF45" s="190">
        <v>65</v>
      </c>
      <c r="DG45" s="190">
        <v>446</v>
      </c>
      <c r="DH45" s="190">
        <v>511</v>
      </c>
      <c r="DI45" s="190">
        <v>0</v>
      </c>
      <c r="DJ45" s="190">
        <v>0</v>
      </c>
      <c r="DK45" s="190">
        <v>0</v>
      </c>
      <c r="DL45" s="190">
        <v>28</v>
      </c>
      <c r="DM45" s="190">
        <v>0</v>
      </c>
      <c r="DN45" s="190">
        <v>0</v>
      </c>
      <c r="DO45" s="190">
        <v>0</v>
      </c>
      <c r="DP45" s="190">
        <v>28</v>
      </c>
      <c r="DQ45" s="190">
        <v>28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 ht="15.75">
      <c r="A46" s="189" t="s">
        <v>368</v>
      </c>
      <c r="B46" s="190">
        <v>976</v>
      </c>
      <c r="C46" s="190">
        <v>188</v>
      </c>
      <c r="D46" s="190">
        <v>935</v>
      </c>
      <c r="E46" s="190">
        <v>528</v>
      </c>
      <c r="F46" s="190">
        <v>2</v>
      </c>
      <c r="G46" s="190">
        <v>16</v>
      </c>
      <c r="H46" s="190">
        <v>18</v>
      </c>
      <c r="I46" s="190">
        <v>1</v>
      </c>
      <c r="J46" s="190">
        <v>335</v>
      </c>
      <c r="K46" s="190">
        <v>336</v>
      </c>
      <c r="L46" s="190">
        <v>1</v>
      </c>
      <c r="M46" s="190">
        <v>335</v>
      </c>
      <c r="N46" s="190">
        <v>336</v>
      </c>
      <c r="O46" s="190">
        <v>0</v>
      </c>
      <c r="P46" s="190">
        <v>0</v>
      </c>
      <c r="Q46" s="190">
        <v>0</v>
      </c>
      <c r="R46" s="190">
        <v>0</v>
      </c>
      <c r="S46" s="190">
        <v>34</v>
      </c>
      <c r="T46" s="190">
        <v>34</v>
      </c>
      <c r="U46" s="190">
        <v>0</v>
      </c>
      <c r="V46" s="190">
        <v>71</v>
      </c>
      <c r="W46" s="190">
        <v>71</v>
      </c>
      <c r="X46" s="190">
        <v>12</v>
      </c>
      <c r="Y46" s="190">
        <v>923</v>
      </c>
      <c r="Z46" s="190">
        <v>935</v>
      </c>
      <c r="AA46" s="190">
        <v>6</v>
      </c>
      <c r="AB46" s="190">
        <v>314</v>
      </c>
      <c r="AC46" s="190">
        <v>320</v>
      </c>
      <c r="AD46" s="190">
        <v>5</v>
      </c>
      <c r="AE46" s="190">
        <v>281</v>
      </c>
      <c r="AF46" s="190">
        <v>286</v>
      </c>
      <c r="AG46" s="190">
        <v>0</v>
      </c>
      <c r="AH46" s="190">
        <v>23</v>
      </c>
      <c r="AI46" s="190">
        <v>23</v>
      </c>
      <c r="AJ46" s="190">
        <v>1</v>
      </c>
      <c r="AK46" s="190">
        <v>10</v>
      </c>
      <c r="AL46" s="190">
        <v>11</v>
      </c>
      <c r="AM46" s="190">
        <v>6</v>
      </c>
      <c r="AN46" s="190">
        <v>609</v>
      </c>
      <c r="AO46" s="190">
        <v>615</v>
      </c>
      <c r="AP46" s="190">
        <v>757</v>
      </c>
      <c r="AQ46" s="190">
        <v>12340</v>
      </c>
      <c r="AR46" s="190">
        <v>13097</v>
      </c>
      <c r="AS46" s="190">
        <v>769</v>
      </c>
      <c r="AT46" s="190">
        <v>12409</v>
      </c>
      <c r="AU46" s="190">
        <v>13178</v>
      </c>
      <c r="AV46" s="190">
        <v>-12</v>
      </c>
      <c r="AW46" s="190">
        <v>-69</v>
      </c>
      <c r="AX46" s="190">
        <v>-81</v>
      </c>
      <c r="AY46" s="190">
        <v>37</v>
      </c>
      <c r="AZ46" s="190">
        <v>1273</v>
      </c>
      <c r="BA46" s="190">
        <v>1310</v>
      </c>
      <c r="BB46" s="190">
        <v>11</v>
      </c>
      <c r="BC46" s="190">
        <v>1</v>
      </c>
      <c r="BD46" s="190">
        <v>0</v>
      </c>
      <c r="BE46" s="190">
        <v>486</v>
      </c>
      <c r="BF46" s="190">
        <v>23</v>
      </c>
      <c r="BG46" s="190">
        <v>7</v>
      </c>
      <c r="BH46" s="190">
        <v>12</v>
      </c>
      <c r="BI46" s="190">
        <v>516</v>
      </c>
      <c r="BJ46" s="190">
        <v>528</v>
      </c>
      <c r="BK46" s="190">
        <v>-17</v>
      </c>
      <c r="BL46" s="190">
        <v>17</v>
      </c>
      <c r="BM46" s="190">
        <v>0</v>
      </c>
      <c r="BN46" s="190">
        <v>14</v>
      </c>
      <c r="BO46" s="190">
        <v>15</v>
      </c>
      <c r="BP46" s="190">
        <v>29</v>
      </c>
      <c r="BQ46" s="190">
        <v>0</v>
      </c>
      <c r="BR46" s="190">
        <v>191</v>
      </c>
      <c r="BS46" s="190">
        <v>191</v>
      </c>
      <c r="BT46" s="190">
        <v>28</v>
      </c>
      <c r="BU46" s="190">
        <v>534</v>
      </c>
      <c r="BV46" s="190">
        <v>562</v>
      </c>
      <c r="BW46" s="190">
        <v>794</v>
      </c>
      <c r="BX46" s="190">
        <v>13613</v>
      </c>
      <c r="BY46" s="190">
        <v>14407</v>
      </c>
      <c r="BZ46" s="190">
        <v>765</v>
      </c>
      <c r="CA46" s="190">
        <v>13040</v>
      </c>
      <c r="CB46" s="190">
        <v>13805</v>
      </c>
      <c r="CC46" s="190">
        <v>27403</v>
      </c>
      <c r="CD46" s="190">
        <v>39</v>
      </c>
      <c r="CE46" s="190">
        <v>547</v>
      </c>
      <c r="CF46" s="190">
        <v>28</v>
      </c>
      <c r="CG46" s="190">
        <v>414</v>
      </c>
      <c r="CH46" s="190">
        <v>442</v>
      </c>
      <c r="CI46" s="190">
        <v>198</v>
      </c>
      <c r="CJ46" s="190">
        <v>5</v>
      </c>
      <c r="CK46" s="190">
        <v>1</v>
      </c>
      <c r="CL46" s="190">
        <v>159</v>
      </c>
      <c r="CM46" s="190">
        <v>160</v>
      </c>
      <c r="CN46" s="190">
        <v>50</v>
      </c>
      <c r="CO46" s="190">
        <v>1355</v>
      </c>
      <c r="CP46" s="190">
        <v>1405</v>
      </c>
      <c r="CQ46" s="190">
        <v>0</v>
      </c>
      <c r="CR46" s="190">
        <v>0</v>
      </c>
      <c r="CS46" s="190">
        <v>0</v>
      </c>
      <c r="CT46" s="190">
        <v>744</v>
      </c>
      <c r="CU46" s="190">
        <v>12258</v>
      </c>
      <c r="CV46" s="190">
        <v>13002</v>
      </c>
      <c r="CW46" s="190">
        <v>45</v>
      </c>
      <c r="CX46" s="190">
        <v>608</v>
      </c>
      <c r="CY46" s="190">
        <v>653</v>
      </c>
      <c r="CZ46" s="190">
        <v>44</v>
      </c>
      <c r="DA46" s="190">
        <v>0</v>
      </c>
      <c r="DB46" s="190">
        <v>0</v>
      </c>
      <c r="DC46" s="190">
        <v>560</v>
      </c>
      <c r="DD46" s="190">
        <v>19</v>
      </c>
      <c r="DE46" s="190">
        <v>11</v>
      </c>
      <c r="DF46" s="190">
        <v>44</v>
      </c>
      <c r="DG46" s="190">
        <v>590</v>
      </c>
      <c r="DH46" s="190">
        <v>634</v>
      </c>
      <c r="DI46" s="190">
        <v>1</v>
      </c>
      <c r="DJ46" s="190">
        <v>0</v>
      </c>
      <c r="DK46" s="190">
        <v>0</v>
      </c>
      <c r="DL46" s="190">
        <v>17</v>
      </c>
      <c r="DM46" s="190">
        <v>1</v>
      </c>
      <c r="DN46" s="190">
        <v>0</v>
      </c>
      <c r="DO46" s="190">
        <v>1</v>
      </c>
      <c r="DP46" s="190">
        <v>18</v>
      </c>
      <c r="DQ46" s="190">
        <v>19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1858</v>
      </c>
      <c r="C47" s="190">
        <v>325</v>
      </c>
      <c r="D47" s="190">
        <v>1916</v>
      </c>
      <c r="E47" s="190">
        <v>1378</v>
      </c>
      <c r="F47" s="190">
        <v>22</v>
      </c>
      <c r="G47" s="190">
        <v>149</v>
      </c>
      <c r="H47" s="190">
        <v>171</v>
      </c>
      <c r="I47" s="190">
        <v>0</v>
      </c>
      <c r="J47" s="190">
        <v>469</v>
      </c>
      <c r="K47" s="190">
        <v>469</v>
      </c>
      <c r="L47" s="190">
        <v>0</v>
      </c>
      <c r="M47" s="190">
        <v>199</v>
      </c>
      <c r="N47" s="190">
        <v>199</v>
      </c>
      <c r="O47" s="190">
        <v>0</v>
      </c>
      <c r="P47" s="190">
        <v>270</v>
      </c>
      <c r="Q47" s="190">
        <v>270</v>
      </c>
      <c r="R47" s="190">
        <v>0</v>
      </c>
      <c r="S47" s="190">
        <v>81</v>
      </c>
      <c r="T47" s="190">
        <v>81</v>
      </c>
      <c r="U47" s="190">
        <v>0</v>
      </c>
      <c r="V47" s="190">
        <v>69</v>
      </c>
      <c r="W47" s="190">
        <v>69</v>
      </c>
      <c r="X47" s="190">
        <v>57</v>
      </c>
      <c r="Y47" s="190">
        <v>481</v>
      </c>
      <c r="Z47" s="190">
        <v>538</v>
      </c>
      <c r="AA47" s="190">
        <v>36</v>
      </c>
      <c r="AB47" s="190">
        <v>305</v>
      </c>
      <c r="AC47" s="190">
        <v>341</v>
      </c>
      <c r="AD47" s="190">
        <v>29</v>
      </c>
      <c r="AE47" s="190">
        <v>273</v>
      </c>
      <c r="AF47" s="190">
        <v>302</v>
      </c>
      <c r="AG47" s="190">
        <v>5</v>
      </c>
      <c r="AH47" s="190">
        <v>17</v>
      </c>
      <c r="AI47" s="190">
        <v>22</v>
      </c>
      <c r="AJ47" s="190">
        <v>2</v>
      </c>
      <c r="AK47" s="190">
        <v>15</v>
      </c>
      <c r="AL47" s="190">
        <v>17</v>
      </c>
      <c r="AM47" s="190">
        <v>21</v>
      </c>
      <c r="AN47" s="190">
        <v>176</v>
      </c>
      <c r="AO47" s="190">
        <v>197</v>
      </c>
      <c r="AP47" s="190">
        <v>1849</v>
      </c>
      <c r="AQ47" s="190">
        <v>14404</v>
      </c>
      <c r="AR47" s="190">
        <v>16253</v>
      </c>
      <c r="AS47" s="190">
        <v>1849</v>
      </c>
      <c r="AT47" s="190">
        <v>14360</v>
      </c>
      <c r="AU47" s="190">
        <v>16209</v>
      </c>
      <c r="AV47" s="190">
        <v>0</v>
      </c>
      <c r="AW47" s="190">
        <v>44</v>
      </c>
      <c r="AX47" s="190">
        <v>44</v>
      </c>
      <c r="AY47" s="190">
        <v>296</v>
      </c>
      <c r="AZ47" s="190">
        <v>1820</v>
      </c>
      <c r="BA47" s="190">
        <v>2116</v>
      </c>
      <c r="BB47" s="190">
        <v>130</v>
      </c>
      <c r="BC47" s="190">
        <v>0</v>
      </c>
      <c r="BD47" s="190">
        <v>0</v>
      </c>
      <c r="BE47" s="190">
        <v>1236</v>
      </c>
      <c r="BF47" s="190">
        <v>7</v>
      </c>
      <c r="BG47" s="190">
        <v>5</v>
      </c>
      <c r="BH47" s="190">
        <v>130</v>
      </c>
      <c r="BI47" s="190">
        <v>1248</v>
      </c>
      <c r="BJ47" s="190">
        <v>1378</v>
      </c>
      <c r="BK47" s="190">
        <v>68</v>
      </c>
      <c r="BL47" s="190">
        <v>-68</v>
      </c>
      <c r="BM47" s="190">
        <v>0</v>
      </c>
      <c r="BN47" s="190">
        <v>2</v>
      </c>
      <c r="BO47" s="190">
        <v>22</v>
      </c>
      <c r="BP47" s="190">
        <v>24</v>
      </c>
      <c r="BQ47" s="190">
        <v>16</v>
      </c>
      <c r="BR47" s="190">
        <v>157</v>
      </c>
      <c r="BS47" s="190">
        <v>173</v>
      </c>
      <c r="BT47" s="190">
        <v>80</v>
      </c>
      <c r="BU47" s="190">
        <v>461</v>
      </c>
      <c r="BV47" s="190">
        <v>541</v>
      </c>
      <c r="BW47" s="190">
        <v>2145</v>
      </c>
      <c r="BX47" s="190">
        <v>16224</v>
      </c>
      <c r="BY47" s="190">
        <v>18369</v>
      </c>
      <c r="BZ47" s="190">
        <v>2122</v>
      </c>
      <c r="CA47" s="190">
        <v>16025</v>
      </c>
      <c r="CB47" s="190">
        <v>18147</v>
      </c>
      <c r="CC47" s="190">
        <v>38196</v>
      </c>
      <c r="CD47" s="190">
        <v>24</v>
      </c>
      <c r="CE47" s="190">
        <v>140</v>
      </c>
      <c r="CF47" s="190">
        <v>23</v>
      </c>
      <c r="CG47" s="190">
        <v>133</v>
      </c>
      <c r="CH47" s="190">
        <v>156</v>
      </c>
      <c r="CI47" s="190">
        <v>0</v>
      </c>
      <c r="CJ47" s="190">
        <v>83</v>
      </c>
      <c r="CK47" s="190">
        <v>0</v>
      </c>
      <c r="CL47" s="190">
        <v>66</v>
      </c>
      <c r="CM47" s="190">
        <v>66</v>
      </c>
      <c r="CN47" s="190">
        <v>123</v>
      </c>
      <c r="CO47" s="190">
        <v>1487</v>
      </c>
      <c r="CP47" s="190">
        <v>1610</v>
      </c>
      <c r="CQ47" s="190">
        <v>0</v>
      </c>
      <c r="CR47" s="190">
        <v>0</v>
      </c>
      <c r="CS47" s="190">
        <v>0</v>
      </c>
      <c r="CT47" s="190">
        <v>2022</v>
      </c>
      <c r="CU47" s="190">
        <v>14737</v>
      </c>
      <c r="CV47" s="190">
        <v>16759</v>
      </c>
      <c r="CW47" s="190">
        <v>181</v>
      </c>
      <c r="CX47" s="190">
        <v>847</v>
      </c>
      <c r="CY47" s="190">
        <v>1028</v>
      </c>
      <c r="CZ47" s="190">
        <v>177</v>
      </c>
      <c r="DA47" s="190">
        <v>0</v>
      </c>
      <c r="DB47" s="190">
        <v>0</v>
      </c>
      <c r="DC47" s="190">
        <v>823</v>
      </c>
      <c r="DD47" s="190">
        <v>6</v>
      </c>
      <c r="DE47" s="190">
        <v>1</v>
      </c>
      <c r="DF47" s="190">
        <v>177</v>
      </c>
      <c r="DG47" s="190">
        <v>830</v>
      </c>
      <c r="DH47" s="190">
        <v>1007</v>
      </c>
      <c r="DI47" s="190">
        <v>4</v>
      </c>
      <c r="DJ47" s="190">
        <v>0</v>
      </c>
      <c r="DK47" s="190">
        <v>0</v>
      </c>
      <c r="DL47" s="190">
        <v>16</v>
      </c>
      <c r="DM47" s="190">
        <v>1</v>
      </c>
      <c r="DN47" s="190">
        <v>0</v>
      </c>
      <c r="DO47" s="190">
        <v>4</v>
      </c>
      <c r="DP47" s="190">
        <v>17</v>
      </c>
      <c r="DQ47" s="190">
        <v>21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2522</v>
      </c>
      <c r="C48" s="190">
        <v>561</v>
      </c>
      <c r="D48" s="190">
        <v>2483</v>
      </c>
      <c r="E48" s="190">
        <v>1533</v>
      </c>
      <c r="F48" s="190">
        <v>2</v>
      </c>
      <c r="G48" s="190">
        <v>13</v>
      </c>
      <c r="H48" s="190">
        <v>15</v>
      </c>
      <c r="I48" s="190">
        <v>1</v>
      </c>
      <c r="J48" s="190">
        <v>694</v>
      </c>
      <c r="K48" s="190">
        <v>695</v>
      </c>
      <c r="L48" s="190">
        <v>0</v>
      </c>
      <c r="M48" s="190">
        <v>245</v>
      </c>
      <c r="N48" s="190">
        <v>245</v>
      </c>
      <c r="O48" s="190">
        <v>1</v>
      </c>
      <c r="P48" s="190">
        <v>449</v>
      </c>
      <c r="Q48" s="190">
        <v>450</v>
      </c>
      <c r="R48" s="190">
        <v>0</v>
      </c>
      <c r="S48" s="190">
        <v>13</v>
      </c>
      <c r="T48" s="190">
        <v>13</v>
      </c>
      <c r="U48" s="190">
        <v>0</v>
      </c>
      <c r="V48" s="190">
        <v>255</v>
      </c>
      <c r="W48" s="190">
        <v>255</v>
      </c>
      <c r="X48" s="190">
        <v>20</v>
      </c>
      <c r="Y48" s="190">
        <v>1263</v>
      </c>
      <c r="Z48" s="190">
        <v>1283</v>
      </c>
      <c r="AA48" s="190">
        <v>8</v>
      </c>
      <c r="AB48" s="190">
        <v>434</v>
      </c>
      <c r="AC48" s="190">
        <v>442</v>
      </c>
      <c r="AD48" s="190">
        <v>8</v>
      </c>
      <c r="AE48" s="190">
        <v>426</v>
      </c>
      <c r="AF48" s="190">
        <v>434</v>
      </c>
      <c r="AG48" s="190">
        <v>0</v>
      </c>
      <c r="AH48" s="190">
        <v>6</v>
      </c>
      <c r="AI48" s="190">
        <v>6</v>
      </c>
      <c r="AJ48" s="190">
        <v>0</v>
      </c>
      <c r="AK48" s="190">
        <v>2</v>
      </c>
      <c r="AL48" s="190">
        <v>2</v>
      </c>
      <c r="AM48" s="190">
        <v>12</v>
      </c>
      <c r="AN48" s="190">
        <v>829</v>
      </c>
      <c r="AO48" s="190">
        <v>841</v>
      </c>
      <c r="AP48" s="190">
        <v>3867</v>
      </c>
      <c r="AQ48" s="190">
        <v>43841</v>
      </c>
      <c r="AR48" s="190">
        <v>47708</v>
      </c>
      <c r="AS48" s="190">
        <v>4061</v>
      </c>
      <c r="AT48" s="190">
        <v>43373</v>
      </c>
      <c r="AU48" s="190">
        <v>47434</v>
      </c>
      <c r="AV48" s="190">
        <v>-194</v>
      </c>
      <c r="AW48" s="190">
        <v>468</v>
      </c>
      <c r="AX48" s="190">
        <v>274</v>
      </c>
      <c r="AY48" s="190">
        <v>376</v>
      </c>
      <c r="AZ48" s="190">
        <v>2818</v>
      </c>
      <c r="BA48" s="190">
        <v>3194</v>
      </c>
      <c r="BB48" s="190">
        <v>95</v>
      </c>
      <c r="BC48" s="190">
        <v>2</v>
      </c>
      <c r="BD48" s="190">
        <v>0</v>
      </c>
      <c r="BE48" s="190">
        <v>1369</v>
      </c>
      <c r="BF48" s="190">
        <v>30</v>
      </c>
      <c r="BG48" s="190">
        <v>37</v>
      </c>
      <c r="BH48" s="190">
        <v>97</v>
      </c>
      <c r="BI48" s="190">
        <v>1436</v>
      </c>
      <c r="BJ48" s="190">
        <v>1533</v>
      </c>
      <c r="BK48" s="190">
        <v>109</v>
      </c>
      <c r="BL48" s="190">
        <v>-109</v>
      </c>
      <c r="BM48" s="190">
        <v>0</v>
      </c>
      <c r="BN48" s="190">
        <v>11</v>
      </c>
      <c r="BO48" s="190">
        <v>55</v>
      </c>
      <c r="BP48" s="190">
        <v>66</v>
      </c>
      <c r="BQ48" s="190">
        <v>10</v>
      </c>
      <c r="BR48" s="190">
        <v>94</v>
      </c>
      <c r="BS48" s="190">
        <v>104</v>
      </c>
      <c r="BT48" s="190">
        <v>149</v>
      </c>
      <c r="BU48" s="190">
        <v>1342</v>
      </c>
      <c r="BV48" s="190">
        <v>1491</v>
      </c>
      <c r="BW48" s="190">
        <v>4243</v>
      </c>
      <c r="BX48" s="190">
        <v>46659</v>
      </c>
      <c r="BY48" s="190">
        <v>50902</v>
      </c>
      <c r="BZ48" s="190">
        <v>4138</v>
      </c>
      <c r="CA48" s="190">
        <v>45144</v>
      </c>
      <c r="CB48" s="190">
        <v>49282</v>
      </c>
      <c r="CC48" s="190">
        <v>97534</v>
      </c>
      <c r="CD48" s="190">
        <v>97</v>
      </c>
      <c r="CE48" s="190">
        <v>1143</v>
      </c>
      <c r="CF48" s="190">
        <v>104</v>
      </c>
      <c r="CG48" s="190">
        <v>845</v>
      </c>
      <c r="CH48" s="190">
        <v>949</v>
      </c>
      <c r="CI48" s="190">
        <v>927</v>
      </c>
      <c r="CJ48" s="190">
        <v>18</v>
      </c>
      <c r="CK48" s="190">
        <v>1</v>
      </c>
      <c r="CL48" s="190">
        <v>670</v>
      </c>
      <c r="CM48" s="190">
        <v>671</v>
      </c>
      <c r="CN48" s="190">
        <v>301</v>
      </c>
      <c r="CO48" s="190">
        <v>4064</v>
      </c>
      <c r="CP48" s="190">
        <v>4365</v>
      </c>
      <c r="CQ48" s="190">
        <v>0</v>
      </c>
      <c r="CR48" s="190">
        <v>1</v>
      </c>
      <c r="CS48" s="190">
        <v>1</v>
      </c>
      <c r="CT48" s="190">
        <v>3942</v>
      </c>
      <c r="CU48" s="190">
        <v>42595</v>
      </c>
      <c r="CV48" s="190">
        <v>46537</v>
      </c>
      <c r="CW48" s="190">
        <v>317</v>
      </c>
      <c r="CX48" s="190">
        <v>3072</v>
      </c>
      <c r="CY48" s="190">
        <v>3389</v>
      </c>
      <c r="CZ48" s="190">
        <v>288</v>
      </c>
      <c r="DA48" s="190">
        <v>7</v>
      </c>
      <c r="DB48" s="190">
        <v>0</v>
      </c>
      <c r="DC48" s="190">
        <v>2614</v>
      </c>
      <c r="DD48" s="190">
        <v>62</v>
      </c>
      <c r="DE48" s="190">
        <v>18</v>
      </c>
      <c r="DF48" s="190">
        <v>295</v>
      </c>
      <c r="DG48" s="190">
        <v>2694</v>
      </c>
      <c r="DH48" s="190">
        <v>2989</v>
      </c>
      <c r="DI48" s="190">
        <v>21</v>
      </c>
      <c r="DJ48" s="190">
        <v>1</v>
      </c>
      <c r="DK48" s="190">
        <v>0</v>
      </c>
      <c r="DL48" s="190">
        <v>363</v>
      </c>
      <c r="DM48" s="190">
        <v>9</v>
      </c>
      <c r="DN48" s="190">
        <v>6</v>
      </c>
      <c r="DO48" s="190">
        <v>22</v>
      </c>
      <c r="DP48" s="190">
        <v>378</v>
      </c>
      <c r="DQ48" s="190">
        <v>400</v>
      </c>
      <c r="DR48" s="190">
        <v>2</v>
      </c>
      <c r="DS48" s="190">
        <v>12</v>
      </c>
      <c r="DT48" s="191">
        <v>14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1015</v>
      </c>
      <c r="C49" s="190">
        <v>247</v>
      </c>
      <c r="D49" s="190">
        <v>1047</v>
      </c>
      <c r="E49" s="190">
        <v>730</v>
      </c>
      <c r="F49" s="190">
        <v>1</v>
      </c>
      <c r="G49" s="190">
        <v>24</v>
      </c>
      <c r="H49" s="190">
        <v>25</v>
      </c>
      <c r="I49" s="190">
        <v>0</v>
      </c>
      <c r="J49" s="190">
        <v>253</v>
      </c>
      <c r="K49" s="190">
        <v>253</v>
      </c>
      <c r="L49" s="190">
        <v>0</v>
      </c>
      <c r="M49" s="190">
        <v>67</v>
      </c>
      <c r="N49" s="190">
        <v>67</v>
      </c>
      <c r="O49" s="190">
        <v>0</v>
      </c>
      <c r="P49" s="190">
        <v>186</v>
      </c>
      <c r="Q49" s="190">
        <v>186</v>
      </c>
      <c r="R49" s="190">
        <v>0</v>
      </c>
      <c r="S49" s="190">
        <v>29</v>
      </c>
      <c r="T49" s="190">
        <v>29</v>
      </c>
      <c r="U49" s="190">
        <v>0</v>
      </c>
      <c r="V49" s="190">
        <v>64</v>
      </c>
      <c r="W49" s="190">
        <v>64</v>
      </c>
      <c r="X49" s="190">
        <v>10</v>
      </c>
      <c r="Y49" s="190">
        <v>579</v>
      </c>
      <c r="Z49" s="190">
        <v>589</v>
      </c>
      <c r="AA49" s="190">
        <v>3</v>
      </c>
      <c r="AB49" s="190">
        <v>226</v>
      </c>
      <c r="AC49" s="190">
        <v>229</v>
      </c>
      <c r="AD49" s="190">
        <v>3</v>
      </c>
      <c r="AE49" s="190">
        <v>225</v>
      </c>
      <c r="AF49" s="190">
        <v>228</v>
      </c>
      <c r="AG49" s="190">
        <v>0</v>
      </c>
      <c r="AH49" s="190">
        <v>1</v>
      </c>
      <c r="AI49" s="190">
        <v>1</v>
      </c>
      <c r="AJ49" s="190">
        <v>0</v>
      </c>
      <c r="AK49" s="190">
        <v>0</v>
      </c>
      <c r="AL49" s="190">
        <v>0</v>
      </c>
      <c r="AM49" s="190">
        <v>7</v>
      </c>
      <c r="AN49" s="190">
        <v>353</v>
      </c>
      <c r="AO49" s="190">
        <v>360</v>
      </c>
      <c r="AP49" s="190">
        <v>1009</v>
      </c>
      <c r="AQ49" s="190">
        <v>12039</v>
      </c>
      <c r="AR49" s="190">
        <v>13048</v>
      </c>
      <c r="AS49" s="190">
        <v>933</v>
      </c>
      <c r="AT49" s="190">
        <v>12033</v>
      </c>
      <c r="AU49" s="190">
        <v>12966</v>
      </c>
      <c r="AV49" s="190">
        <v>76</v>
      </c>
      <c r="AW49" s="190">
        <v>6</v>
      </c>
      <c r="AX49" s="190">
        <v>82</v>
      </c>
      <c r="AY49" s="190">
        <v>58</v>
      </c>
      <c r="AZ49" s="190">
        <v>1458</v>
      </c>
      <c r="BA49" s="190">
        <v>1516</v>
      </c>
      <c r="BB49" s="190">
        <v>27</v>
      </c>
      <c r="BC49" s="190">
        <v>0</v>
      </c>
      <c r="BD49" s="190">
        <v>0</v>
      </c>
      <c r="BE49" s="190">
        <v>699</v>
      </c>
      <c r="BF49" s="190">
        <v>3</v>
      </c>
      <c r="BG49" s="190">
        <v>1</v>
      </c>
      <c r="BH49" s="190">
        <v>27</v>
      </c>
      <c r="BI49" s="190">
        <v>703</v>
      </c>
      <c r="BJ49" s="190">
        <v>730</v>
      </c>
      <c r="BK49" s="190">
        <v>-47</v>
      </c>
      <c r="BL49" s="190">
        <v>47</v>
      </c>
      <c r="BM49" s="190">
        <v>0</v>
      </c>
      <c r="BN49" s="190">
        <v>1</v>
      </c>
      <c r="BO49" s="190">
        <v>17</v>
      </c>
      <c r="BP49" s="190">
        <v>18</v>
      </c>
      <c r="BQ49" s="190">
        <v>0</v>
      </c>
      <c r="BR49" s="190">
        <v>16</v>
      </c>
      <c r="BS49" s="190">
        <v>16</v>
      </c>
      <c r="BT49" s="190">
        <v>77</v>
      </c>
      <c r="BU49" s="190">
        <v>675</v>
      </c>
      <c r="BV49" s="190">
        <v>752</v>
      </c>
      <c r="BW49" s="190">
        <v>1067</v>
      </c>
      <c r="BX49" s="190">
        <v>13497</v>
      </c>
      <c r="BY49" s="190">
        <v>14564</v>
      </c>
      <c r="BZ49" s="190">
        <v>1064</v>
      </c>
      <c r="CA49" s="190">
        <v>13445</v>
      </c>
      <c r="CB49" s="190">
        <v>14509</v>
      </c>
      <c r="CC49" s="190">
        <v>26478</v>
      </c>
      <c r="CD49" s="190">
        <v>3</v>
      </c>
      <c r="CE49" s="190">
        <v>46</v>
      </c>
      <c r="CF49" s="190">
        <v>3</v>
      </c>
      <c r="CG49" s="190">
        <v>40</v>
      </c>
      <c r="CH49" s="190">
        <v>43</v>
      </c>
      <c r="CI49" s="190">
        <v>0</v>
      </c>
      <c r="CJ49" s="190">
        <v>17</v>
      </c>
      <c r="CK49" s="190">
        <v>0</v>
      </c>
      <c r="CL49" s="190">
        <v>12</v>
      </c>
      <c r="CM49" s="190">
        <v>12</v>
      </c>
      <c r="CN49" s="190">
        <v>60</v>
      </c>
      <c r="CO49" s="190">
        <v>1234</v>
      </c>
      <c r="CP49" s="190">
        <v>1294</v>
      </c>
      <c r="CQ49" s="190">
        <v>0</v>
      </c>
      <c r="CR49" s="190">
        <v>4</v>
      </c>
      <c r="CS49" s="190">
        <v>4</v>
      </c>
      <c r="CT49" s="190">
        <v>1007</v>
      </c>
      <c r="CU49" s="190">
        <v>12263</v>
      </c>
      <c r="CV49" s="190">
        <v>13270</v>
      </c>
      <c r="CW49" s="190">
        <v>89</v>
      </c>
      <c r="CX49" s="190">
        <v>710</v>
      </c>
      <c r="CY49" s="190">
        <v>799</v>
      </c>
      <c r="CZ49" s="190">
        <v>85</v>
      </c>
      <c r="DA49" s="190">
        <v>0</v>
      </c>
      <c r="DB49" s="190">
        <v>0</v>
      </c>
      <c r="DC49" s="190">
        <v>672</v>
      </c>
      <c r="DD49" s="190">
        <v>2</v>
      </c>
      <c r="DE49" s="190">
        <v>2</v>
      </c>
      <c r="DF49" s="190">
        <v>85</v>
      </c>
      <c r="DG49" s="190">
        <v>676</v>
      </c>
      <c r="DH49" s="190">
        <v>761</v>
      </c>
      <c r="DI49" s="190">
        <v>4</v>
      </c>
      <c r="DJ49" s="190">
        <v>0</v>
      </c>
      <c r="DK49" s="190">
        <v>0</v>
      </c>
      <c r="DL49" s="190">
        <v>34</v>
      </c>
      <c r="DM49" s="190">
        <v>0</v>
      </c>
      <c r="DN49" s="190">
        <v>0</v>
      </c>
      <c r="DO49" s="190">
        <v>4</v>
      </c>
      <c r="DP49" s="190">
        <v>34</v>
      </c>
      <c r="DQ49" s="190">
        <v>38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935</v>
      </c>
      <c r="C50" s="190">
        <v>222</v>
      </c>
      <c r="D50" s="190">
        <v>986</v>
      </c>
      <c r="E50" s="190">
        <v>590</v>
      </c>
      <c r="F50" s="190">
        <v>1</v>
      </c>
      <c r="G50" s="190">
        <v>36</v>
      </c>
      <c r="H50" s="190">
        <v>37</v>
      </c>
      <c r="I50" s="190">
        <v>0</v>
      </c>
      <c r="J50" s="190">
        <v>384</v>
      </c>
      <c r="K50" s="190">
        <v>384</v>
      </c>
      <c r="L50" s="190">
        <v>0</v>
      </c>
      <c r="M50" s="190">
        <v>134</v>
      </c>
      <c r="N50" s="190">
        <v>134</v>
      </c>
      <c r="O50" s="190">
        <v>0</v>
      </c>
      <c r="P50" s="190">
        <v>250</v>
      </c>
      <c r="Q50" s="190">
        <v>250</v>
      </c>
      <c r="R50" s="190">
        <v>0</v>
      </c>
      <c r="S50" s="190">
        <v>7</v>
      </c>
      <c r="T50" s="190">
        <v>7</v>
      </c>
      <c r="U50" s="190">
        <v>0</v>
      </c>
      <c r="V50" s="190">
        <v>12</v>
      </c>
      <c r="W50" s="190">
        <v>12</v>
      </c>
      <c r="X50" s="190">
        <v>13</v>
      </c>
      <c r="Y50" s="190">
        <v>973</v>
      </c>
      <c r="Z50" s="190">
        <v>986</v>
      </c>
      <c r="AA50" s="190">
        <v>6</v>
      </c>
      <c r="AB50" s="190">
        <v>426</v>
      </c>
      <c r="AC50" s="190">
        <v>432</v>
      </c>
      <c r="AD50" s="190">
        <v>5</v>
      </c>
      <c r="AE50" s="190">
        <v>405</v>
      </c>
      <c r="AF50" s="190">
        <v>410</v>
      </c>
      <c r="AG50" s="190">
        <v>0</v>
      </c>
      <c r="AH50" s="190">
        <v>11</v>
      </c>
      <c r="AI50" s="190">
        <v>11</v>
      </c>
      <c r="AJ50" s="190">
        <v>1</v>
      </c>
      <c r="AK50" s="190">
        <v>10</v>
      </c>
      <c r="AL50" s="190">
        <v>11</v>
      </c>
      <c r="AM50" s="190">
        <v>7</v>
      </c>
      <c r="AN50" s="190">
        <v>547</v>
      </c>
      <c r="AO50" s="190">
        <v>554</v>
      </c>
      <c r="AP50" s="190">
        <v>1191</v>
      </c>
      <c r="AQ50" s="190">
        <v>10532</v>
      </c>
      <c r="AR50" s="190">
        <v>11723</v>
      </c>
      <c r="AS50" s="190">
        <v>1191</v>
      </c>
      <c r="AT50" s="190">
        <v>10532</v>
      </c>
      <c r="AU50" s="190">
        <v>11723</v>
      </c>
      <c r="AV50" s="190">
        <v>0</v>
      </c>
      <c r="AW50" s="190">
        <v>0</v>
      </c>
      <c r="AX50" s="190">
        <v>0</v>
      </c>
      <c r="AY50" s="190">
        <v>62</v>
      </c>
      <c r="AZ50" s="190">
        <v>1109</v>
      </c>
      <c r="BA50" s="190">
        <v>1171</v>
      </c>
      <c r="BB50" s="190">
        <v>16</v>
      </c>
      <c r="BC50" s="190">
        <v>0</v>
      </c>
      <c r="BD50" s="190">
        <v>0</v>
      </c>
      <c r="BE50" s="190">
        <v>573</v>
      </c>
      <c r="BF50" s="190">
        <v>1</v>
      </c>
      <c r="BG50" s="190">
        <v>0</v>
      </c>
      <c r="BH50" s="190">
        <v>16</v>
      </c>
      <c r="BI50" s="190">
        <v>574</v>
      </c>
      <c r="BJ50" s="190">
        <v>590</v>
      </c>
      <c r="BK50" s="190">
        <v>-5</v>
      </c>
      <c r="BL50" s="190">
        <v>5</v>
      </c>
      <c r="BM50" s="190">
        <v>0</v>
      </c>
      <c r="BN50" s="190">
        <v>9</v>
      </c>
      <c r="BO50" s="190">
        <v>33</v>
      </c>
      <c r="BP50" s="190">
        <v>42</v>
      </c>
      <c r="BQ50" s="190">
        <v>12</v>
      </c>
      <c r="BR50" s="190">
        <v>181</v>
      </c>
      <c r="BS50" s="190">
        <v>193</v>
      </c>
      <c r="BT50" s="190">
        <v>30</v>
      </c>
      <c r="BU50" s="190">
        <v>316</v>
      </c>
      <c r="BV50" s="190">
        <v>346</v>
      </c>
      <c r="BW50" s="190">
        <v>1253</v>
      </c>
      <c r="BX50" s="190">
        <v>11641</v>
      </c>
      <c r="BY50" s="190">
        <v>12894</v>
      </c>
      <c r="BZ50" s="190">
        <v>1250</v>
      </c>
      <c r="CA50" s="190">
        <v>11597</v>
      </c>
      <c r="CB50" s="190">
        <v>12847</v>
      </c>
      <c r="CC50" s="190">
        <v>24245</v>
      </c>
      <c r="CD50" s="190">
        <v>3</v>
      </c>
      <c r="CE50" s="190">
        <v>29</v>
      </c>
      <c r="CF50" s="190">
        <v>3</v>
      </c>
      <c r="CG50" s="190">
        <v>27</v>
      </c>
      <c r="CH50" s="190">
        <v>30</v>
      </c>
      <c r="CI50" s="190">
        <v>19</v>
      </c>
      <c r="CJ50" s="190">
        <v>0</v>
      </c>
      <c r="CK50" s="190">
        <v>0</v>
      </c>
      <c r="CL50" s="190">
        <v>17</v>
      </c>
      <c r="CM50" s="190">
        <v>17</v>
      </c>
      <c r="CN50" s="190">
        <v>102</v>
      </c>
      <c r="CO50" s="190">
        <v>1225</v>
      </c>
      <c r="CP50" s="190">
        <v>1327</v>
      </c>
      <c r="CQ50" s="190">
        <v>0</v>
      </c>
      <c r="CR50" s="190">
        <v>3</v>
      </c>
      <c r="CS50" s="190">
        <v>3</v>
      </c>
      <c r="CT50" s="190">
        <v>1151</v>
      </c>
      <c r="CU50" s="190">
        <v>10416</v>
      </c>
      <c r="CV50" s="190">
        <v>11567</v>
      </c>
      <c r="CW50" s="190">
        <v>59</v>
      </c>
      <c r="CX50" s="190">
        <v>419</v>
      </c>
      <c r="CY50" s="190">
        <v>478</v>
      </c>
      <c r="CZ50" s="190">
        <v>59</v>
      </c>
      <c r="DA50" s="190">
        <v>0</v>
      </c>
      <c r="DB50" s="190">
        <v>0</v>
      </c>
      <c r="DC50" s="190">
        <v>411</v>
      </c>
      <c r="DD50" s="190">
        <v>0</v>
      </c>
      <c r="DE50" s="190">
        <v>1</v>
      </c>
      <c r="DF50" s="190">
        <v>59</v>
      </c>
      <c r="DG50" s="190">
        <v>412</v>
      </c>
      <c r="DH50" s="190">
        <v>471</v>
      </c>
      <c r="DI50" s="190">
        <v>0</v>
      </c>
      <c r="DJ50" s="190">
        <v>0</v>
      </c>
      <c r="DK50" s="190">
        <v>0</v>
      </c>
      <c r="DL50" s="190">
        <v>7</v>
      </c>
      <c r="DM50" s="190">
        <v>0</v>
      </c>
      <c r="DN50" s="190">
        <v>0</v>
      </c>
      <c r="DO50" s="190">
        <v>0</v>
      </c>
      <c r="DP50" s="190">
        <v>7</v>
      </c>
      <c r="DQ50" s="190">
        <v>7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7</v>
      </c>
      <c r="C51" s="190">
        <v>0</v>
      </c>
      <c r="D51" s="190">
        <v>7</v>
      </c>
      <c r="E51" s="190">
        <v>5</v>
      </c>
      <c r="F51" s="190">
        <v>0</v>
      </c>
      <c r="G51" s="190">
        <v>0</v>
      </c>
      <c r="H51" s="190">
        <v>0</v>
      </c>
      <c r="I51" s="190">
        <v>0</v>
      </c>
      <c r="J51" s="190">
        <v>2</v>
      </c>
      <c r="K51" s="190">
        <v>2</v>
      </c>
      <c r="L51" s="190">
        <v>0</v>
      </c>
      <c r="M51" s="190">
        <v>0</v>
      </c>
      <c r="N51" s="190">
        <v>0</v>
      </c>
      <c r="O51" s="190">
        <v>0</v>
      </c>
      <c r="P51" s="190">
        <v>2</v>
      </c>
      <c r="Q51" s="190">
        <v>2</v>
      </c>
      <c r="R51" s="190">
        <v>0</v>
      </c>
      <c r="S51" s="190">
        <v>0</v>
      </c>
      <c r="T51" s="190">
        <v>0</v>
      </c>
      <c r="U51" s="190">
        <v>0</v>
      </c>
      <c r="V51" s="190">
        <v>0</v>
      </c>
      <c r="W51" s="190">
        <v>0</v>
      </c>
      <c r="X51" s="190">
        <v>0</v>
      </c>
      <c r="Y51" s="190">
        <v>7</v>
      </c>
      <c r="Z51" s="190">
        <v>7</v>
      </c>
      <c r="AA51" s="190">
        <v>0</v>
      </c>
      <c r="AB51" s="190">
        <v>2</v>
      </c>
      <c r="AC51" s="190">
        <v>2</v>
      </c>
      <c r="AD51" s="190">
        <v>0</v>
      </c>
      <c r="AE51" s="190">
        <v>2</v>
      </c>
      <c r="AF51" s="190">
        <v>2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0</v>
      </c>
      <c r="AN51" s="190">
        <v>5</v>
      </c>
      <c r="AO51" s="190">
        <v>5</v>
      </c>
      <c r="AP51" s="190">
        <v>11</v>
      </c>
      <c r="AQ51" s="190">
        <v>145</v>
      </c>
      <c r="AR51" s="190">
        <v>156</v>
      </c>
      <c r="AS51" s="190">
        <v>11</v>
      </c>
      <c r="AT51" s="190">
        <v>145</v>
      </c>
      <c r="AU51" s="190">
        <v>156</v>
      </c>
      <c r="AV51" s="190">
        <v>0</v>
      </c>
      <c r="AW51" s="190">
        <v>0</v>
      </c>
      <c r="AX51" s="190">
        <v>0</v>
      </c>
      <c r="AY51" s="190">
        <v>2</v>
      </c>
      <c r="AZ51" s="190">
        <v>7</v>
      </c>
      <c r="BA51" s="190">
        <v>9</v>
      </c>
      <c r="BB51" s="190">
        <v>0</v>
      </c>
      <c r="BC51" s="190">
        <v>0</v>
      </c>
      <c r="BD51" s="190">
        <v>0</v>
      </c>
      <c r="BE51" s="190">
        <v>5</v>
      </c>
      <c r="BF51" s="190">
        <v>0</v>
      </c>
      <c r="BG51" s="190">
        <v>0</v>
      </c>
      <c r="BH51" s="190">
        <v>0</v>
      </c>
      <c r="BI51" s="190">
        <v>5</v>
      </c>
      <c r="BJ51" s="190">
        <v>5</v>
      </c>
      <c r="BK51" s="190">
        <v>2</v>
      </c>
      <c r="BL51" s="190">
        <v>-2</v>
      </c>
      <c r="BM51" s="190">
        <v>0</v>
      </c>
      <c r="BN51" s="190">
        <v>0</v>
      </c>
      <c r="BO51" s="190">
        <v>2</v>
      </c>
      <c r="BP51" s="190">
        <v>2</v>
      </c>
      <c r="BQ51" s="190">
        <v>0</v>
      </c>
      <c r="BR51" s="190">
        <v>0</v>
      </c>
      <c r="BS51" s="190">
        <v>0</v>
      </c>
      <c r="BT51" s="190">
        <v>0</v>
      </c>
      <c r="BU51" s="190">
        <v>2</v>
      </c>
      <c r="BV51" s="190">
        <v>2</v>
      </c>
      <c r="BW51" s="190">
        <v>13</v>
      </c>
      <c r="BX51" s="190">
        <v>152</v>
      </c>
      <c r="BY51" s="190">
        <v>165</v>
      </c>
      <c r="BZ51" s="190">
        <v>13</v>
      </c>
      <c r="CA51" s="190">
        <v>152</v>
      </c>
      <c r="CB51" s="190">
        <v>165</v>
      </c>
      <c r="CC51" s="190">
        <v>287</v>
      </c>
      <c r="CD51" s="190">
        <v>0</v>
      </c>
      <c r="CE51" s="190">
        <v>0</v>
      </c>
      <c r="CF51" s="190">
        <v>0</v>
      </c>
      <c r="CG51" s="190">
        <v>0</v>
      </c>
      <c r="CH51" s="190">
        <v>0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0</v>
      </c>
      <c r="CO51" s="190">
        <v>6</v>
      </c>
      <c r="CP51" s="190">
        <v>6</v>
      </c>
      <c r="CQ51" s="190">
        <v>0</v>
      </c>
      <c r="CR51" s="190">
        <v>0</v>
      </c>
      <c r="CS51" s="190">
        <v>0</v>
      </c>
      <c r="CT51" s="190">
        <v>13</v>
      </c>
      <c r="CU51" s="190">
        <v>146</v>
      </c>
      <c r="CV51" s="190">
        <v>159</v>
      </c>
      <c r="CW51" s="190">
        <v>0</v>
      </c>
      <c r="CX51" s="190">
        <v>9</v>
      </c>
      <c r="CY51" s="190">
        <v>9</v>
      </c>
      <c r="CZ51" s="190">
        <v>0</v>
      </c>
      <c r="DA51" s="190">
        <v>0</v>
      </c>
      <c r="DB51" s="190">
        <v>0</v>
      </c>
      <c r="DC51" s="190">
        <v>9</v>
      </c>
      <c r="DD51" s="190">
        <v>0</v>
      </c>
      <c r="DE51" s="190">
        <v>0</v>
      </c>
      <c r="DF51" s="190">
        <v>0</v>
      </c>
      <c r="DG51" s="190">
        <v>9</v>
      </c>
      <c r="DH51" s="190">
        <v>9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238</v>
      </c>
      <c r="C52" s="190">
        <v>68</v>
      </c>
      <c r="D52" s="190">
        <v>252</v>
      </c>
      <c r="E52" s="190">
        <v>143</v>
      </c>
      <c r="F52" s="190">
        <v>1</v>
      </c>
      <c r="G52" s="190">
        <v>9</v>
      </c>
      <c r="H52" s="190">
        <v>10</v>
      </c>
      <c r="I52" s="190">
        <v>0</v>
      </c>
      <c r="J52" s="190">
        <v>105</v>
      </c>
      <c r="K52" s="190">
        <v>105</v>
      </c>
      <c r="L52" s="190">
        <v>0</v>
      </c>
      <c r="M52" s="190">
        <v>27</v>
      </c>
      <c r="N52" s="190">
        <v>27</v>
      </c>
      <c r="O52" s="190">
        <v>0</v>
      </c>
      <c r="P52" s="190">
        <v>78</v>
      </c>
      <c r="Q52" s="190">
        <v>78</v>
      </c>
      <c r="R52" s="190">
        <v>0</v>
      </c>
      <c r="S52" s="190">
        <v>5</v>
      </c>
      <c r="T52" s="190">
        <v>5</v>
      </c>
      <c r="U52" s="190">
        <v>0</v>
      </c>
      <c r="V52" s="190">
        <v>4</v>
      </c>
      <c r="W52" s="190">
        <v>4</v>
      </c>
      <c r="X52" s="190">
        <v>4</v>
      </c>
      <c r="Y52" s="190">
        <v>248</v>
      </c>
      <c r="Z52" s="190">
        <v>252</v>
      </c>
      <c r="AA52" s="190">
        <v>3</v>
      </c>
      <c r="AB52" s="190">
        <v>91</v>
      </c>
      <c r="AC52" s="190">
        <v>94</v>
      </c>
      <c r="AD52" s="190">
        <v>2</v>
      </c>
      <c r="AE52" s="190">
        <v>78</v>
      </c>
      <c r="AF52" s="190">
        <v>80</v>
      </c>
      <c r="AG52" s="190">
        <v>1</v>
      </c>
      <c r="AH52" s="190">
        <v>3</v>
      </c>
      <c r="AI52" s="190">
        <v>4</v>
      </c>
      <c r="AJ52" s="190">
        <v>0</v>
      </c>
      <c r="AK52" s="190">
        <v>10</v>
      </c>
      <c r="AL52" s="190">
        <v>10</v>
      </c>
      <c r="AM52" s="190">
        <v>1</v>
      </c>
      <c r="AN52" s="190">
        <v>157</v>
      </c>
      <c r="AO52" s="190">
        <v>158</v>
      </c>
      <c r="AP52" s="190">
        <v>351</v>
      </c>
      <c r="AQ52" s="190">
        <v>2523</v>
      </c>
      <c r="AR52" s="190">
        <v>2874</v>
      </c>
      <c r="AS52" s="190">
        <v>351</v>
      </c>
      <c r="AT52" s="190">
        <v>2523</v>
      </c>
      <c r="AU52" s="190">
        <v>2874</v>
      </c>
      <c r="AV52" s="190">
        <v>0</v>
      </c>
      <c r="AW52" s="190">
        <v>0</v>
      </c>
      <c r="AX52" s="190">
        <v>0</v>
      </c>
      <c r="AY52" s="190">
        <v>23</v>
      </c>
      <c r="AZ52" s="190">
        <v>276</v>
      </c>
      <c r="BA52" s="190">
        <v>299</v>
      </c>
      <c r="BB52" s="190">
        <v>6</v>
      </c>
      <c r="BC52" s="190">
        <v>0</v>
      </c>
      <c r="BD52" s="190">
        <v>0</v>
      </c>
      <c r="BE52" s="190">
        <v>135</v>
      </c>
      <c r="BF52" s="190">
        <v>1</v>
      </c>
      <c r="BG52" s="190">
        <v>1</v>
      </c>
      <c r="BH52" s="190">
        <v>6</v>
      </c>
      <c r="BI52" s="190">
        <v>137</v>
      </c>
      <c r="BJ52" s="190">
        <v>143</v>
      </c>
      <c r="BK52" s="190">
        <v>2</v>
      </c>
      <c r="BL52" s="190">
        <v>-2</v>
      </c>
      <c r="BM52" s="190">
        <v>0</v>
      </c>
      <c r="BN52" s="190">
        <v>1</v>
      </c>
      <c r="BO52" s="190">
        <v>9</v>
      </c>
      <c r="BP52" s="190">
        <v>10</v>
      </c>
      <c r="BQ52" s="190">
        <v>2</v>
      </c>
      <c r="BR52" s="190">
        <v>24</v>
      </c>
      <c r="BS52" s="190">
        <v>26</v>
      </c>
      <c r="BT52" s="190">
        <v>12</v>
      </c>
      <c r="BU52" s="190">
        <v>108</v>
      </c>
      <c r="BV52" s="190">
        <v>120</v>
      </c>
      <c r="BW52" s="190">
        <v>374</v>
      </c>
      <c r="BX52" s="190">
        <v>2799</v>
      </c>
      <c r="BY52" s="190">
        <v>3173</v>
      </c>
      <c r="BZ52" s="190">
        <v>373</v>
      </c>
      <c r="CA52" s="190">
        <v>2791</v>
      </c>
      <c r="CB52" s="190">
        <v>3164</v>
      </c>
      <c r="CC52" s="190">
        <v>6644</v>
      </c>
      <c r="CD52" s="190">
        <v>1</v>
      </c>
      <c r="CE52" s="190">
        <v>7</v>
      </c>
      <c r="CF52" s="190">
        <v>1</v>
      </c>
      <c r="CG52" s="190">
        <v>6</v>
      </c>
      <c r="CH52" s="190">
        <v>7</v>
      </c>
      <c r="CI52" s="190">
        <v>3</v>
      </c>
      <c r="CJ52" s="190">
        <v>0</v>
      </c>
      <c r="CK52" s="190">
        <v>0</v>
      </c>
      <c r="CL52" s="190">
        <v>2</v>
      </c>
      <c r="CM52" s="190">
        <v>2</v>
      </c>
      <c r="CN52" s="190">
        <v>34</v>
      </c>
      <c r="CO52" s="190">
        <v>263</v>
      </c>
      <c r="CP52" s="190">
        <v>297</v>
      </c>
      <c r="CQ52" s="190">
        <v>0</v>
      </c>
      <c r="CR52" s="190">
        <v>1</v>
      </c>
      <c r="CS52" s="190">
        <v>1</v>
      </c>
      <c r="CT52" s="190">
        <v>340</v>
      </c>
      <c r="CU52" s="190">
        <v>2536</v>
      </c>
      <c r="CV52" s="190">
        <v>2876</v>
      </c>
      <c r="CW52" s="190">
        <v>19</v>
      </c>
      <c r="CX52" s="190">
        <v>140</v>
      </c>
      <c r="CY52" s="190">
        <v>159</v>
      </c>
      <c r="CZ52" s="190">
        <v>18</v>
      </c>
      <c r="DA52" s="190">
        <v>0</v>
      </c>
      <c r="DB52" s="190">
        <v>0</v>
      </c>
      <c r="DC52" s="190">
        <v>140</v>
      </c>
      <c r="DD52" s="190">
        <v>0</v>
      </c>
      <c r="DE52" s="190">
        <v>0</v>
      </c>
      <c r="DF52" s="190">
        <v>18</v>
      </c>
      <c r="DG52" s="190">
        <v>140</v>
      </c>
      <c r="DH52" s="190">
        <v>158</v>
      </c>
      <c r="DI52" s="190">
        <v>1</v>
      </c>
      <c r="DJ52" s="190">
        <v>0</v>
      </c>
      <c r="DK52" s="190">
        <v>0</v>
      </c>
      <c r="DL52" s="190">
        <v>0</v>
      </c>
      <c r="DM52" s="190">
        <v>0</v>
      </c>
      <c r="DN52" s="190">
        <v>0</v>
      </c>
      <c r="DO52" s="190">
        <v>1</v>
      </c>
      <c r="DP52" s="190">
        <v>0</v>
      </c>
      <c r="DQ52" s="190">
        <v>1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1323</v>
      </c>
      <c r="C53" s="190">
        <v>306</v>
      </c>
      <c r="D53" s="190">
        <v>1256</v>
      </c>
      <c r="E53" s="190">
        <v>820</v>
      </c>
      <c r="F53" s="190">
        <v>2</v>
      </c>
      <c r="G53" s="190">
        <v>34</v>
      </c>
      <c r="H53" s="190">
        <v>36</v>
      </c>
      <c r="I53" s="190">
        <v>0</v>
      </c>
      <c r="J53" s="190">
        <v>329</v>
      </c>
      <c r="K53" s="190">
        <v>329</v>
      </c>
      <c r="L53" s="190">
        <v>0</v>
      </c>
      <c r="M53" s="190">
        <v>98</v>
      </c>
      <c r="N53" s="190">
        <v>98</v>
      </c>
      <c r="O53" s="190">
        <v>0</v>
      </c>
      <c r="P53" s="190">
        <v>231</v>
      </c>
      <c r="Q53" s="190">
        <v>231</v>
      </c>
      <c r="R53" s="190">
        <v>0</v>
      </c>
      <c r="S53" s="190">
        <v>45</v>
      </c>
      <c r="T53" s="190">
        <v>45</v>
      </c>
      <c r="U53" s="190">
        <v>0</v>
      </c>
      <c r="V53" s="190">
        <v>107</v>
      </c>
      <c r="W53" s="190">
        <v>107</v>
      </c>
      <c r="X53" s="190">
        <v>27</v>
      </c>
      <c r="Y53" s="190">
        <v>679</v>
      </c>
      <c r="Z53" s="190">
        <v>706</v>
      </c>
      <c r="AA53" s="190">
        <v>19</v>
      </c>
      <c r="AB53" s="190">
        <v>393</v>
      </c>
      <c r="AC53" s="190">
        <v>412</v>
      </c>
      <c r="AD53" s="190">
        <v>16</v>
      </c>
      <c r="AE53" s="190">
        <v>384</v>
      </c>
      <c r="AF53" s="190">
        <v>400</v>
      </c>
      <c r="AG53" s="190">
        <v>1</v>
      </c>
      <c r="AH53" s="190">
        <v>7</v>
      </c>
      <c r="AI53" s="190">
        <v>8</v>
      </c>
      <c r="AJ53" s="190">
        <v>2</v>
      </c>
      <c r="AK53" s="190">
        <v>2</v>
      </c>
      <c r="AL53" s="190">
        <v>4</v>
      </c>
      <c r="AM53" s="190">
        <v>8</v>
      </c>
      <c r="AN53" s="190">
        <v>286</v>
      </c>
      <c r="AO53" s="190">
        <v>294</v>
      </c>
      <c r="AP53" s="190">
        <v>2264</v>
      </c>
      <c r="AQ53" s="190">
        <v>17572</v>
      </c>
      <c r="AR53" s="190">
        <v>19836</v>
      </c>
      <c r="AS53" s="190">
        <v>2293</v>
      </c>
      <c r="AT53" s="190">
        <v>17338</v>
      </c>
      <c r="AU53" s="190">
        <v>19631</v>
      </c>
      <c r="AV53" s="190">
        <v>-29</v>
      </c>
      <c r="AW53" s="190">
        <v>234</v>
      </c>
      <c r="AX53" s="190">
        <v>205</v>
      </c>
      <c r="AY53" s="190">
        <v>206</v>
      </c>
      <c r="AZ53" s="190">
        <v>1604</v>
      </c>
      <c r="BA53" s="190">
        <v>1810</v>
      </c>
      <c r="BB53" s="190">
        <v>69</v>
      </c>
      <c r="BC53" s="190">
        <v>1</v>
      </c>
      <c r="BD53" s="190">
        <v>0</v>
      </c>
      <c r="BE53" s="190">
        <v>740</v>
      </c>
      <c r="BF53" s="190">
        <v>5</v>
      </c>
      <c r="BG53" s="190">
        <v>5</v>
      </c>
      <c r="BH53" s="190">
        <v>70</v>
      </c>
      <c r="BI53" s="190">
        <v>750</v>
      </c>
      <c r="BJ53" s="190">
        <v>820</v>
      </c>
      <c r="BK53" s="190">
        <v>34</v>
      </c>
      <c r="BL53" s="190">
        <v>-34</v>
      </c>
      <c r="BM53" s="190">
        <v>0</v>
      </c>
      <c r="BN53" s="190">
        <v>11</v>
      </c>
      <c r="BO53" s="190">
        <v>37</v>
      </c>
      <c r="BP53" s="190">
        <v>48</v>
      </c>
      <c r="BQ53" s="190">
        <v>3</v>
      </c>
      <c r="BR53" s="190">
        <v>111</v>
      </c>
      <c r="BS53" s="190">
        <v>114</v>
      </c>
      <c r="BT53" s="190">
        <v>88</v>
      </c>
      <c r="BU53" s="190">
        <v>740</v>
      </c>
      <c r="BV53" s="190">
        <v>828</v>
      </c>
      <c r="BW53" s="190">
        <v>2470</v>
      </c>
      <c r="BX53" s="190">
        <v>19176</v>
      </c>
      <c r="BY53" s="190">
        <v>21646</v>
      </c>
      <c r="BZ53" s="190">
        <v>2452</v>
      </c>
      <c r="CA53" s="190">
        <v>18952</v>
      </c>
      <c r="CB53" s="190">
        <v>21404</v>
      </c>
      <c r="CC53" s="190">
        <v>40524</v>
      </c>
      <c r="CD53" s="190">
        <v>203</v>
      </c>
      <c r="CE53" s="190">
        <v>176</v>
      </c>
      <c r="CF53" s="190">
        <v>17</v>
      </c>
      <c r="CG53" s="190">
        <v>155</v>
      </c>
      <c r="CH53" s="190">
        <v>172</v>
      </c>
      <c r="CI53" s="190">
        <v>98</v>
      </c>
      <c r="CJ53" s="190">
        <v>71</v>
      </c>
      <c r="CK53" s="190">
        <v>1</v>
      </c>
      <c r="CL53" s="190">
        <v>69</v>
      </c>
      <c r="CM53" s="190">
        <v>70</v>
      </c>
      <c r="CN53" s="190">
        <v>160</v>
      </c>
      <c r="CO53" s="190">
        <v>2131</v>
      </c>
      <c r="CP53" s="190">
        <v>2291</v>
      </c>
      <c r="CQ53" s="190">
        <v>0</v>
      </c>
      <c r="CR53" s="190">
        <v>8</v>
      </c>
      <c r="CS53" s="190">
        <v>8</v>
      </c>
      <c r="CT53" s="190">
        <v>2310</v>
      </c>
      <c r="CU53" s="190">
        <v>17045</v>
      </c>
      <c r="CV53" s="190">
        <v>19355</v>
      </c>
      <c r="CW53" s="190">
        <v>172</v>
      </c>
      <c r="CX53" s="190">
        <v>1017</v>
      </c>
      <c r="CY53" s="190">
        <v>1189</v>
      </c>
      <c r="CZ53" s="190">
        <v>171</v>
      </c>
      <c r="DA53" s="190">
        <v>1</v>
      </c>
      <c r="DB53" s="190">
        <v>0</v>
      </c>
      <c r="DC53" s="190">
        <v>978</v>
      </c>
      <c r="DD53" s="190">
        <v>6</v>
      </c>
      <c r="DE53" s="190">
        <v>4</v>
      </c>
      <c r="DF53" s="190">
        <v>172</v>
      </c>
      <c r="DG53" s="190">
        <v>988</v>
      </c>
      <c r="DH53" s="190">
        <v>1160</v>
      </c>
      <c r="DI53" s="190">
        <v>0</v>
      </c>
      <c r="DJ53" s="190">
        <v>0</v>
      </c>
      <c r="DK53" s="190">
        <v>0</v>
      </c>
      <c r="DL53" s="190">
        <v>28</v>
      </c>
      <c r="DM53" s="190">
        <v>1</v>
      </c>
      <c r="DN53" s="190">
        <v>0</v>
      </c>
      <c r="DO53" s="190">
        <v>0</v>
      </c>
      <c r="DP53" s="190">
        <v>29</v>
      </c>
      <c r="DQ53" s="190">
        <v>29</v>
      </c>
      <c r="DR53" s="190">
        <v>1</v>
      </c>
      <c r="DS53" s="190">
        <v>6</v>
      </c>
      <c r="DT53" s="191">
        <v>7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1468</v>
      </c>
      <c r="C54" s="190">
        <v>331</v>
      </c>
      <c r="D54" s="190">
        <v>1273</v>
      </c>
      <c r="E54" s="190">
        <v>470</v>
      </c>
      <c r="F54" s="190">
        <v>1</v>
      </c>
      <c r="G54" s="190">
        <v>18</v>
      </c>
      <c r="H54" s="190">
        <v>19</v>
      </c>
      <c r="I54" s="190">
        <v>1</v>
      </c>
      <c r="J54" s="190">
        <v>762</v>
      </c>
      <c r="K54" s="190">
        <v>763</v>
      </c>
      <c r="L54" s="190">
        <v>1</v>
      </c>
      <c r="M54" s="190">
        <v>524</v>
      </c>
      <c r="N54" s="190">
        <v>525</v>
      </c>
      <c r="O54" s="190">
        <v>0</v>
      </c>
      <c r="P54" s="190">
        <v>238</v>
      </c>
      <c r="Q54" s="190">
        <v>238</v>
      </c>
      <c r="R54" s="190">
        <v>1</v>
      </c>
      <c r="S54" s="190">
        <v>65</v>
      </c>
      <c r="T54" s="190">
        <v>66</v>
      </c>
      <c r="U54" s="190">
        <v>0</v>
      </c>
      <c r="V54" s="190">
        <v>40</v>
      </c>
      <c r="W54" s="190">
        <v>40</v>
      </c>
      <c r="X54" s="190">
        <v>8</v>
      </c>
      <c r="Y54" s="190">
        <v>1135</v>
      </c>
      <c r="Z54" s="190">
        <v>1143</v>
      </c>
      <c r="AA54" s="190">
        <v>3</v>
      </c>
      <c r="AB54" s="190">
        <v>291</v>
      </c>
      <c r="AC54" s="190">
        <v>294</v>
      </c>
      <c r="AD54" s="190">
        <v>3</v>
      </c>
      <c r="AE54" s="190">
        <v>189</v>
      </c>
      <c r="AF54" s="190">
        <v>192</v>
      </c>
      <c r="AG54" s="190">
        <v>0</v>
      </c>
      <c r="AH54" s="190">
        <v>79</v>
      </c>
      <c r="AI54" s="190">
        <v>79</v>
      </c>
      <c r="AJ54" s="190">
        <v>0</v>
      </c>
      <c r="AK54" s="190">
        <v>23</v>
      </c>
      <c r="AL54" s="190">
        <v>23</v>
      </c>
      <c r="AM54" s="190">
        <v>5</v>
      </c>
      <c r="AN54" s="190">
        <v>844</v>
      </c>
      <c r="AO54" s="190">
        <v>849</v>
      </c>
      <c r="AP54" s="190">
        <v>1401</v>
      </c>
      <c r="AQ54" s="190">
        <v>15627</v>
      </c>
      <c r="AR54" s="190">
        <v>17028</v>
      </c>
      <c r="AS54" s="190">
        <v>1350</v>
      </c>
      <c r="AT54" s="190">
        <v>14954</v>
      </c>
      <c r="AU54" s="190">
        <v>16304</v>
      </c>
      <c r="AV54" s="190">
        <v>51</v>
      </c>
      <c r="AW54" s="190">
        <v>673</v>
      </c>
      <c r="AX54" s="190">
        <v>724</v>
      </c>
      <c r="AY54" s="190">
        <v>42</v>
      </c>
      <c r="AZ54" s="190">
        <v>840</v>
      </c>
      <c r="BA54" s="190">
        <v>882</v>
      </c>
      <c r="BB54" s="190">
        <v>21</v>
      </c>
      <c r="BC54" s="190">
        <v>1</v>
      </c>
      <c r="BD54" s="190">
        <v>0</v>
      </c>
      <c r="BE54" s="190">
        <v>440</v>
      </c>
      <c r="BF54" s="190">
        <v>7</v>
      </c>
      <c r="BG54" s="190">
        <v>1</v>
      </c>
      <c r="BH54" s="190">
        <v>22</v>
      </c>
      <c r="BI54" s="190">
        <v>448</v>
      </c>
      <c r="BJ54" s="190">
        <v>470</v>
      </c>
      <c r="BK54" s="190">
        <v>-3</v>
      </c>
      <c r="BL54" s="190">
        <v>3</v>
      </c>
      <c r="BM54" s="190">
        <v>0</v>
      </c>
      <c r="BN54" s="190">
        <v>8</v>
      </c>
      <c r="BO54" s="190">
        <v>15</v>
      </c>
      <c r="BP54" s="190">
        <v>23</v>
      </c>
      <c r="BQ54" s="190">
        <v>3</v>
      </c>
      <c r="BR54" s="190">
        <v>157</v>
      </c>
      <c r="BS54" s="190">
        <v>160</v>
      </c>
      <c r="BT54" s="190">
        <v>12</v>
      </c>
      <c r="BU54" s="190">
        <v>217</v>
      </c>
      <c r="BV54" s="190">
        <v>229</v>
      </c>
      <c r="BW54" s="190">
        <v>1443</v>
      </c>
      <c r="BX54" s="190">
        <v>16467</v>
      </c>
      <c r="BY54" s="190">
        <v>17910</v>
      </c>
      <c r="BZ54" s="190">
        <v>1404</v>
      </c>
      <c r="CA54" s="190">
        <v>16187</v>
      </c>
      <c r="CB54" s="190">
        <v>17591</v>
      </c>
      <c r="CC54" s="190">
        <v>31354</v>
      </c>
      <c r="CD54" s="190">
        <v>28</v>
      </c>
      <c r="CE54" s="190">
        <v>299</v>
      </c>
      <c r="CF54" s="190">
        <v>38</v>
      </c>
      <c r="CG54" s="190">
        <v>227</v>
      </c>
      <c r="CH54" s="190">
        <v>265</v>
      </c>
      <c r="CI54" s="190">
        <v>67</v>
      </c>
      <c r="CJ54" s="190">
        <v>6</v>
      </c>
      <c r="CK54" s="190">
        <v>1</v>
      </c>
      <c r="CL54" s="190">
        <v>53</v>
      </c>
      <c r="CM54" s="190">
        <v>54</v>
      </c>
      <c r="CN54" s="190">
        <v>70</v>
      </c>
      <c r="CO54" s="190">
        <v>1678</v>
      </c>
      <c r="CP54" s="190">
        <v>1748</v>
      </c>
      <c r="CQ54" s="190">
        <v>0</v>
      </c>
      <c r="CR54" s="190">
        <v>15</v>
      </c>
      <c r="CS54" s="190">
        <v>15</v>
      </c>
      <c r="CT54" s="190">
        <v>1373</v>
      </c>
      <c r="CU54" s="190">
        <v>14789</v>
      </c>
      <c r="CV54" s="190">
        <v>16162</v>
      </c>
      <c r="CW54" s="190">
        <v>122</v>
      </c>
      <c r="CX54" s="190">
        <v>870</v>
      </c>
      <c r="CY54" s="190">
        <v>992</v>
      </c>
      <c r="CZ54" s="190">
        <v>112</v>
      </c>
      <c r="DA54" s="190">
        <v>7</v>
      </c>
      <c r="DB54" s="190">
        <v>0</v>
      </c>
      <c r="DC54" s="190">
        <v>828</v>
      </c>
      <c r="DD54" s="190">
        <v>9</v>
      </c>
      <c r="DE54" s="190">
        <v>2</v>
      </c>
      <c r="DF54" s="190">
        <v>119</v>
      </c>
      <c r="DG54" s="190">
        <v>839</v>
      </c>
      <c r="DH54" s="190">
        <v>958</v>
      </c>
      <c r="DI54" s="190">
        <v>3</v>
      </c>
      <c r="DJ54" s="190">
        <v>0</v>
      </c>
      <c r="DK54" s="190">
        <v>0</v>
      </c>
      <c r="DL54" s="190">
        <v>30</v>
      </c>
      <c r="DM54" s="190">
        <v>1</v>
      </c>
      <c r="DN54" s="190">
        <v>0</v>
      </c>
      <c r="DO54" s="190">
        <v>3</v>
      </c>
      <c r="DP54" s="190">
        <v>31</v>
      </c>
      <c r="DQ54" s="190">
        <v>34</v>
      </c>
      <c r="DR54" s="190">
        <v>1</v>
      </c>
      <c r="DS54" s="190">
        <v>5</v>
      </c>
      <c r="DT54" s="191">
        <v>6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2643</v>
      </c>
      <c r="C55" s="190">
        <v>597</v>
      </c>
      <c r="D55" s="190">
        <v>2620</v>
      </c>
      <c r="E55" s="190">
        <v>1760</v>
      </c>
      <c r="F55" s="190">
        <v>0</v>
      </c>
      <c r="G55" s="190">
        <v>26</v>
      </c>
      <c r="H55" s="190">
        <v>26</v>
      </c>
      <c r="I55" s="190">
        <v>0</v>
      </c>
      <c r="J55" s="190">
        <v>754</v>
      </c>
      <c r="K55" s="190">
        <v>754</v>
      </c>
      <c r="L55" s="190">
        <v>0</v>
      </c>
      <c r="M55" s="190">
        <v>413</v>
      </c>
      <c r="N55" s="190">
        <v>413</v>
      </c>
      <c r="O55" s="190">
        <v>0</v>
      </c>
      <c r="P55" s="190">
        <v>341</v>
      </c>
      <c r="Q55" s="190">
        <v>341</v>
      </c>
      <c r="R55" s="190">
        <v>0</v>
      </c>
      <c r="S55" s="190">
        <v>6</v>
      </c>
      <c r="T55" s="190">
        <v>6</v>
      </c>
      <c r="U55" s="190">
        <v>0</v>
      </c>
      <c r="V55" s="190">
        <v>106</v>
      </c>
      <c r="W55" s="190">
        <v>106</v>
      </c>
      <c r="X55" s="190">
        <v>41</v>
      </c>
      <c r="Y55" s="190">
        <v>2578</v>
      </c>
      <c r="Z55" s="190">
        <v>2619</v>
      </c>
      <c r="AA55" s="190">
        <v>22</v>
      </c>
      <c r="AB55" s="190">
        <v>1170</v>
      </c>
      <c r="AC55" s="190">
        <v>1192</v>
      </c>
      <c r="AD55" s="190">
        <v>18</v>
      </c>
      <c r="AE55" s="190">
        <v>1097</v>
      </c>
      <c r="AF55" s="190">
        <v>1115</v>
      </c>
      <c r="AG55" s="190">
        <v>2</v>
      </c>
      <c r="AH55" s="190">
        <v>42</v>
      </c>
      <c r="AI55" s="190">
        <v>44</v>
      </c>
      <c r="AJ55" s="190">
        <v>2</v>
      </c>
      <c r="AK55" s="190">
        <v>31</v>
      </c>
      <c r="AL55" s="190">
        <v>33</v>
      </c>
      <c r="AM55" s="190">
        <v>19</v>
      </c>
      <c r="AN55" s="190">
        <v>1408</v>
      </c>
      <c r="AO55" s="190">
        <v>1427</v>
      </c>
      <c r="AP55" s="190">
        <v>5193</v>
      </c>
      <c r="AQ55" s="190">
        <v>32942</v>
      </c>
      <c r="AR55" s="190">
        <v>38135</v>
      </c>
      <c r="AS55" s="190">
        <v>5193</v>
      </c>
      <c r="AT55" s="190">
        <v>32942</v>
      </c>
      <c r="AU55" s="190">
        <v>38135</v>
      </c>
      <c r="AV55" s="190">
        <v>0</v>
      </c>
      <c r="AW55" s="190">
        <v>0</v>
      </c>
      <c r="AX55" s="190">
        <v>0</v>
      </c>
      <c r="AY55" s="190">
        <v>267</v>
      </c>
      <c r="AZ55" s="190">
        <v>2787</v>
      </c>
      <c r="BA55" s="190">
        <v>3054</v>
      </c>
      <c r="BB55" s="190">
        <v>59</v>
      </c>
      <c r="BC55" s="190">
        <v>0</v>
      </c>
      <c r="BD55" s="190">
        <v>0</v>
      </c>
      <c r="BE55" s="190">
        <v>1693</v>
      </c>
      <c r="BF55" s="190">
        <v>7</v>
      </c>
      <c r="BG55" s="190">
        <v>1</v>
      </c>
      <c r="BH55" s="190">
        <v>59</v>
      </c>
      <c r="BI55" s="190">
        <v>1701</v>
      </c>
      <c r="BJ55" s="190">
        <v>1760</v>
      </c>
      <c r="BK55" s="190">
        <v>18</v>
      </c>
      <c r="BL55" s="190">
        <v>-18</v>
      </c>
      <c r="BM55" s="190">
        <v>0</v>
      </c>
      <c r="BN55" s="190">
        <v>17</v>
      </c>
      <c r="BO55" s="190">
        <v>65</v>
      </c>
      <c r="BP55" s="190">
        <v>82</v>
      </c>
      <c r="BQ55" s="190">
        <v>45</v>
      </c>
      <c r="BR55" s="190">
        <v>424</v>
      </c>
      <c r="BS55" s="190">
        <v>469</v>
      </c>
      <c r="BT55" s="190">
        <v>128</v>
      </c>
      <c r="BU55" s="190">
        <v>615</v>
      </c>
      <c r="BV55" s="190">
        <v>743</v>
      </c>
      <c r="BW55" s="190">
        <v>5460</v>
      </c>
      <c r="BX55" s="190">
        <v>35729</v>
      </c>
      <c r="BY55" s="190">
        <v>41189</v>
      </c>
      <c r="BZ55" s="190">
        <v>5422</v>
      </c>
      <c r="CA55" s="190">
        <v>35529</v>
      </c>
      <c r="CB55" s="190">
        <v>40951</v>
      </c>
      <c r="CC55" s="190">
        <v>85970</v>
      </c>
      <c r="CD55" s="190">
        <v>13</v>
      </c>
      <c r="CE55" s="190">
        <v>229</v>
      </c>
      <c r="CF55" s="190">
        <v>38</v>
      </c>
      <c r="CG55" s="190">
        <v>172</v>
      </c>
      <c r="CH55" s="190">
        <v>210</v>
      </c>
      <c r="CI55" s="190">
        <v>30</v>
      </c>
      <c r="CJ55" s="190">
        <v>6</v>
      </c>
      <c r="CK55" s="190">
        <v>0</v>
      </c>
      <c r="CL55" s="190">
        <v>28</v>
      </c>
      <c r="CM55" s="190">
        <v>28</v>
      </c>
      <c r="CN55" s="190">
        <v>307</v>
      </c>
      <c r="CO55" s="190">
        <v>3277</v>
      </c>
      <c r="CP55" s="190">
        <v>3584</v>
      </c>
      <c r="CQ55" s="190">
        <v>0</v>
      </c>
      <c r="CR55" s="190">
        <v>3</v>
      </c>
      <c r="CS55" s="190">
        <v>3</v>
      </c>
      <c r="CT55" s="190">
        <v>5153</v>
      </c>
      <c r="CU55" s="190">
        <v>32452</v>
      </c>
      <c r="CV55" s="190">
        <v>37605</v>
      </c>
      <c r="CW55" s="190">
        <v>356</v>
      </c>
      <c r="CX55" s="190">
        <v>1502</v>
      </c>
      <c r="CY55" s="190">
        <v>1858</v>
      </c>
      <c r="CZ55" s="190">
        <v>350</v>
      </c>
      <c r="DA55" s="190">
        <v>3</v>
      </c>
      <c r="DB55" s="190">
        <v>0</v>
      </c>
      <c r="DC55" s="190">
        <v>1477</v>
      </c>
      <c r="DD55" s="190">
        <v>9</v>
      </c>
      <c r="DE55" s="190">
        <v>2</v>
      </c>
      <c r="DF55" s="190">
        <v>353</v>
      </c>
      <c r="DG55" s="190">
        <v>1488</v>
      </c>
      <c r="DH55" s="190">
        <v>1841</v>
      </c>
      <c r="DI55" s="190">
        <v>3</v>
      </c>
      <c r="DJ55" s="190">
        <v>0</v>
      </c>
      <c r="DK55" s="190">
        <v>0</v>
      </c>
      <c r="DL55" s="190">
        <v>14</v>
      </c>
      <c r="DM55" s="190">
        <v>0</v>
      </c>
      <c r="DN55" s="190">
        <v>0</v>
      </c>
      <c r="DO55" s="190">
        <v>3</v>
      </c>
      <c r="DP55" s="190">
        <v>14</v>
      </c>
      <c r="DQ55" s="190">
        <v>17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418</v>
      </c>
      <c r="C56" s="190">
        <v>89</v>
      </c>
      <c r="D56" s="190">
        <v>425</v>
      </c>
      <c r="E56" s="190">
        <v>270</v>
      </c>
      <c r="F56" s="190">
        <v>0</v>
      </c>
      <c r="G56" s="190">
        <v>1</v>
      </c>
      <c r="H56" s="190">
        <v>1</v>
      </c>
      <c r="I56" s="190">
        <v>0</v>
      </c>
      <c r="J56" s="190">
        <v>138</v>
      </c>
      <c r="K56" s="190">
        <v>138</v>
      </c>
      <c r="L56" s="190">
        <v>0</v>
      </c>
      <c r="M56" s="190">
        <v>59</v>
      </c>
      <c r="N56" s="190">
        <v>59</v>
      </c>
      <c r="O56" s="190">
        <v>0</v>
      </c>
      <c r="P56" s="190">
        <v>79</v>
      </c>
      <c r="Q56" s="190">
        <v>79</v>
      </c>
      <c r="R56" s="190">
        <v>0</v>
      </c>
      <c r="S56" s="190">
        <v>1</v>
      </c>
      <c r="T56" s="190">
        <v>1</v>
      </c>
      <c r="U56" s="190">
        <v>0</v>
      </c>
      <c r="V56" s="190">
        <v>17</v>
      </c>
      <c r="W56" s="190">
        <v>17</v>
      </c>
      <c r="X56" s="190">
        <v>14</v>
      </c>
      <c r="Y56" s="190">
        <v>411</v>
      </c>
      <c r="Z56" s="190">
        <v>425</v>
      </c>
      <c r="AA56" s="190">
        <v>13</v>
      </c>
      <c r="AB56" s="190">
        <v>194</v>
      </c>
      <c r="AC56" s="190">
        <v>207</v>
      </c>
      <c r="AD56" s="190">
        <v>12</v>
      </c>
      <c r="AE56" s="190">
        <v>190</v>
      </c>
      <c r="AF56" s="190">
        <v>202</v>
      </c>
      <c r="AG56" s="190">
        <v>0</v>
      </c>
      <c r="AH56" s="190">
        <v>2</v>
      </c>
      <c r="AI56" s="190">
        <v>2</v>
      </c>
      <c r="AJ56" s="190">
        <v>1</v>
      </c>
      <c r="AK56" s="190">
        <v>2</v>
      </c>
      <c r="AL56" s="190">
        <v>3</v>
      </c>
      <c r="AM56" s="190">
        <v>1</v>
      </c>
      <c r="AN56" s="190">
        <v>217</v>
      </c>
      <c r="AO56" s="190">
        <v>218</v>
      </c>
      <c r="AP56" s="190">
        <v>633</v>
      </c>
      <c r="AQ56" s="190">
        <v>4499</v>
      </c>
      <c r="AR56" s="190">
        <v>5132</v>
      </c>
      <c r="AS56" s="190">
        <v>633</v>
      </c>
      <c r="AT56" s="190">
        <v>4499</v>
      </c>
      <c r="AU56" s="190">
        <v>5132</v>
      </c>
      <c r="AV56" s="190">
        <v>0</v>
      </c>
      <c r="AW56" s="190">
        <v>0</v>
      </c>
      <c r="AX56" s="190">
        <v>0</v>
      </c>
      <c r="AY56" s="190">
        <v>49</v>
      </c>
      <c r="AZ56" s="190">
        <v>489</v>
      </c>
      <c r="BA56" s="190">
        <v>538</v>
      </c>
      <c r="BB56" s="190">
        <v>15</v>
      </c>
      <c r="BC56" s="190">
        <v>0</v>
      </c>
      <c r="BD56" s="190">
        <v>0</v>
      </c>
      <c r="BE56" s="190">
        <v>249</v>
      </c>
      <c r="BF56" s="190">
        <v>6</v>
      </c>
      <c r="BG56" s="190">
        <v>0</v>
      </c>
      <c r="BH56" s="190">
        <v>15</v>
      </c>
      <c r="BI56" s="190">
        <v>255</v>
      </c>
      <c r="BJ56" s="190">
        <v>270</v>
      </c>
      <c r="BK56" s="190">
        <v>11</v>
      </c>
      <c r="BL56" s="190">
        <v>-11</v>
      </c>
      <c r="BM56" s="190">
        <v>0</v>
      </c>
      <c r="BN56" s="190">
        <v>3</v>
      </c>
      <c r="BO56" s="190">
        <v>16</v>
      </c>
      <c r="BP56" s="190">
        <v>19</v>
      </c>
      <c r="BQ56" s="190">
        <v>1</v>
      </c>
      <c r="BR56" s="190">
        <v>52</v>
      </c>
      <c r="BS56" s="190">
        <v>53</v>
      </c>
      <c r="BT56" s="190">
        <v>19</v>
      </c>
      <c r="BU56" s="190">
        <v>177</v>
      </c>
      <c r="BV56" s="190">
        <v>196</v>
      </c>
      <c r="BW56" s="190">
        <v>682</v>
      </c>
      <c r="BX56" s="190">
        <v>4988</v>
      </c>
      <c r="BY56" s="190">
        <v>5670</v>
      </c>
      <c r="BZ56" s="190">
        <v>667</v>
      </c>
      <c r="CA56" s="190">
        <v>4922</v>
      </c>
      <c r="CB56" s="190">
        <v>5589</v>
      </c>
      <c r="CC56" s="190">
        <v>12851</v>
      </c>
      <c r="CD56" s="190">
        <v>9</v>
      </c>
      <c r="CE56" s="190">
        <v>71</v>
      </c>
      <c r="CF56" s="190">
        <v>15</v>
      </c>
      <c r="CG56" s="190">
        <v>52</v>
      </c>
      <c r="CH56" s="190">
        <v>67</v>
      </c>
      <c r="CI56" s="190">
        <v>16</v>
      </c>
      <c r="CJ56" s="190">
        <v>3</v>
      </c>
      <c r="CK56" s="190">
        <v>0</v>
      </c>
      <c r="CL56" s="190">
        <v>14</v>
      </c>
      <c r="CM56" s="190">
        <v>14</v>
      </c>
      <c r="CN56" s="190">
        <v>29</v>
      </c>
      <c r="CO56" s="190">
        <v>511</v>
      </c>
      <c r="CP56" s="190">
        <v>540</v>
      </c>
      <c r="CQ56" s="190">
        <v>0</v>
      </c>
      <c r="CR56" s="190">
        <v>0</v>
      </c>
      <c r="CS56" s="190">
        <v>0</v>
      </c>
      <c r="CT56" s="190">
        <v>653</v>
      </c>
      <c r="CU56" s="190">
        <v>4477</v>
      </c>
      <c r="CV56" s="190">
        <v>5130</v>
      </c>
      <c r="CW56" s="190">
        <v>29</v>
      </c>
      <c r="CX56" s="190">
        <v>286</v>
      </c>
      <c r="CY56" s="190">
        <v>315</v>
      </c>
      <c r="CZ56" s="190">
        <v>29</v>
      </c>
      <c r="DA56" s="190">
        <v>0</v>
      </c>
      <c r="DB56" s="190">
        <v>0</v>
      </c>
      <c r="DC56" s="190">
        <v>276</v>
      </c>
      <c r="DD56" s="190">
        <v>5</v>
      </c>
      <c r="DE56" s="190">
        <v>1</v>
      </c>
      <c r="DF56" s="190">
        <v>29</v>
      </c>
      <c r="DG56" s="190">
        <v>282</v>
      </c>
      <c r="DH56" s="190">
        <v>311</v>
      </c>
      <c r="DI56" s="190">
        <v>0</v>
      </c>
      <c r="DJ56" s="190">
        <v>0</v>
      </c>
      <c r="DK56" s="190">
        <v>0</v>
      </c>
      <c r="DL56" s="190">
        <v>4</v>
      </c>
      <c r="DM56" s="190">
        <v>0</v>
      </c>
      <c r="DN56" s="190">
        <v>0</v>
      </c>
      <c r="DO56" s="190">
        <v>0</v>
      </c>
      <c r="DP56" s="190">
        <v>4</v>
      </c>
      <c r="DQ56" s="190">
        <v>4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360</v>
      </c>
      <c r="C57" s="190">
        <v>38</v>
      </c>
      <c r="D57" s="190">
        <v>368</v>
      </c>
      <c r="E57" s="190">
        <v>225</v>
      </c>
      <c r="F57" s="190">
        <v>1</v>
      </c>
      <c r="G57" s="190">
        <v>8</v>
      </c>
      <c r="H57" s="190">
        <v>9</v>
      </c>
      <c r="I57" s="190">
        <v>0</v>
      </c>
      <c r="J57" s="190">
        <v>130</v>
      </c>
      <c r="K57" s="190">
        <v>130</v>
      </c>
      <c r="L57" s="190">
        <v>0</v>
      </c>
      <c r="M57" s="190">
        <v>41</v>
      </c>
      <c r="N57" s="190">
        <v>41</v>
      </c>
      <c r="O57" s="190">
        <v>0</v>
      </c>
      <c r="P57" s="190">
        <v>89</v>
      </c>
      <c r="Q57" s="190">
        <v>89</v>
      </c>
      <c r="R57" s="190">
        <v>0</v>
      </c>
      <c r="S57" s="190">
        <v>8</v>
      </c>
      <c r="T57" s="190">
        <v>8</v>
      </c>
      <c r="U57" s="190">
        <v>0</v>
      </c>
      <c r="V57" s="190">
        <v>13</v>
      </c>
      <c r="W57" s="190">
        <v>13</v>
      </c>
      <c r="X57" s="190">
        <v>4</v>
      </c>
      <c r="Y57" s="190">
        <v>364</v>
      </c>
      <c r="Z57" s="190">
        <v>368</v>
      </c>
      <c r="AA57" s="190">
        <v>2</v>
      </c>
      <c r="AB57" s="190">
        <v>159</v>
      </c>
      <c r="AC57" s="190">
        <v>161</v>
      </c>
      <c r="AD57" s="190">
        <v>2</v>
      </c>
      <c r="AE57" s="190">
        <v>153</v>
      </c>
      <c r="AF57" s="190">
        <v>155</v>
      </c>
      <c r="AG57" s="190">
        <v>0</v>
      </c>
      <c r="AH57" s="190">
        <v>2</v>
      </c>
      <c r="AI57" s="190">
        <v>2</v>
      </c>
      <c r="AJ57" s="190">
        <v>0</v>
      </c>
      <c r="AK57" s="190">
        <v>4</v>
      </c>
      <c r="AL57" s="190">
        <v>4</v>
      </c>
      <c r="AM57" s="190">
        <v>2</v>
      </c>
      <c r="AN57" s="190">
        <v>205</v>
      </c>
      <c r="AO57" s="190">
        <v>207</v>
      </c>
      <c r="AP57" s="190">
        <v>470</v>
      </c>
      <c r="AQ57" s="190">
        <v>3569</v>
      </c>
      <c r="AR57" s="190">
        <v>4039</v>
      </c>
      <c r="AS57" s="190">
        <v>470</v>
      </c>
      <c r="AT57" s="190">
        <v>3569</v>
      </c>
      <c r="AU57" s="190">
        <v>4039</v>
      </c>
      <c r="AV57" s="190">
        <v>0</v>
      </c>
      <c r="AW57" s="190">
        <v>0</v>
      </c>
      <c r="AX57" s="190">
        <v>0</v>
      </c>
      <c r="AY57" s="190">
        <v>4</v>
      </c>
      <c r="AZ57" s="190">
        <v>402</v>
      </c>
      <c r="BA57" s="190">
        <v>406</v>
      </c>
      <c r="BB57" s="190">
        <v>4</v>
      </c>
      <c r="BC57" s="190">
        <v>0</v>
      </c>
      <c r="BD57" s="190">
        <v>0</v>
      </c>
      <c r="BE57" s="190">
        <v>219</v>
      </c>
      <c r="BF57" s="190">
        <v>1</v>
      </c>
      <c r="BG57" s="190">
        <v>1</v>
      </c>
      <c r="BH57" s="190">
        <v>4</v>
      </c>
      <c r="BI57" s="190">
        <v>221</v>
      </c>
      <c r="BJ57" s="190">
        <v>225</v>
      </c>
      <c r="BK57" s="190">
        <v>-9</v>
      </c>
      <c r="BL57" s="190">
        <v>9</v>
      </c>
      <c r="BM57" s="190">
        <v>0</v>
      </c>
      <c r="BN57" s="190">
        <v>2</v>
      </c>
      <c r="BO57" s="190">
        <v>21</v>
      </c>
      <c r="BP57" s="190">
        <v>23</v>
      </c>
      <c r="BQ57" s="190">
        <v>1</v>
      </c>
      <c r="BR57" s="190">
        <v>37</v>
      </c>
      <c r="BS57" s="190">
        <v>38</v>
      </c>
      <c r="BT57" s="190">
        <v>6</v>
      </c>
      <c r="BU57" s="190">
        <v>114</v>
      </c>
      <c r="BV57" s="190">
        <v>120</v>
      </c>
      <c r="BW57" s="190">
        <v>474</v>
      </c>
      <c r="BX57" s="190">
        <v>3971</v>
      </c>
      <c r="BY57" s="190">
        <v>4445</v>
      </c>
      <c r="BZ57" s="190">
        <v>474</v>
      </c>
      <c r="CA57" s="190">
        <v>3944</v>
      </c>
      <c r="CB57" s="190">
        <v>4418</v>
      </c>
      <c r="CC57" s="190">
        <v>9524</v>
      </c>
      <c r="CD57" s="190">
        <v>0</v>
      </c>
      <c r="CE57" s="190">
        <v>63</v>
      </c>
      <c r="CF57" s="190">
        <v>0</v>
      </c>
      <c r="CG57" s="190">
        <v>25</v>
      </c>
      <c r="CH57" s="190">
        <v>25</v>
      </c>
      <c r="CI57" s="190">
        <v>1</v>
      </c>
      <c r="CJ57" s="190">
        <v>2</v>
      </c>
      <c r="CK57" s="190">
        <v>0</v>
      </c>
      <c r="CL57" s="190">
        <v>2</v>
      </c>
      <c r="CM57" s="190">
        <v>2</v>
      </c>
      <c r="CN57" s="190">
        <v>27</v>
      </c>
      <c r="CO57" s="190">
        <v>398</v>
      </c>
      <c r="CP57" s="190">
        <v>425</v>
      </c>
      <c r="CQ57" s="190">
        <v>0</v>
      </c>
      <c r="CR57" s="190">
        <v>7</v>
      </c>
      <c r="CS57" s="190">
        <v>7</v>
      </c>
      <c r="CT57" s="190">
        <v>447</v>
      </c>
      <c r="CU57" s="190">
        <v>3573</v>
      </c>
      <c r="CV57" s="190">
        <v>4020</v>
      </c>
      <c r="CW57" s="190">
        <v>19</v>
      </c>
      <c r="CX57" s="190">
        <v>193</v>
      </c>
      <c r="CY57" s="190">
        <v>212</v>
      </c>
      <c r="CZ57" s="190">
        <v>19</v>
      </c>
      <c r="DA57" s="190">
        <v>0</v>
      </c>
      <c r="DB57" s="190">
        <v>0</v>
      </c>
      <c r="DC57" s="190">
        <v>186</v>
      </c>
      <c r="DD57" s="190">
        <v>1</v>
      </c>
      <c r="DE57" s="190">
        <v>0</v>
      </c>
      <c r="DF57" s="190">
        <v>19</v>
      </c>
      <c r="DG57" s="190">
        <v>187</v>
      </c>
      <c r="DH57" s="190">
        <v>206</v>
      </c>
      <c r="DI57" s="190">
        <v>0</v>
      </c>
      <c r="DJ57" s="190">
        <v>0</v>
      </c>
      <c r="DK57" s="190">
        <v>0</v>
      </c>
      <c r="DL57" s="190">
        <v>6</v>
      </c>
      <c r="DM57" s="190">
        <v>0</v>
      </c>
      <c r="DN57" s="190">
        <v>0</v>
      </c>
      <c r="DO57" s="190">
        <v>0</v>
      </c>
      <c r="DP57" s="190">
        <v>6</v>
      </c>
      <c r="DQ57" s="190">
        <v>6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77</v>
      </c>
      <c r="C58" s="190">
        <v>1</v>
      </c>
      <c r="D58" s="190">
        <v>84</v>
      </c>
      <c r="E58" s="190">
        <v>54</v>
      </c>
      <c r="F58" s="190">
        <v>0</v>
      </c>
      <c r="G58" s="190">
        <v>2</v>
      </c>
      <c r="H58" s="190">
        <v>2</v>
      </c>
      <c r="I58" s="190">
        <v>0</v>
      </c>
      <c r="J58" s="190">
        <v>29</v>
      </c>
      <c r="K58" s="190">
        <v>29</v>
      </c>
      <c r="L58" s="190">
        <v>0</v>
      </c>
      <c r="M58" s="190">
        <v>12</v>
      </c>
      <c r="N58" s="190">
        <v>12</v>
      </c>
      <c r="O58" s="190">
        <v>0</v>
      </c>
      <c r="P58" s="190">
        <v>17</v>
      </c>
      <c r="Q58" s="190">
        <v>17</v>
      </c>
      <c r="R58" s="190">
        <v>0</v>
      </c>
      <c r="S58" s="190">
        <v>0</v>
      </c>
      <c r="T58" s="190">
        <v>0</v>
      </c>
      <c r="U58" s="190">
        <v>0</v>
      </c>
      <c r="V58" s="190">
        <v>1</v>
      </c>
      <c r="W58" s="190">
        <v>1</v>
      </c>
      <c r="X58" s="190">
        <v>1</v>
      </c>
      <c r="Y58" s="190">
        <v>83</v>
      </c>
      <c r="Z58" s="190">
        <v>84</v>
      </c>
      <c r="AA58" s="190">
        <v>0</v>
      </c>
      <c r="AB58" s="190">
        <v>49</v>
      </c>
      <c r="AC58" s="190">
        <v>49</v>
      </c>
      <c r="AD58" s="190">
        <v>0</v>
      </c>
      <c r="AE58" s="190">
        <v>41</v>
      </c>
      <c r="AF58" s="190">
        <v>41</v>
      </c>
      <c r="AG58" s="190">
        <v>0</v>
      </c>
      <c r="AH58" s="190">
        <v>5</v>
      </c>
      <c r="AI58" s="190">
        <v>5</v>
      </c>
      <c r="AJ58" s="190">
        <v>0</v>
      </c>
      <c r="AK58" s="190">
        <v>3</v>
      </c>
      <c r="AL58" s="190">
        <v>3</v>
      </c>
      <c r="AM58" s="190">
        <v>1</v>
      </c>
      <c r="AN58" s="190">
        <v>34</v>
      </c>
      <c r="AO58" s="190">
        <v>35</v>
      </c>
      <c r="AP58" s="190">
        <v>58</v>
      </c>
      <c r="AQ58" s="190">
        <v>888</v>
      </c>
      <c r="AR58" s="190">
        <v>946</v>
      </c>
      <c r="AS58" s="190">
        <v>58</v>
      </c>
      <c r="AT58" s="190">
        <v>888</v>
      </c>
      <c r="AU58" s="190">
        <v>946</v>
      </c>
      <c r="AV58" s="190">
        <v>0</v>
      </c>
      <c r="AW58" s="190">
        <v>0</v>
      </c>
      <c r="AX58" s="190">
        <v>0</v>
      </c>
      <c r="AY58" s="190">
        <v>1</v>
      </c>
      <c r="AZ58" s="190">
        <v>90</v>
      </c>
      <c r="BA58" s="190">
        <v>91</v>
      </c>
      <c r="BB58" s="190">
        <v>1</v>
      </c>
      <c r="BC58" s="190">
        <v>0</v>
      </c>
      <c r="BD58" s="190">
        <v>0</v>
      </c>
      <c r="BE58" s="190">
        <v>53</v>
      </c>
      <c r="BF58" s="190">
        <v>0</v>
      </c>
      <c r="BG58" s="190">
        <v>0</v>
      </c>
      <c r="BH58" s="190">
        <v>1</v>
      </c>
      <c r="BI58" s="190">
        <v>53</v>
      </c>
      <c r="BJ58" s="190">
        <v>54</v>
      </c>
      <c r="BK58" s="190">
        <v>0</v>
      </c>
      <c r="BL58" s="190">
        <v>0</v>
      </c>
      <c r="BM58" s="190">
        <v>0</v>
      </c>
      <c r="BN58" s="190">
        <v>0</v>
      </c>
      <c r="BO58" s="190">
        <v>4</v>
      </c>
      <c r="BP58" s="190">
        <v>4</v>
      </c>
      <c r="BQ58" s="190">
        <v>0</v>
      </c>
      <c r="BR58" s="190">
        <v>16</v>
      </c>
      <c r="BS58" s="190">
        <v>16</v>
      </c>
      <c r="BT58" s="190">
        <v>0</v>
      </c>
      <c r="BU58" s="190">
        <v>17</v>
      </c>
      <c r="BV58" s="190">
        <v>17</v>
      </c>
      <c r="BW58" s="190">
        <v>59</v>
      </c>
      <c r="BX58" s="190">
        <v>978</v>
      </c>
      <c r="BY58" s="190">
        <v>1037</v>
      </c>
      <c r="BZ58" s="190">
        <v>59</v>
      </c>
      <c r="CA58" s="190">
        <v>977</v>
      </c>
      <c r="CB58" s="190">
        <v>1036</v>
      </c>
      <c r="CC58" s="190">
        <v>1776</v>
      </c>
      <c r="CD58" s="190">
        <v>0</v>
      </c>
      <c r="CE58" s="190">
        <v>1</v>
      </c>
      <c r="CF58" s="190">
        <v>0</v>
      </c>
      <c r="CG58" s="190">
        <v>1</v>
      </c>
      <c r="CH58" s="190">
        <v>1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7</v>
      </c>
      <c r="CO58" s="190">
        <v>112</v>
      </c>
      <c r="CP58" s="190">
        <v>119</v>
      </c>
      <c r="CQ58" s="190">
        <v>0</v>
      </c>
      <c r="CR58" s="190">
        <v>0</v>
      </c>
      <c r="CS58" s="190">
        <v>0</v>
      </c>
      <c r="CT58" s="190">
        <v>52</v>
      </c>
      <c r="CU58" s="190">
        <v>866</v>
      </c>
      <c r="CV58" s="190">
        <v>918</v>
      </c>
      <c r="CW58" s="190">
        <v>2</v>
      </c>
      <c r="CX58" s="190">
        <v>42</v>
      </c>
      <c r="CY58" s="190">
        <v>44</v>
      </c>
      <c r="CZ58" s="190">
        <v>2</v>
      </c>
      <c r="DA58" s="190">
        <v>0</v>
      </c>
      <c r="DB58" s="190">
        <v>0</v>
      </c>
      <c r="DC58" s="190">
        <v>42</v>
      </c>
      <c r="DD58" s="190">
        <v>0</v>
      </c>
      <c r="DE58" s="190">
        <v>0</v>
      </c>
      <c r="DF58" s="190">
        <v>2</v>
      </c>
      <c r="DG58" s="190">
        <v>42</v>
      </c>
      <c r="DH58" s="190">
        <v>44</v>
      </c>
      <c r="DI58" s="190">
        <v>0</v>
      </c>
      <c r="DJ58" s="190">
        <v>0</v>
      </c>
      <c r="DK58" s="190">
        <v>0</v>
      </c>
      <c r="DL58" s="190">
        <v>0</v>
      </c>
      <c r="DM58" s="190">
        <v>0</v>
      </c>
      <c r="DN58" s="190">
        <v>0</v>
      </c>
      <c r="DO58" s="190">
        <v>0</v>
      </c>
      <c r="DP58" s="190">
        <v>0</v>
      </c>
      <c r="DQ58" s="190">
        <v>0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2450</v>
      </c>
      <c r="C59" s="190">
        <v>326</v>
      </c>
      <c r="D59" s="190">
        <v>2848</v>
      </c>
      <c r="E59" s="190">
        <v>2286</v>
      </c>
      <c r="F59" s="190">
        <v>6</v>
      </c>
      <c r="G59" s="190">
        <v>103</v>
      </c>
      <c r="H59" s="190">
        <v>109</v>
      </c>
      <c r="I59" s="190">
        <v>1</v>
      </c>
      <c r="J59" s="190">
        <v>499</v>
      </c>
      <c r="K59" s="190">
        <v>500</v>
      </c>
      <c r="L59" s="190">
        <v>1</v>
      </c>
      <c r="M59" s="190">
        <v>325</v>
      </c>
      <c r="N59" s="190">
        <v>326</v>
      </c>
      <c r="O59" s="190">
        <v>0</v>
      </c>
      <c r="P59" s="190">
        <v>174</v>
      </c>
      <c r="Q59" s="190">
        <v>174</v>
      </c>
      <c r="R59" s="190">
        <v>0</v>
      </c>
      <c r="S59" s="190">
        <v>58</v>
      </c>
      <c r="T59" s="190">
        <v>58</v>
      </c>
      <c r="U59" s="190">
        <v>0</v>
      </c>
      <c r="V59" s="190">
        <v>62</v>
      </c>
      <c r="W59" s="190">
        <v>62</v>
      </c>
      <c r="X59" s="190">
        <v>79</v>
      </c>
      <c r="Y59" s="190">
        <v>1930</v>
      </c>
      <c r="Z59" s="190">
        <v>2009</v>
      </c>
      <c r="AA59" s="190">
        <v>46</v>
      </c>
      <c r="AB59" s="190">
        <v>904</v>
      </c>
      <c r="AC59" s="190">
        <v>950</v>
      </c>
      <c r="AD59" s="190">
        <v>43</v>
      </c>
      <c r="AE59" s="190">
        <v>829</v>
      </c>
      <c r="AF59" s="190">
        <v>872</v>
      </c>
      <c r="AG59" s="190">
        <v>1</v>
      </c>
      <c r="AH59" s="190">
        <v>63</v>
      </c>
      <c r="AI59" s="190">
        <v>64</v>
      </c>
      <c r="AJ59" s="190">
        <v>2</v>
      </c>
      <c r="AK59" s="190">
        <v>12</v>
      </c>
      <c r="AL59" s="190">
        <v>14</v>
      </c>
      <c r="AM59" s="190">
        <v>33</v>
      </c>
      <c r="AN59" s="190">
        <v>1026</v>
      </c>
      <c r="AO59" s="190">
        <v>1059</v>
      </c>
      <c r="AP59" s="190">
        <v>7348</v>
      </c>
      <c r="AQ59" s="190">
        <v>44551</v>
      </c>
      <c r="AR59" s="190">
        <v>51899</v>
      </c>
      <c r="AS59" s="190">
        <v>7073</v>
      </c>
      <c r="AT59" s="190">
        <v>43549</v>
      </c>
      <c r="AU59" s="190">
        <v>50622</v>
      </c>
      <c r="AV59" s="190">
        <v>275</v>
      </c>
      <c r="AW59" s="190">
        <v>1002</v>
      </c>
      <c r="AX59" s="190">
        <v>1277</v>
      </c>
      <c r="AY59" s="190">
        <v>597</v>
      </c>
      <c r="AZ59" s="190">
        <v>4293</v>
      </c>
      <c r="BA59" s="190">
        <v>4890</v>
      </c>
      <c r="BB59" s="190">
        <v>163</v>
      </c>
      <c r="BC59" s="190">
        <v>1</v>
      </c>
      <c r="BD59" s="190">
        <v>0</v>
      </c>
      <c r="BE59" s="190">
        <v>2056</v>
      </c>
      <c r="BF59" s="190">
        <v>60</v>
      </c>
      <c r="BG59" s="190">
        <v>6</v>
      </c>
      <c r="BH59" s="190">
        <v>164</v>
      </c>
      <c r="BI59" s="190">
        <v>2122</v>
      </c>
      <c r="BJ59" s="190">
        <v>2286</v>
      </c>
      <c r="BK59" s="190">
        <v>93</v>
      </c>
      <c r="BL59" s="190">
        <v>-93</v>
      </c>
      <c r="BM59" s="190">
        <v>0</v>
      </c>
      <c r="BN59" s="190">
        <v>6</v>
      </c>
      <c r="BO59" s="190">
        <v>34</v>
      </c>
      <c r="BP59" s="190">
        <v>40</v>
      </c>
      <c r="BQ59" s="190">
        <v>44</v>
      </c>
      <c r="BR59" s="190">
        <v>393</v>
      </c>
      <c r="BS59" s="190">
        <v>437</v>
      </c>
      <c r="BT59" s="190">
        <v>290</v>
      </c>
      <c r="BU59" s="190">
        <v>1837</v>
      </c>
      <c r="BV59" s="190">
        <v>2127</v>
      </c>
      <c r="BW59" s="190">
        <v>7945</v>
      </c>
      <c r="BX59" s="190">
        <v>48844</v>
      </c>
      <c r="BY59" s="190">
        <v>56789</v>
      </c>
      <c r="BZ59" s="190">
        <v>7870</v>
      </c>
      <c r="CA59" s="190">
        <v>47879</v>
      </c>
      <c r="CB59" s="190">
        <v>55749</v>
      </c>
      <c r="CC59" s="190">
        <v>121855</v>
      </c>
      <c r="CD59" s="190">
        <v>188</v>
      </c>
      <c r="CE59" s="190">
        <v>947</v>
      </c>
      <c r="CF59" s="190">
        <v>75</v>
      </c>
      <c r="CG59" s="190">
        <v>763</v>
      </c>
      <c r="CH59" s="190">
        <v>838</v>
      </c>
      <c r="CI59" s="190">
        <v>250</v>
      </c>
      <c r="CJ59" s="190">
        <v>2</v>
      </c>
      <c r="CK59" s="190">
        <v>0</v>
      </c>
      <c r="CL59" s="190">
        <v>202</v>
      </c>
      <c r="CM59" s="190">
        <v>202</v>
      </c>
      <c r="CN59" s="190">
        <v>389</v>
      </c>
      <c r="CO59" s="190">
        <v>4079</v>
      </c>
      <c r="CP59" s="190">
        <v>4468</v>
      </c>
      <c r="CQ59" s="190">
        <v>0</v>
      </c>
      <c r="CR59" s="190">
        <v>1</v>
      </c>
      <c r="CS59" s="190">
        <v>1</v>
      </c>
      <c r="CT59" s="190">
        <v>7556</v>
      </c>
      <c r="CU59" s="190">
        <v>44765</v>
      </c>
      <c r="CV59" s="190">
        <v>52321</v>
      </c>
      <c r="CW59" s="190">
        <v>567</v>
      </c>
      <c r="CX59" s="190">
        <v>2740</v>
      </c>
      <c r="CY59" s="190">
        <v>3307</v>
      </c>
      <c r="CZ59" s="190">
        <v>558</v>
      </c>
      <c r="DA59" s="190">
        <v>2</v>
      </c>
      <c r="DB59" s="190">
        <v>0</v>
      </c>
      <c r="DC59" s="190">
        <v>2592</v>
      </c>
      <c r="DD59" s="190">
        <v>56</v>
      </c>
      <c r="DE59" s="190">
        <v>7</v>
      </c>
      <c r="DF59" s="190">
        <v>560</v>
      </c>
      <c r="DG59" s="190">
        <v>2655</v>
      </c>
      <c r="DH59" s="190">
        <v>3215</v>
      </c>
      <c r="DI59" s="190">
        <v>7</v>
      </c>
      <c r="DJ59" s="190">
        <v>0</v>
      </c>
      <c r="DK59" s="190">
        <v>0</v>
      </c>
      <c r="DL59" s="190">
        <v>83</v>
      </c>
      <c r="DM59" s="190">
        <v>2</v>
      </c>
      <c r="DN59" s="190">
        <v>0</v>
      </c>
      <c r="DO59" s="190">
        <v>7</v>
      </c>
      <c r="DP59" s="190">
        <v>85</v>
      </c>
      <c r="DQ59" s="190">
        <v>92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197</v>
      </c>
      <c r="C60" s="190">
        <v>25</v>
      </c>
      <c r="D60" s="190">
        <v>197</v>
      </c>
      <c r="E60" s="190">
        <v>132</v>
      </c>
      <c r="F60" s="190">
        <v>2</v>
      </c>
      <c r="G60" s="190">
        <v>4</v>
      </c>
      <c r="H60" s="190">
        <v>6</v>
      </c>
      <c r="I60" s="190">
        <v>0</v>
      </c>
      <c r="J60" s="190">
        <v>53</v>
      </c>
      <c r="K60" s="190">
        <v>53</v>
      </c>
      <c r="L60" s="190">
        <v>0</v>
      </c>
      <c r="M60" s="190">
        <v>18</v>
      </c>
      <c r="N60" s="190">
        <v>18</v>
      </c>
      <c r="O60" s="190">
        <v>0</v>
      </c>
      <c r="P60" s="190">
        <v>35</v>
      </c>
      <c r="Q60" s="190">
        <v>35</v>
      </c>
      <c r="R60" s="190">
        <v>0</v>
      </c>
      <c r="S60" s="190">
        <v>0</v>
      </c>
      <c r="T60" s="190">
        <v>0</v>
      </c>
      <c r="U60" s="190">
        <v>0</v>
      </c>
      <c r="V60" s="190">
        <v>12</v>
      </c>
      <c r="W60" s="190">
        <v>12</v>
      </c>
      <c r="X60" s="190">
        <v>5</v>
      </c>
      <c r="Y60" s="190">
        <v>192</v>
      </c>
      <c r="Z60" s="190">
        <v>197</v>
      </c>
      <c r="AA60" s="190">
        <v>4</v>
      </c>
      <c r="AB60" s="190">
        <v>88</v>
      </c>
      <c r="AC60" s="190">
        <v>92</v>
      </c>
      <c r="AD60" s="190">
        <v>3</v>
      </c>
      <c r="AE60" s="190">
        <v>83</v>
      </c>
      <c r="AF60" s="190">
        <v>86</v>
      </c>
      <c r="AG60" s="190">
        <v>1</v>
      </c>
      <c r="AH60" s="190">
        <v>3</v>
      </c>
      <c r="AI60" s="190">
        <v>4</v>
      </c>
      <c r="AJ60" s="190">
        <v>0</v>
      </c>
      <c r="AK60" s="190">
        <v>2</v>
      </c>
      <c r="AL60" s="190">
        <v>2</v>
      </c>
      <c r="AM60" s="190">
        <v>1</v>
      </c>
      <c r="AN60" s="190">
        <v>104</v>
      </c>
      <c r="AO60" s="190">
        <v>105</v>
      </c>
      <c r="AP60" s="190">
        <v>259</v>
      </c>
      <c r="AQ60" s="190">
        <v>2595</v>
      </c>
      <c r="AR60" s="190">
        <v>2854</v>
      </c>
      <c r="AS60" s="190">
        <v>259</v>
      </c>
      <c r="AT60" s="190">
        <v>2595</v>
      </c>
      <c r="AU60" s="190">
        <v>2854</v>
      </c>
      <c r="AV60" s="190">
        <v>0</v>
      </c>
      <c r="AW60" s="190">
        <v>0</v>
      </c>
      <c r="AX60" s="190">
        <v>0</v>
      </c>
      <c r="AY60" s="190">
        <v>18</v>
      </c>
      <c r="AZ60" s="190">
        <v>231</v>
      </c>
      <c r="BA60" s="190">
        <v>249</v>
      </c>
      <c r="BB60" s="190">
        <v>8</v>
      </c>
      <c r="BC60" s="190">
        <v>0</v>
      </c>
      <c r="BD60" s="190">
        <v>0</v>
      </c>
      <c r="BE60" s="190">
        <v>124</v>
      </c>
      <c r="BF60" s="190">
        <v>0</v>
      </c>
      <c r="BG60" s="190">
        <v>0</v>
      </c>
      <c r="BH60" s="190">
        <v>8</v>
      </c>
      <c r="BI60" s="190">
        <v>124</v>
      </c>
      <c r="BJ60" s="190">
        <v>132</v>
      </c>
      <c r="BK60" s="190">
        <v>2</v>
      </c>
      <c r="BL60" s="190">
        <v>-2</v>
      </c>
      <c r="BM60" s="190">
        <v>0</v>
      </c>
      <c r="BN60" s="190">
        <v>2</v>
      </c>
      <c r="BO60" s="190">
        <v>9</v>
      </c>
      <c r="BP60" s="190">
        <v>11</v>
      </c>
      <c r="BQ60" s="190">
        <v>1</v>
      </c>
      <c r="BR60" s="190">
        <v>46</v>
      </c>
      <c r="BS60" s="190">
        <v>47</v>
      </c>
      <c r="BT60" s="190">
        <v>5</v>
      </c>
      <c r="BU60" s="190">
        <v>54</v>
      </c>
      <c r="BV60" s="190">
        <v>59</v>
      </c>
      <c r="BW60" s="190">
        <v>277</v>
      </c>
      <c r="BX60" s="190">
        <v>2826</v>
      </c>
      <c r="BY60" s="190">
        <v>3103</v>
      </c>
      <c r="BZ60" s="190">
        <v>276</v>
      </c>
      <c r="CA60" s="190">
        <v>2817</v>
      </c>
      <c r="CB60" s="190">
        <v>3093</v>
      </c>
      <c r="CC60" s="190">
        <v>5400</v>
      </c>
      <c r="CD60" s="190">
        <v>1</v>
      </c>
      <c r="CE60" s="190">
        <v>7</v>
      </c>
      <c r="CF60" s="190">
        <v>1</v>
      </c>
      <c r="CG60" s="190">
        <v>6</v>
      </c>
      <c r="CH60" s="190">
        <v>7</v>
      </c>
      <c r="CI60" s="190">
        <v>6</v>
      </c>
      <c r="CJ60" s="190">
        <v>0</v>
      </c>
      <c r="CK60" s="190">
        <v>0</v>
      </c>
      <c r="CL60" s="190">
        <v>3</v>
      </c>
      <c r="CM60" s="190">
        <v>3</v>
      </c>
      <c r="CN60" s="190">
        <v>17</v>
      </c>
      <c r="CO60" s="190">
        <v>275</v>
      </c>
      <c r="CP60" s="190">
        <v>292</v>
      </c>
      <c r="CQ60" s="190">
        <v>14</v>
      </c>
      <c r="CR60" s="190">
        <v>228</v>
      </c>
      <c r="CS60" s="190">
        <v>242</v>
      </c>
      <c r="CT60" s="190">
        <v>260</v>
      </c>
      <c r="CU60" s="190">
        <v>2551</v>
      </c>
      <c r="CV60" s="190">
        <v>2811</v>
      </c>
      <c r="CW60" s="190">
        <v>20</v>
      </c>
      <c r="CX60" s="190">
        <v>136</v>
      </c>
      <c r="CY60" s="190">
        <v>156</v>
      </c>
      <c r="CZ60" s="190">
        <v>20</v>
      </c>
      <c r="DA60" s="190">
        <v>0</v>
      </c>
      <c r="DB60" s="190">
        <v>0</v>
      </c>
      <c r="DC60" s="190">
        <v>135</v>
      </c>
      <c r="DD60" s="190">
        <v>0</v>
      </c>
      <c r="DE60" s="190">
        <v>0</v>
      </c>
      <c r="DF60" s="190">
        <v>20</v>
      </c>
      <c r="DG60" s="190">
        <v>135</v>
      </c>
      <c r="DH60" s="190">
        <v>155</v>
      </c>
      <c r="DI60" s="190">
        <v>0</v>
      </c>
      <c r="DJ60" s="190">
        <v>0</v>
      </c>
      <c r="DK60" s="190">
        <v>0</v>
      </c>
      <c r="DL60" s="190">
        <v>1</v>
      </c>
      <c r="DM60" s="190">
        <v>0</v>
      </c>
      <c r="DN60" s="190">
        <v>0</v>
      </c>
      <c r="DO60" s="190">
        <v>0</v>
      </c>
      <c r="DP60" s="190">
        <v>1</v>
      </c>
      <c r="DQ60" s="190">
        <v>1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2544</v>
      </c>
      <c r="C61" s="190">
        <v>347</v>
      </c>
      <c r="D61" s="190">
        <v>2182</v>
      </c>
      <c r="E61" s="190">
        <v>1546</v>
      </c>
      <c r="F61" s="190">
        <v>1</v>
      </c>
      <c r="G61" s="190">
        <v>13</v>
      </c>
      <c r="H61" s="190">
        <v>14</v>
      </c>
      <c r="I61" s="190">
        <v>0</v>
      </c>
      <c r="J61" s="190">
        <v>554</v>
      </c>
      <c r="K61" s="190">
        <v>554</v>
      </c>
      <c r="L61" s="190">
        <v>0</v>
      </c>
      <c r="M61" s="190">
        <v>215</v>
      </c>
      <c r="N61" s="190">
        <v>215</v>
      </c>
      <c r="O61" s="190">
        <v>0</v>
      </c>
      <c r="P61" s="190">
        <v>339</v>
      </c>
      <c r="Q61" s="190">
        <v>339</v>
      </c>
      <c r="R61" s="190">
        <v>0</v>
      </c>
      <c r="S61" s="190">
        <v>39</v>
      </c>
      <c r="T61" s="190">
        <v>39</v>
      </c>
      <c r="U61" s="190">
        <v>0</v>
      </c>
      <c r="V61" s="190">
        <v>82</v>
      </c>
      <c r="W61" s="190">
        <v>82</v>
      </c>
      <c r="X61" s="190">
        <v>14</v>
      </c>
      <c r="Y61" s="190">
        <v>1295</v>
      </c>
      <c r="Z61" s="190">
        <v>1309</v>
      </c>
      <c r="AA61" s="190">
        <v>8</v>
      </c>
      <c r="AB61" s="190">
        <v>692</v>
      </c>
      <c r="AC61" s="190">
        <v>700</v>
      </c>
      <c r="AD61" s="190">
        <v>8</v>
      </c>
      <c r="AE61" s="190">
        <v>677</v>
      </c>
      <c r="AF61" s="190">
        <v>685</v>
      </c>
      <c r="AG61" s="190">
        <v>0</v>
      </c>
      <c r="AH61" s="190">
        <v>8</v>
      </c>
      <c r="AI61" s="190">
        <v>8</v>
      </c>
      <c r="AJ61" s="190">
        <v>0</v>
      </c>
      <c r="AK61" s="190">
        <v>7</v>
      </c>
      <c r="AL61" s="190">
        <v>7</v>
      </c>
      <c r="AM61" s="190">
        <v>6</v>
      </c>
      <c r="AN61" s="190">
        <v>603</v>
      </c>
      <c r="AO61" s="190">
        <v>609</v>
      </c>
      <c r="AP61" s="190">
        <v>2703</v>
      </c>
      <c r="AQ61" s="190">
        <v>31246</v>
      </c>
      <c r="AR61" s="190">
        <v>33949</v>
      </c>
      <c r="AS61" s="190">
        <v>2718</v>
      </c>
      <c r="AT61" s="190">
        <v>31201</v>
      </c>
      <c r="AU61" s="190">
        <v>33919</v>
      </c>
      <c r="AV61" s="190">
        <v>-15</v>
      </c>
      <c r="AW61" s="190">
        <v>45</v>
      </c>
      <c r="AX61" s="190">
        <v>30</v>
      </c>
      <c r="AY61" s="190">
        <v>184</v>
      </c>
      <c r="AZ61" s="190">
        <v>3018</v>
      </c>
      <c r="BA61" s="190">
        <v>3202</v>
      </c>
      <c r="BB61" s="190">
        <v>59</v>
      </c>
      <c r="BC61" s="190">
        <v>0</v>
      </c>
      <c r="BD61" s="190">
        <v>0</v>
      </c>
      <c r="BE61" s="190">
        <v>1458</v>
      </c>
      <c r="BF61" s="190">
        <v>18</v>
      </c>
      <c r="BG61" s="190">
        <v>11</v>
      </c>
      <c r="BH61" s="190">
        <v>59</v>
      </c>
      <c r="BI61" s="190">
        <v>1487</v>
      </c>
      <c r="BJ61" s="190">
        <v>1546</v>
      </c>
      <c r="BK61" s="190">
        <v>-2</v>
      </c>
      <c r="BL61" s="190">
        <v>2</v>
      </c>
      <c r="BM61" s="190">
        <v>0</v>
      </c>
      <c r="BN61" s="190">
        <v>3</v>
      </c>
      <c r="BO61" s="190">
        <v>21</v>
      </c>
      <c r="BP61" s="190">
        <v>24</v>
      </c>
      <c r="BQ61" s="190">
        <v>31</v>
      </c>
      <c r="BR61" s="190">
        <v>380</v>
      </c>
      <c r="BS61" s="190">
        <v>411</v>
      </c>
      <c r="BT61" s="190">
        <v>93</v>
      </c>
      <c r="BU61" s="190">
        <v>1128</v>
      </c>
      <c r="BV61" s="190">
        <v>1221</v>
      </c>
      <c r="BW61" s="190">
        <v>2887</v>
      </c>
      <c r="BX61" s="190">
        <v>34264</v>
      </c>
      <c r="BY61" s="190">
        <v>37151</v>
      </c>
      <c r="BZ61" s="190">
        <v>2865</v>
      </c>
      <c r="CA61" s="190">
        <v>33733</v>
      </c>
      <c r="CB61" s="190">
        <v>36598</v>
      </c>
      <c r="CC61" s="190">
        <v>75039</v>
      </c>
      <c r="CD61" s="190">
        <v>48</v>
      </c>
      <c r="CE61" s="190">
        <v>553</v>
      </c>
      <c r="CF61" s="190">
        <v>22</v>
      </c>
      <c r="CG61" s="190">
        <v>317</v>
      </c>
      <c r="CH61" s="190">
        <v>339</v>
      </c>
      <c r="CI61" s="190">
        <v>287</v>
      </c>
      <c r="CJ61" s="190">
        <v>0</v>
      </c>
      <c r="CK61" s="190">
        <v>0</v>
      </c>
      <c r="CL61" s="190">
        <v>214</v>
      </c>
      <c r="CM61" s="190">
        <v>214</v>
      </c>
      <c r="CN61" s="190">
        <v>153</v>
      </c>
      <c r="CO61" s="190">
        <v>3592</v>
      </c>
      <c r="CP61" s="190">
        <v>3745</v>
      </c>
      <c r="CQ61" s="190">
        <v>0</v>
      </c>
      <c r="CR61" s="190">
        <v>15</v>
      </c>
      <c r="CS61" s="190">
        <v>15</v>
      </c>
      <c r="CT61" s="190">
        <v>2734</v>
      </c>
      <c r="CU61" s="190">
        <v>30672</v>
      </c>
      <c r="CV61" s="190">
        <v>33406</v>
      </c>
      <c r="CW61" s="190">
        <v>192</v>
      </c>
      <c r="CX61" s="190">
        <v>1685</v>
      </c>
      <c r="CY61" s="190">
        <v>1877</v>
      </c>
      <c r="CZ61" s="190">
        <v>187</v>
      </c>
      <c r="DA61" s="190">
        <v>2</v>
      </c>
      <c r="DB61" s="190">
        <v>0</v>
      </c>
      <c r="DC61" s="190">
        <v>1591</v>
      </c>
      <c r="DD61" s="190">
        <v>10</v>
      </c>
      <c r="DE61" s="190">
        <v>3</v>
      </c>
      <c r="DF61" s="190">
        <v>189</v>
      </c>
      <c r="DG61" s="190">
        <v>1604</v>
      </c>
      <c r="DH61" s="190">
        <v>1793</v>
      </c>
      <c r="DI61" s="190">
        <v>3</v>
      </c>
      <c r="DJ61" s="190">
        <v>0</v>
      </c>
      <c r="DK61" s="190">
        <v>0</v>
      </c>
      <c r="DL61" s="190">
        <v>79</v>
      </c>
      <c r="DM61" s="190">
        <v>2</v>
      </c>
      <c r="DN61" s="190">
        <v>0</v>
      </c>
      <c r="DO61" s="190">
        <v>3</v>
      </c>
      <c r="DP61" s="190">
        <v>81</v>
      </c>
      <c r="DQ61" s="190">
        <v>84</v>
      </c>
      <c r="DR61" s="190">
        <v>5</v>
      </c>
      <c r="DS61" s="190">
        <v>10</v>
      </c>
      <c r="DT61" s="191">
        <v>15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657</v>
      </c>
      <c r="C62" s="190">
        <v>38</v>
      </c>
      <c r="D62" s="190">
        <v>621</v>
      </c>
      <c r="E62" s="190">
        <v>409</v>
      </c>
      <c r="F62" s="190">
        <v>3</v>
      </c>
      <c r="G62" s="190">
        <v>16</v>
      </c>
      <c r="H62" s="190">
        <v>19</v>
      </c>
      <c r="I62" s="190">
        <v>0</v>
      </c>
      <c r="J62" s="190">
        <v>187</v>
      </c>
      <c r="K62" s="190">
        <v>187</v>
      </c>
      <c r="L62" s="190">
        <v>0</v>
      </c>
      <c r="M62" s="190">
        <v>60</v>
      </c>
      <c r="N62" s="190">
        <v>60</v>
      </c>
      <c r="O62" s="190">
        <v>0</v>
      </c>
      <c r="P62" s="190">
        <v>127</v>
      </c>
      <c r="Q62" s="190">
        <v>127</v>
      </c>
      <c r="R62" s="190">
        <v>0</v>
      </c>
      <c r="S62" s="190">
        <v>25</v>
      </c>
      <c r="T62" s="190">
        <v>25</v>
      </c>
      <c r="U62" s="190">
        <v>0</v>
      </c>
      <c r="V62" s="190">
        <v>25</v>
      </c>
      <c r="W62" s="190">
        <v>25</v>
      </c>
      <c r="X62" s="190">
        <v>10</v>
      </c>
      <c r="Y62" s="190">
        <v>198</v>
      </c>
      <c r="Z62" s="190">
        <v>208</v>
      </c>
      <c r="AA62" s="190">
        <v>10</v>
      </c>
      <c r="AB62" s="190">
        <v>198</v>
      </c>
      <c r="AC62" s="190">
        <v>208</v>
      </c>
      <c r="AD62" s="190">
        <v>9</v>
      </c>
      <c r="AE62" s="190">
        <v>178</v>
      </c>
      <c r="AF62" s="190">
        <v>187</v>
      </c>
      <c r="AG62" s="190">
        <v>1</v>
      </c>
      <c r="AH62" s="190">
        <v>16</v>
      </c>
      <c r="AI62" s="190">
        <v>17</v>
      </c>
      <c r="AJ62" s="190">
        <v>0</v>
      </c>
      <c r="AK62" s="190">
        <v>4</v>
      </c>
      <c r="AL62" s="190">
        <v>4</v>
      </c>
      <c r="AM62" s="190">
        <v>0</v>
      </c>
      <c r="AN62" s="190">
        <v>0</v>
      </c>
      <c r="AO62" s="190">
        <v>0</v>
      </c>
      <c r="AP62" s="190">
        <v>858</v>
      </c>
      <c r="AQ62" s="190">
        <v>8436</v>
      </c>
      <c r="AR62" s="190">
        <v>9294</v>
      </c>
      <c r="AS62" s="190">
        <v>857</v>
      </c>
      <c r="AT62" s="190">
        <v>8469</v>
      </c>
      <c r="AU62" s="190">
        <v>9326</v>
      </c>
      <c r="AV62" s="190">
        <v>1</v>
      </c>
      <c r="AW62" s="190">
        <v>-33</v>
      </c>
      <c r="AX62" s="190">
        <v>-32</v>
      </c>
      <c r="AY62" s="190">
        <v>24</v>
      </c>
      <c r="AZ62" s="190">
        <v>853</v>
      </c>
      <c r="BA62" s="190">
        <v>877</v>
      </c>
      <c r="BB62" s="190">
        <v>17</v>
      </c>
      <c r="BC62" s="190">
        <v>1</v>
      </c>
      <c r="BD62" s="190">
        <v>0</v>
      </c>
      <c r="BE62" s="190">
        <v>377</v>
      </c>
      <c r="BF62" s="190">
        <v>8</v>
      </c>
      <c r="BG62" s="190">
        <v>6</v>
      </c>
      <c r="BH62" s="190">
        <v>18</v>
      </c>
      <c r="BI62" s="190">
        <v>391</v>
      </c>
      <c r="BJ62" s="190">
        <v>409</v>
      </c>
      <c r="BK62" s="190">
        <v>-21</v>
      </c>
      <c r="BL62" s="190">
        <v>21</v>
      </c>
      <c r="BM62" s="190">
        <v>0</v>
      </c>
      <c r="BN62" s="190">
        <v>3</v>
      </c>
      <c r="BO62" s="190">
        <v>18</v>
      </c>
      <c r="BP62" s="190">
        <v>21</v>
      </c>
      <c r="BQ62" s="190">
        <v>0</v>
      </c>
      <c r="BR62" s="190">
        <v>75</v>
      </c>
      <c r="BS62" s="190">
        <v>75</v>
      </c>
      <c r="BT62" s="190">
        <v>24</v>
      </c>
      <c r="BU62" s="190">
        <v>348</v>
      </c>
      <c r="BV62" s="190">
        <v>372</v>
      </c>
      <c r="BW62" s="190">
        <v>882</v>
      </c>
      <c r="BX62" s="190">
        <v>9289</v>
      </c>
      <c r="BY62" s="190">
        <v>10171</v>
      </c>
      <c r="BZ62" s="190">
        <v>845</v>
      </c>
      <c r="CA62" s="190">
        <v>9081</v>
      </c>
      <c r="CB62" s="190">
        <v>9926</v>
      </c>
      <c r="CC62" s="190">
        <v>19512</v>
      </c>
      <c r="CD62" s="190">
        <v>11</v>
      </c>
      <c r="CE62" s="190">
        <v>282</v>
      </c>
      <c r="CF62" s="190">
        <v>36</v>
      </c>
      <c r="CG62" s="190">
        <v>150</v>
      </c>
      <c r="CH62" s="190">
        <v>186</v>
      </c>
      <c r="CI62" s="190">
        <v>90</v>
      </c>
      <c r="CJ62" s="190">
        <v>0</v>
      </c>
      <c r="CK62" s="190">
        <v>1</v>
      </c>
      <c r="CL62" s="190">
        <v>58</v>
      </c>
      <c r="CM62" s="190">
        <v>59</v>
      </c>
      <c r="CN62" s="190">
        <v>79</v>
      </c>
      <c r="CO62" s="190">
        <v>1036</v>
      </c>
      <c r="CP62" s="190">
        <v>1115</v>
      </c>
      <c r="CQ62" s="190">
        <v>0</v>
      </c>
      <c r="CR62" s="190">
        <v>0</v>
      </c>
      <c r="CS62" s="190">
        <v>0</v>
      </c>
      <c r="CT62" s="190">
        <v>803</v>
      </c>
      <c r="CU62" s="190">
        <v>8253</v>
      </c>
      <c r="CV62" s="190">
        <v>9056</v>
      </c>
      <c r="CW62" s="190">
        <v>71</v>
      </c>
      <c r="CX62" s="190">
        <v>506</v>
      </c>
      <c r="CY62" s="190">
        <v>577</v>
      </c>
      <c r="CZ62" s="190">
        <v>66</v>
      </c>
      <c r="DA62" s="190">
        <v>4</v>
      </c>
      <c r="DB62" s="190">
        <v>1</v>
      </c>
      <c r="DC62" s="190">
        <v>391</v>
      </c>
      <c r="DD62" s="190">
        <v>10</v>
      </c>
      <c r="DE62" s="190">
        <v>1</v>
      </c>
      <c r="DF62" s="190">
        <v>71</v>
      </c>
      <c r="DG62" s="190">
        <v>402</v>
      </c>
      <c r="DH62" s="190">
        <v>473</v>
      </c>
      <c r="DI62" s="190">
        <v>0</v>
      </c>
      <c r="DJ62" s="190">
        <v>0</v>
      </c>
      <c r="DK62" s="190">
        <v>0</v>
      </c>
      <c r="DL62" s="190">
        <v>101</v>
      </c>
      <c r="DM62" s="190">
        <v>3</v>
      </c>
      <c r="DN62" s="190">
        <v>0</v>
      </c>
      <c r="DO62" s="190">
        <v>0</v>
      </c>
      <c r="DP62" s="190">
        <v>104</v>
      </c>
      <c r="DQ62" s="190">
        <v>104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468</v>
      </c>
      <c r="C63" s="195">
        <v>82</v>
      </c>
      <c r="D63" s="195">
        <v>477</v>
      </c>
      <c r="E63" s="195">
        <v>292</v>
      </c>
      <c r="F63" s="195">
        <v>0</v>
      </c>
      <c r="G63" s="195">
        <v>1</v>
      </c>
      <c r="H63" s="195">
        <v>1</v>
      </c>
      <c r="I63" s="195">
        <v>1</v>
      </c>
      <c r="J63" s="195">
        <v>176</v>
      </c>
      <c r="K63" s="195">
        <v>177</v>
      </c>
      <c r="L63" s="195">
        <v>1</v>
      </c>
      <c r="M63" s="195">
        <v>81</v>
      </c>
      <c r="N63" s="195">
        <v>82</v>
      </c>
      <c r="O63" s="195">
        <v>0</v>
      </c>
      <c r="P63" s="195">
        <v>95</v>
      </c>
      <c r="Q63" s="195">
        <v>95</v>
      </c>
      <c r="R63" s="195">
        <v>0</v>
      </c>
      <c r="S63" s="195">
        <v>1</v>
      </c>
      <c r="T63" s="195">
        <v>1</v>
      </c>
      <c r="U63" s="195">
        <v>0</v>
      </c>
      <c r="V63" s="195">
        <v>8</v>
      </c>
      <c r="W63" s="195">
        <v>8</v>
      </c>
      <c r="X63" s="195">
        <v>16</v>
      </c>
      <c r="Y63" s="195">
        <v>461</v>
      </c>
      <c r="Z63" s="195">
        <v>477</v>
      </c>
      <c r="AA63" s="195">
        <v>12</v>
      </c>
      <c r="AB63" s="195">
        <v>227</v>
      </c>
      <c r="AC63" s="195">
        <v>239</v>
      </c>
      <c r="AD63" s="195">
        <v>12</v>
      </c>
      <c r="AE63" s="195">
        <v>217</v>
      </c>
      <c r="AF63" s="195">
        <v>229</v>
      </c>
      <c r="AG63" s="195">
        <v>0</v>
      </c>
      <c r="AH63" s="195">
        <v>6</v>
      </c>
      <c r="AI63" s="195">
        <v>6</v>
      </c>
      <c r="AJ63" s="195">
        <v>0</v>
      </c>
      <c r="AK63" s="195">
        <v>4</v>
      </c>
      <c r="AL63" s="195">
        <v>4</v>
      </c>
      <c r="AM63" s="195">
        <v>4</v>
      </c>
      <c r="AN63" s="195">
        <v>234</v>
      </c>
      <c r="AO63" s="195">
        <v>238</v>
      </c>
      <c r="AP63" s="195">
        <v>755</v>
      </c>
      <c r="AQ63" s="195">
        <v>4759</v>
      </c>
      <c r="AR63" s="195">
        <v>5514</v>
      </c>
      <c r="AS63" s="195">
        <v>755</v>
      </c>
      <c r="AT63" s="195">
        <v>4760</v>
      </c>
      <c r="AU63" s="195">
        <v>5515</v>
      </c>
      <c r="AV63" s="195">
        <v>0</v>
      </c>
      <c r="AW63" s="195">
        <v>-1</v>
      </c>
      <c r="AX63" s="195">
        <v>-1</v>
      </c>
      <c r="AY63" s="195">
        <v>40</v>
      </c>
      <c r="AZ63" s="195">
        <v>534</v>
      </c>
      <c r="BA63" s="195">
        <v>574</v>
      </c>
      <c r="BB63" s="195">
        <v>15</v>
      </c>
      <c r="BC63" s="195">
        <v>0</v>
      </c>
      <c r="BD63" s="195">
        <v>0</v>
      </c>
      <c r="BE63" s="195">
        <v>277</v>
      </c>
      <c r="BF63" s="195">
        <v>0</v>
      </c>
      <c r="BG63" s="195">
        <v>0</v>
      </c>
      <c r="BH63" s="195">
        <v>15</v>
      </c>
      <c r="BI63" s="195">
        <v>277</v>
      </c>
      <c r="BJ63" s="195">
        <v>292</v>
      </c>
      <c r="BK63" s="195">
        <v>-7</v>
      </c>
      <c r="BL63" s="195">
        <v>7</v>
      </c>
      <c r="BM63" s="195">
        <v>0</v>
      </c>
      <c r="BN63" s="195">
        <v>3</v>
      </c>
      <c r="BO63" s="195">
        <v>21</v>
      </c>
      <c r="BP63" s="195">
        <v>24</v>
      </c>
      <c r="BQ63" s="195">
        <v>2</v>
      </c>
      <c r="BR63" s="195">
        <v>58</v>
      </c>
      <c r="BS63" s="195">
        <v>60</v>
      </c>
      <c r="BT63" s="195">
        <v>27</v>
      </c>
      <c r="BU63" s="195">
        <v>171</v>
      </c>
      <c r="BV63" s="195">
        <v>198</v>
      </c>
      <c r="BW63" s="195">
        <v>795</v>
      </c>
      <c r="BX63" s="195">
        <v>5293</v>
      </c>
      <c r="BY63" s="195">
        <v>6088</v>
      </c>
      <c r="BZ63" s="195">
        <v>788</v>
      </c>
      <c r="CA63" s="195">
        <v>5267</v>
      </c>
      <c r="CB63" s="195">
        <v>6055</v>
      </c>
      <c r="CC63" s="195">
        <v>12976</v>
      </c>
      <c r="CD63" s="195">
        <v>1</v>
      </c>
      <c r="CE63" s="195">
        <v>38</v>
      </c>
      <c r="CF63" s="195">
        <v>6</v>
      </c>
      <c r="CG63" s="195">
        <v>22</v>
      </c>
      <c r="CH63" s="195">
        <v>28</v>
      </c>
      <c r="CI63" s="195">
        <v>5</v>
      </c>
      <c r="CJ63" s="195">
        <v>0</v>
      </c>
      <c r="CK63" s="195">
        <v>1</v>
      </c>
      <c r="CL63" s="195">
        <v>4</v>
      </c>
      <c r="CM63" s="195">
        <v>5</v>
      </c>
      <c r="CN63" s="195">
        <v>33</v>
      </c>
      <c r="CO63" s="195">
        <v>527</v>
      </c>
      <c r="CP63" s="195">
        <v>560</v>
      </c>
      <c r="CQ63" s="195">
        <v>0</v>
      </c>
      <c r="CR63" s="195">
        <v>24</v>
      </c>
      <c r="CS63" s="195">
        <v>24</v>
      </c>
      <c r="CT63" s="195">
        <v>762</v>
      </c>
      <c r="CU63" s="195">
        <v>4766</v>
      </c>
      <c r="CV63" s="195">
        <v>5528</v>
      </c>
      <c r="CW63" s="195">
        <v>51</v>
      </c>
      <c r="CX63" s="195">
        <v>292</v>
      </c>
      <c r="CY63" s="195">
        <v>343</v>
      </c>
      <c r="CZ63" s="195">
        <v>50</v>
      </c>
      <c r="DA63" s="195">
        <v>0</v>
      </c>
      <c r="DB63" s="195">
        <v>0</v>
      </c>
      <c r="DC63" s="195">
        <v>281</v>
      </c>
      <c r="DD63" s="195">
        <v>1</v>
      </c>
      <c r="DE63" s="195">
        <v>1</v>
      </c>
      <c r="DF63" s="195">
        <v>50</v>
      </c>
      <c r="DG63" s="195">
        <v>283</v>
      </c>
      <c r="DH63" s="195">
        <v>333</v>
      </c>
      <c r="DI63" s="195">
        <v>1</v>
      </c>
      <c r="DJ63" s="195">
        <v>0</v>
      </c>
      <c r="DK63" s="195">
        <v>0</v>
      </c>
      <c r="DL63" s="195">
        <v>9</v>
      </c>
      <c r="DM63" s="195">
        <v>0</v>
      </c>
      <c r="DN63" s="195">
        <v>0</v>
      </c>
      <c r="DO63" s="195">
        <v>1</v>
      </c>
      <c r="DP63" s="195">
        <v>9</v>
      </c>
      <c r="DQ63" s="195">
        <v>10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208" t="s">
        <v>330</v>
      </c>
      <c r="B64" s="209">
        <f>SUBTOTAL(109,Dec16Data[Cell 1])</f>
        <v>123042</v>
      </c>
      <c r="C64" s="209">
        <f>SUBTOTAL(109,Dec16Data[Cell 2])</f>
        <v>27385</v>
      </c>
      <c r="D64" s="209">
        <f>SUBTOTAL(109,Dec16Data[Cell 3])</f>
        <v>127599</v>
      </c>
      <c r="E64" s="209">
        <f>SUBTOTAL(109,Dec16Data[Cell 4])</f>
        <v>87125</v>
      </c>
      <c r="F64" s="209">
        <f>SUBTOTAL(109,Dec16Data[Cell 5])</f>
        <v>232</v>
      </c>
      <c r="G64" s="209">
        <f>SUBTOTAL(109,Dec16Data[Cell 6])</f>
        <v>1714</v>
      </c>
      <c r="H64" s="209">
        <f>SUBTOTAL(109,Dec16Data[Cell 7])</f>
        <v>1946</v>
      </c>
      <c r="I64" s="209">
        <f>SUBTOTAL(109,Dec16Data[Cell 8])</f>
        <v>50</v>
      </c>
      <c r="J64" s="209">
        <f>SUBTOTAL(109,Dec16Data[Cell 9])</f>
        <v>35693</v>
      </c>
      <c r="K64" s="209">
        <f>SUBTOTAL(109,Dec16Data[Cell 10])</f>
        <v>35743</v>
      </c>
      <c r="L64" s="209">
        <f>SUBTOTAL(109,Dec16Data[Cell 11])</f>
        <v>33</v>
      </c>
      <c r="M64" s="209">
        <f>SUBTOTAL(109,Dec16Data[Cell 12])</f>
        <v>18080</v>
      </c>
      <c r="N64" s="209">
        <f>SUBTOTAL(109,Dec16Data[Cell 13])</f>
        <v>18113</v>
      </c>
      <c r="O64" s="209">
        <f>SUBTOTAL(109,Dec16Data[Cell 14])</f>
        <v>17</v>
      </c>
      <c r="P64" s="209">
        <f>SUBTOTAL(109,Dec16Data[Cell 15])</f>
        <v>17613</v>
      </c>
      <c r="Q64" s="209">
        <f>SUBTOTAL(109,Dec16Data[Cell 16])</f>
        <v>17630</v>
      </c>
      <c r="R64" s="209">
        <f>SUBTOTAL(109,Dec16Data[Cell 17])</f>
        <v>9</v>
      </c>
      <c r="S64" s="209">
        <f>SUBTOTAL(109,Dec16Data[Cell 18])</f>
        <v>1599</v>
      </c>
      <c r="T64" s="209">
        <f>SUBTOTAL(109,Dec16Data[Cell 19])</f>
        <v>1608</v>
      </c>
      <c r="U64" s="209">
        <f>SUBTOTAL(109,Dec16Data[Cell 20])</f>
        <v>0</v>
      </c>
      <c r="V64" s="209">
        <f>SUBTOTAL(109,Dec16Data[Cell 21])</f>
        <v>4731</v>
      </c>
      <c r="W64" s="209">
        <f>SUBTOTAL(109,Dec16Data[Cell 22])</f>
        <v>4731</v>
      </c>
      <c r="X64" s="209">
        <f>SUBTOTAL(109,Dec16Data[Cell 23])</f>
        <v>4430</v>
      </c>
      <c r="Y64" s="209">
        <f>SUBTOTAL(109,Dec16Data[Cell 24])</f>
        <v>107149</v>
      </c>
      <c r="Z64" s="209">
        <f>SUBTOTAL(109,Dec16Data[Cell 25])</f>
        <v>111579</v>
      </c>
      <c r="AA64" s="209">
        <f>SUBTOTAL(109,Dec16Data[Cell 26])</f>
        <v>2839</v>
      </c>
      <c r="AB64" s="209">
        <f>SUBTOTAL(109,Dec16Data[Cell 27])</f>
        <v>46710</v>
      </c>
      <c r="AC64" s="209">
        <f>SUBTOTAL(109,Dec16Data[Cell 28])</f>
        <v>49549</v>
      </c>
      <c r="AD64" s="209">
        <f>SUBTOTAL(109,Dec16Data[Cell 29])</f>
        <v>2463</v>
      </c>
      <c r="AE64" s="209">
        <f>SUBTOTAL(109,Dec16Data[Cell 30])</f>
        <v>43807</v>
      </c>
      <c r="AF64" s="209">
        <f>SUBTOTAL(109,Dec16Data[Cell 31])</f>
        <v>46270</v>
      </c>
      <c r="AG64" s="209">
        <f>SUBTOTAL(109,Dec16Data[Cell 32])</f>
        <v>136</v>
      </c>
      <c r="AH64" s="209">
        <f>SUBTOTAL(109,Dec16Data[Cell 33])</f>
        <v>1391</v>
      </c>
      <c r="AI64" s="209">
        <f>SUBTOTAL(109,Dec16Data[Cell 34])</f>
        <v>1527</v>
      </c>
      <c r="AJ64" s="209">
        <f>SUBTOTAL(109,Dec16Data[Cell 35])</f>
        <v>240</v>
      </c>
      <c r="AK64" s="209">
        <f>SUBTOTAL(109,Dec16Data[Cell 36])</f>
        <v>1512</v>
      </c>
      <c r="AL64" s="209">
        <f>SUBTOTAL(109,Dec16Data[Cell 37])</f>
        <v>1752</v>
      </c>
      <c r="AM64" s="209">
        <f>SUBTOTAL(109,Dec16Data[Cell 38])</f>
        <v>1591</v>
      </c>
      <c r="AN64" s="209">
        <f>SUBTOTAL(109,Dec16Data[Cell 39])</f>
        <v>60439</v>
      </c>
      <c r="AO64" s="209">
        <f>SUBTOTAL(109,Dec16Data[Cell 40])</f>
        <v>62030</v>
      </c>
      <c r="AP64" s="209">
        <f>SUBTOTAL(109,Dec16Data[Cell 41])</f>
        <v>243775</v>
      </c>
      <c r="AQ64" s="209">
        <f>SUBTOTAL(109,Dec16Data[Cell 42])</f>
        <v>1615961</v>
      </c>
      <c r="AR64" s="209">
        <f>SUBTOTAL(109,Dec16Data[Cell 43])</f>
        <v>1859736</v>
      </c>
      <c r="AS64" s="209">
        <f>SUBTOTAL(109,Dec16Data[Cell 44])</f>
        <v>243556</v>
      </c>
      <c r="AT64" s="209">
        <f>SUBTOTAL(109,Dec16Data[Cell 45])</f>
        <v>1614985</v>
      </c>
      <c r="AU64" s="209">
        <f>SUBTOTAL(109,Dec16Data[Cell 46])</f>
        <v>1858541</v>
      </c>
      <c r="AV64" s="209">
        <f>SUBTOTAL(109,Dec16Data[Cell 47])</f>
        <v>219</v>
      </c>
      <c r="AW64" s="209">
        <f>SUBTOTAL(109,Dec16Data[Cell 48])</f>
        <v>976</v>
      </c>
      <c r="AX64" s="209">
        <f>SUBTOTAL(109,Dec16Data[Cell 49])</f>
        <v>1195</v>
      </c>
      <c r="AY64" s="209">
        <f>SUBTOTAL(109,Dec16Data[Cell 50])</f>
        <v>12477</v>
      </c>
      <c r="AZ64" s="209">
        <f>SUBTOTAL(109,Dec16Data[Cell 51])</f>
        <v>141415</v>
      </c>
      <c r="BA64" s="209">
        <f>SUBTOTAL(109,Dec16Data[Cell 52])</f>
        <v>153892</v>
      </c>
      <c r="BB64" s="209">
        <f>SUBTOTAL(109,Dec16Data[Cell 53])</f>
        <v>6152</v>
      </c>
      <c r="BC64" s="209">
        <f>SUBTOTAL(109,Dec16Data[Cell 54])</f>
        <v>129</v>
      </c>
      <c r="BD64" s="209">
        <f>SUBTOTAL(109,Dec16Data[Cell 55])</f>
        <v>21</v>
      </c>
      <c r="BE64" s="209">
        <f>SUBTOTAL(109,Dec16Data[Cell 56])</f>
        <v>79202</v>
      </c>
      <c r="BF64" s="209">
        <f>SUBTOTAL(109,Dec16Data[Cell 57])</f>
        <v>987</v>
      </c>
      <c r="BG64" s="209">
        <f>SUBTOTAL(109,Dec16Data[Cell 58])</f>
        <v>634</v>
      </c>
      <c r="BH64" s="209">
        <f>SUBTOTAL(109,Dec16Data[Cell 59])</f>
        <v>6302</v>
      </c>
      <c r="BI64" s="209">
        <f>SUBTOTAL(109,Dec16Data[Cell 60])</f>
        <v>80823</v>
      </c>
      <c r="BJ64" s="209">
        <f>SUBTOTAL(109,Dec16Data[Cell 61])</f>
        <v>87125</v>
      </c>
      <c r="BK64" s="209">
        <f>SUBTOTAL(109,Dec16Data[Cell 62])</f>
        <v>-2061</v>
      </c>
      <c r="BL64" s="209">
        <f>SUBTOTAL(109,Dec16Data[Cell 63])</f>
        <v>2061</v>
      </c>
      <c r="BM64" s="209">
        <f>SUBTOTAL(109,Dec16Data[Cell 64])</f>
        <v>0</v>
      </c>
      <c r="BN64" s="209">
        <f>SUBTOTAL(109,Dec16Data[Cell 65])</f>
        <v>412</v>
      </c>
      <c r="BO64" s="209">
        <f>SUBTOTAL(109,Dec16Data[Cell 66])</f>
        <v>2017</v>
      </c>
      <c r="BP64" s="209">
        <f>SUBTOTAL(109,Dec16Data[Cell 67])</f>
        <v>2429</v>
      </c>
      <c r="BQ64" s="209">
        <f>SUBTOTAL(109,Dec16Data[Cell 68])</f>
        <v>886</v>
      </c>
      <c r="BR64" s="209">
        <f>SUBTOTAL(109,Dec16Data[Cell 69])</f>
        <v>10828</v>
      </c>
      <c r="BS64" s="209">
        <f>SUBTOTAL(109,Dec16Data[Cell 70])</f>
        <v>11714</v>
      </c>
      <c r="BT64" s="209">
        <f>SUBTOTAL(109,Dec16Data[Cell 71])</f>
        <v>6938</v>
      </c>
      <c r="BU64" s="209">
        <f>SUBTOTAL(109,Dec16Data[Cell 72])</f>
        <v>45686</v>
      </c>
      <c r="BV64" s="209">
        <f>SUBTOTAL(109,Dec16Data[Cell 73])</f>
        <v>52624</v>
      </c>
      <c r="BW64" s="209">
        <f>SUBTOTAL(109,Dec16Data[Cell 74])</f>
        <v>256252</v>
      </c>
      <c r="BX64" s="209">
        <f>SUBTOTAL(109,Dec16Data[Cell 75])</f>
        <v>1757376</v>
      </c>
      <c r="BY64" s="209">
        <f>SUBTOTAL(109,Dec16Data[Cell 76])</f>
        <v>2013628</v>
      </c>
      <c r="BZ64" s="209">
        <f>SUBTOTAL(109,Dec16Data[Cell 77])</f>
        <v>251107</v>
      </c>
      <c r="CA64" s="209">
        <f>SUBTOTAL(109,Dec16Data[Cell 78])</f>
        <v>1726937</v>
      </c>
      <c r="CB64" s="209">
        <f>SUBTOTAL(109,Dec16Data[Cell 79])</f>
        <v>1978044</v>
      </c>
      <c r="CC64" s="209">
        <f>SUBTOTAL(109,Dec16Data[Cell 80])</f>
        <v>4145269</v>
      </c>
      <c r="CD64" s="209">
        <f>SUBTOTAL(109,Dec16Data[Cell 81])</f>
        <v>2679</v>
      </c>
      <c r="CE64" s="209">
        <f>SUBTOTAL(109,Dec16Data[Cell 82])</f>
        <v>30016</v>
      </c>
      <c r="CF64" s="209">
        <f>SUBTOTAL(109,Dec16Data[Cell 83])</f>
        <v>4795</v>
      </c>
      <c r="CG64" s="209">
        <f>SUBTOTAL(109,Dec16Data[Cell 84])</f>
        <v>20338</v>
      </c>
      <c r="CH64" s="209">
        <f>SUBTOTAL(109,Dec16Data[Cell 85])</f>
        <v>25133</v>
      </c>
      <c r="CI64" s="209">
        <f>SUBTOTAL(109,Dec16Data[Cell 86])</f>
        <v>12606</v>
      </c>
      <c r="CJ64" s="209">
        <f>SUBTOTAL(109,Dec16Data[Cell 87])</f>
        <v>1144</v>
      </c>
      <c r="CK64" s="209">
        <f>SUBTOTAL(109,Dec16Data[Cell 88])</f>
        <v>350</v>
      </c>
      <c r="CL64" s="209">
        <f>SUBTOTAL(109,Dec16Data[Cell 89])</f>
        <v>10101</v>
      </c>
      <c r="CM64" s="209">
        <f>SUBTOTAL(109,Dec16Data[Cell 90])</f>
        <v>10451</v>
      </c>
      <c r="CN64" s="209">
        <f>SUBTOTAL(109,Dec16Data[Cell 91])</f>
        <v>13631</v>
      </c>
      <c r="CO64" s="209">
        <f>SUBTOTAL(109,Dec16Data[Cell 92])</f>
        <v>158855</v>
      </c>
      <c r="CP64" s="209">
        <f>SUBTOTAL(109,Dec16Data[Cell 93])</f>
        <v>172486</v>
      </c>
      <c r="CQ64" s="209">
        <f>SUBTOTAL(109,Dec16Data[Cell 94])</f>
        <v>110</v>
      </c>
      <c r="CR64" s="209">
        <f>SUBTOTAL(109,Dec16Data[Cell 95])</f>
        <v>948</v>
      </c>
      <c r="CS64" s="209">
        <f>SUBTOTAL(109,Dec16Data[Cell 96])</f>
        <v>1058</v>
      </c>
      <c r="CT64" s="209">
        <f>SUBTOTAL(109,Dec16Data[Cell 97])</f>
        <v>242621</v>
      </c>
      <c r="CU64" s="209">
        <f>SUBTOTAL(109,Dec16Data[Cell 98])</f>
        <v>1598521</v>
      </c>
      <c r="CV64" s="209">
        <f>SUBTOTAL(109,Dec16Data[Cell 99])</f>
        <v>1841142</v>
      </c>
      <c r="CW64" s="209">
        <f>SUBTOTAL(109,Dec16Data[Cell 100])</f>
        <v>15964</v>
      </c>
      <c r="CX64" s="209">
        <f>SUBTOTAL(109,Dec16Data[Cell 101])</f>
        <v>79964</v>
      </c>
      <c r="CY64" s="209">
        <f>SUBTOTAL(109,Dec16Data[Cell 102])</f>
        <v>95928</v>
      </c>
      <c r="CZ64" s="209">
        <f>SUBTOTAL(109,Dec16Data[Cell 103])</f>
        <v>15407</v>
      </c>
      <c r="DA64" s="209">
        <f>SUBTOTAL(109,Dec16Data[Cell 104])</f>
        <v>289</v>
      </c>
      <c r="DB64" s="209">
        <f>SUBTOTAL(109,Dec16Data[Cell 105])</f>
        <v>9</v>
      </c>
      <c r="DC64" s="209">
        <f>SUBTOTAL(109,Dec16Data[Cell 106])</f>
        <v>73898</v>
      </c>
      <c r="DD64" s="209">
        <f>SUBTOTAL(109,Dec16Data[Cell 107])</f>
        <v>1078</v>
      </c>
      <c r="DE64" s="209">
        <f>SUBTOTAL(109,Dec16Data[Cell 108])</f>
        <v>286</v>
      </c>
      <c r="DF64" s="209">
        <f>SUBTOTAL(109,Dec16Data[Cell 109])</f>
        <v>15705</v>
      </c>
      <c r="DG64" s="209">
        <f>SUBTOTAL(109,Dec16Data[Cell 110])</f>
        <v>75262</v>
      </c>
      <c r="DH64" s="209">
        <f>SUBTOTAL(109,Dec16Data[Cell 111])</f>
        <v>90967</v>
      </c>
      <c r="DI64" s="209">
        <f>SUBTOTAL(109,Dec16Data[Cell 112])</f>
        <v>256</v>
      </c>
      <c r="DJ64" s="209">
        <f>SUBTOTAL(109,Dec16Data[Cell 113])</f>
        <v>3</v>
      </c>
      <c r="DK64" s="209">
        <f>SUBTOTAL(109,Dec16Data[Cell 114])</f>
        <v>0</v>
      </c>
      <c r="DL64" s="209">
        <f>SUBTOTAL(109,Dec16Data[Cell 115])</f>
        <v>4576</v>
      </c>
      <c r="DM64" s="209">
        <f>SUBTOTAL(109,Dec16Data[Cell 116])</f>
        <v>96</v>
      </c>
      <c r="DN64" s="209">
        <f>SUBTOTAL(109,Dec16Data[Cell 117])</f>
        <v>30</v>
      </c>
      <c r="DO64" s="209">
        <f>SUBTOTAL(109,Dec16Data[Cell 118])</f>
        <v>259</v>
      </c>
      <c r="DP64" s="209">
        <f>SUBTOTAL(109,Dec16Data[Cell 119])</f>
        <v>4702</v>
      </c>
      <c r="DQ64" s="209">
        <f>SUBTOTAL(109,Dec16Data[Cell 120])</f>
        <v>4961</v>
      </c>
      <c r="DR64" s="209">
        <f>SUBTOTAL(109,Dec16Data[Cell 121])</f>
        <v>23</v>
      </c>
      <c r="DS64" s="209">
        <f>SUBTOTAL(109,Dec16Data[Cell 122])</f>
        <v>168</v>
      </c>
      <c r="DT64" s="209">
        <f>SUBTOTAL(109,Dec16Data[Cell 123])</f>
        <v>191</v>
      </c>
      <c r="DU64" s="210"/>
      <c r="DV64" s="200">
        <v>25967364</v>
      </c>
      <c r="DX64" s="192"/>
      <c r="DY64" s="192"/>
    </row>
  </sheetData>
  <conditionalFormatting sqref="B7:DT63">
    <cfRule type="containsBlanks" dxfId="1529" priority="2">
      <formula>LEN(TRIM(B7))=0</formula>
    </cfRule>
  </conditionalFormatting>
  <conditionalFormatting sqref="B6:DT6">
    <cfRule type="containsBlanks" dxfId="1381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344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148593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37800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132415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90943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199</v>
      </c>
      <c r="T13" s="63">
        <v>6</v>
      </c>
      <c r="U13" s="64">
        <v>1656</v>
      </c>
      <c r="V13" s="84">
        <v>7</v>
      </c>
      <c r="W13" s="85">
        <v>1855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149</v>
      </c>
      <c r="T14" s="88">
        <v>9</v>
      </c>
      <c r="U14" s="89">
        <v>36222</v>
      </c>
      <c r="V14" s="88">
        <v>10</v>
      </c>
      <c r="W14" s="90">
        <v>36371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85</v>
      </c>
      <c r="T15" s="71">
        <v>12</v>
      </c>
      <c r="U15" s="64">
        <v>18226</v>
      </c>
      <c r="V15" s="88">
        <v>13</v>
      </c>
      <c r="W15" s="90">
        <v>18311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64</v>
      </c>
      <c r="T16" s="71">
        <v>15</v>
      </c>
      <c r="U16" s="64">
        <v>17996</v>
      </c>
      <c r="V16" s="88">
        <v>16</v>
      </c>
      <c r="W16" s="90">
        <v>18060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6</v>
      </c>
      <c r="T17" s="71">
        <v>18</v>
      </c>
      <c r="U17" s="64">
        <v>1833</v>
      </c>
      <c r="V17" s="88">
        <v>19</v>
      </c>
      <c r="W17" s="90">
        <v>1839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0</v>
      </c>
      <c r="T18" s="82">
        <v>21</v>
      </c>
      <c r="U18" s="64">
        <v>5101</v>
      </c>
      <c r="V18" s="88">
        <v>22</v>
      </c>
      <c r="W18" s="90">
        <v>5101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4568</v>
      </c>
      <c r="T20" s="98">
        <v>24</v>
      </c>
      <c r="U20" s="89">
        <v>115690</v>
      </c>
      <c r="V20" s="84">
        <v>25</v>
      </c>
      <c r="W20" s="89">
        <v>120258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2990</v>
      </c>
      <c r="T21" s="76">
        <v>27</v>
      </c>
      <c r="U21" s="77">
        <v>53451</v>
      </c>
      <c r="V21" s="88">
        <v>28</v>
      </c>
      <c r="W21" s="77">
        <v>56441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2587</v>
      </c>
      <c r="T22" s="71">
        <v>30</v>
      </c>
      <c r="U22" s="64">
        <v>49931</v>
      </c>
      <c r="V22" s="88">
        <v>31</v>
      </c>
      <c r="W22" s="90">
        <v>52518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169</v>
      </c>
      <c r="T23" s="71">
        <v>33</v>
      </c>
      <c r="U23" s="64">
        <v>1983</v>
      </c>
      <c r="V23" s="88">
        <v>34</v>
      </c>
      <c r="W23" s="90">
        <v>2152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234</v>
      </c>
      <c r="T24" s="71">
        <v>36</v>
      </c>
      <c r="U24" s="64">
        <v>1537</v>
      </c>
      <c r="V24" s="88">
        <v>37</v>
      </c>
      <c r="W24" s="90">
        <v>1771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1578</v>
      </c>
      <c r="T25" s="82">
        <v>39</v>
      </c>
      <c r="U25" s="64">
        <v>62239</v>
      </c>
      <c r="V25" s="88">
        <v>40</v>
      </c>
      <c r="W25" s="90">
        <v>63817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241611</v>
      </c>
      <c r="T27" s="63">
        <v>42</v>
      </c>
      <c r="U27" s="64">
        <v>1589787</v>
      </c>
      <c r="V27" s="84">
        <v>43</v>
      </c>
      <c r="W27" s="85">
        <v>1831398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242621</v>
      </c>
      <c r="T28" s="71">
        <v>45</v>
      </c>
      <c r="U28" s="64">
        <v>1598521</v>
      </c>
      <c r="V28" s="88">
        <v>46</v>
      </c>
      <c r="W28" s="90">
        <v>1841142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-1010</v>
      </c>
      <c r="T29" s="76">
        <v>48</v>
      </c>
      <c r="U29" s="108">
        <v>-8734</v>
      </c>
      <c r="V29" s="88">
        <v>49</v>
      </c>
      <c r="W29" s="109">
        <v>-9744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13053</v>
      </c>
      <c r="T30" s="88">
        <v>51</v>
      </c>
      <c r="U30" s="110">
        <v>150128</v>
      </c>
      <c r="V30" s="88">
        <v>52</v>
      </c>
      <c r="W30" s="90">
        <v>163181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5971</v>
      </c>
      <c r="H33" s="122">
        <v>54</v>
      </c>
      <c r="I33" s="64">
        <v>94</v>
      </c>
      <c r="J33" s="122">
        <v>55</v>
      </c>
      <c r="K33" s="64">
        <v>24</v>
      </c>
      <c r="L33" s="122">
        <v>56</v>
      </c>
      <c r="M33" s="64">
        <v>83326</v>
      </c>
      <c r="N33" s="122">
        <v>57</v>
      </c>
      <c r="O33" s="64">
        <v>944</v>
      </c>
      <c r="P33" s="122">
        <v>58</v>
      </c>
      <c r="Q33" s="64">
        <v>584</v>
      </c>
      <c r="R33" s="76">
        <v>59</v>
      </c>
      <c r="S33" s="123">
        <v>6089</v>
      </c>
      <c r="T33" s="124">
        <v>60</v>
      </c>
      <c r="U33" s="123">
        <v>84854</v>
      </c>
      <c r="V33" s="88">
        <v>61</v>
      </c>
      <c r="W33" s="90">
        <v>90943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-1727</v>
      </c>
      <c r="T34" s="126">
        <v>63</v>
      </c>
      <c r="U34" s="64">
        <v>1727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393</v>
      </c>
      <c r="T35" s="126">
        <v>66</v>
      </c>
      <c r="U35" s="64">
        <v>1836</v>
      </c>
      <c r="V35" s="88">
        <v>67</v>
      </c>
      <c r="W35" s="90">
        <v>2229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1191</v>
      </c>
      <c r="T36" s="126">
        <v>69</v>
      </c>
      <c r="U36" s="64">
        <v>13200</v>
      </c>
      <c r="V36" s="88">
        <v>70</v>
      </c>
      <c r="W36" s="90">
        <v>14391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7107</v>
      </c>
      <c r="T37" s="126">
        <v>72</v>
      </c>
      <c r="U37" s="64">
        <v>48511</v>
      </c>
      <c r="V37" s="88">
        <v>73</v>
      </c>
      <c r="W37" s="90">
        <v>55618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254664</v>
      </c>
      <c r="T39" s="124">
        <v>75</v>
      </c>
      <c r="U39" s="123">
        <v>1739915</v>
      </c>
      <c r="V39" s="88">
        <v>76</v>
      </c>
      <c r="W39" s="90">
        <v>1994579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249545</v>
      </c>
      <c r="T40" s="132">
        <v>78</v>
      </c>
      <c r="U40" s="64">
        <v>1709783</v>
      </c>
      <c r="V40" s="88">
        <v>79</v>
      </c>
      <c r="W40" s="90">
        <v>1959328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4109684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2644</v>
      </c>
      <c r="P43" s="134">
        <v>82</v>
      </c>
      <c r="Q43" s="64">
        <v>29749</v>
      </c>
      <c r="R43" s="71">
        <v>83</v>
      </c>
      <c r="S43" s="64">
        <v>4775</v>
      </c>
      <c r="T43" s="71">
        <v>84</v>
      </c>
      <c r="U43" s="64">
        <v>20309</v>
      </c>
      <c r="V43" s="76">
        <v>85</v>
      </c>
      <c r="W43" s="135">
        <v>25084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12362</v>
      </c>
      <c r="P44" s="136">
        <v>87</v>
      </c>
      <c r="Q44" s="64">
        <v>1163</v>
      </c>
      <c r="R44" s="71">
        <v>88</v>
      </c>
      <c r="S44" s="64">
        <v>344</v>
      </c>
      <c r="T44" s="71">
        <v>89</v>
      </c>
      <c r="U44" s="64">
        <v>9823</v>
      </c>
      <c r="V44" s="76">
        <v>90</v>
      </c>
      <c r="W44" s="135">
        <v>10167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12382</v>
      </c>
      <c r="T45" s="71">
        <v>92</v>
      </c>
      <c r="U45" s="64">
        <v>141689</v>
      </c>
      <c r="V45" s="76">
        <v>93</v>
      </c>
      <c r="W45" s="135">
        <v>154071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126</v>
      </c>
      <c r="T46" s="71">
        <v>95</v>
      </c>
      <c r="U46" s="64">
        <v>872</v>
      </c>
      <c r="V46" s="76">
        <v>96</v>
      </c>
      <c r="W46" s="135">
        <v>998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242282</v>
      </c>
      <c r="T47" s="141">
        <v>98</v>
      </c>
      <c r="U47" s="143">
        <v>1598226</v>
      </c>
      <c r="V47" s="88">
        <v>99</v>
      </c>
      <c r="W47" s="90">
        <v>1840508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15190</v>
      </c>
      <c r="T49" s="144">
        <v>101</v>
      </c>
      <c r="U49" s="145">
        <v>76299</v>
      </c>
      <c r="V49" s="98">
        <v>102</v>
      </c>
      <c r="W49" s="146">
        <v>91489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14682</v>
      </c>
      <c r="H52" s="122">
        <v>104</v>
      </c>
      <c r="I52" s="64">
        <v>295</v>
      </c>
      <c r="J52" s="122">
        <v>105</v>
      </c>
      <c r="K52" s="64">
        <v>6</v>
      </c>
      <c r="L52" s="122">
        <v>106</v>
      </c>
      <c r="M52" s="64">
        <v>71081</v>
      </c>
      <c r="N52" s="122">
        <v>107</v>
      </c>
      <c r="O52" s="64">
        <v>939</v>
      </c>
      <c r="P52" s="122">
        <v>108</v>
      </c>
      <c r="Q52" s="64">
        <v>262</v>
      </c>
      <c r="R52" s="155">
        <v>109</v>
      </c>
      <c r="S52" s="156">
        <v>14983</v>
      </c>
      <c r="T52" s="155">
        <v>110</v>
      </c>
      <c r="U52" s="156">
        <v>72282</v>
      </c>
      <c r="V52" s="76">
        <v>111</v>
      </c>
      <c r="W52" s="135">
        <v>87265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202</v>
      </c>
      <c r="H53" s="122">
        <v>113</v>
      </c>
      <c r="I53" s="64">
        <v>5</v>
      </c>
      <c r="J53" s="122">
        <v>114</v>
      </c>
      <c r="K53" s="64">
        <v>0</v>
      </c>
      <c r="L53" s="122">
        <v>115</v>
      </c>
      <c r="M53" s="64">
        <v>3917</v>
      </c>
      <c r="N53" s="122">
        <v>116</v>
      </c>
      <c r="O53" s="64">
        <v>71</v>
      </c>
      <c r="P53" s="122">
        <v>117</v>
      </c>
      <c r="Q53" s="64">
        <v>29</v>
      </c>
      <c r="R53" s="155">
        <v>118</v>
      </c>
      <c r="S53" s="156">
        <v>207</v>
      </c>
      <c r="T53" s="155">
        <v>119</v>
      </c>
      <c r="U53" s="156">
        <v>4017</v>
      </c>
      <c r="V53" s="76">
        <v>120</v>
      </c>
      <c r="W53" s="135">
        <v>4224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6</v>
      </c>
      <c r="T54" s="162">
        <v>122</v>
      </c>
      <c r="U54" s="64">
        <v>18</v>
      </c>
      <c r="V54" s="76">
        <v>123</v>
      </c>
      <c r="W54" s="135">
        <v>24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363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25818563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345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344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1"/>
    </row>
    <row r="7" spans="1:129">
      <c r="A7" s="189" t="s">
        <v>272</v>
      </c>
      <c r="B7" s="190">
        <v>4</v>
      </c>
      <c r="C7" s="190">
        <v>1</v>
      </c>
      <c r="D7" s="190">
        <v>3</v>
      </c>
      <c r="E7" s="190">
        <v>2</v>
      </c>
      <c r="F7" s="190">
        <v>0</v>
      </c>
      <c r="G7" s="190">
        <v>0</v>
      </c>
      <c r="H7" s="190">
        <v>0</v>
      </c>
      <c r="I7" s="190">
        <v>0</v>
      </c>
      <c r="J7" s="190">
        <v>1</v>
      </c>
      <c r="K7" s="190">
        <v>1</v>
      </c>
      <c r="L7" s="190">
        <v>0</v>
      </c>
      <c r="M7" s="190">
        <v>0</v>
      </c>
      <c r="N7" s="190">
        <v>0</v>
      </c>
      <c r="O7" s="190">
        <v>0</v>
      </c>
      <c r="P7" s="190">
        <v>1</v>
      </c>
      <c r="Q7" s="190">
        <v>1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3</v>
      </c>
      <c r="Z7" s="190">
        <v>3</v>
      </c>
      <c r="AA7" s="190">
        <v>0</v>
      </c>
      <c r="AB7" s="190">
        <v>1</v>
      </c>
      <c r="AC7" s="190">
        <v>1</v>
      </c>
      <c r="AD7" s="190">
        <v>0</v>
      </c>
      <c r="AE7" s="190">
        <v>1</v>
      </c>
      <c r="AF7" s="190">
        <v>1</v>
      </c>
      <c r="AG7" s="190">
        <v>0</v>
      </c>
      <c r="AH7" s="190">
        <v>0</v>
      </c>
      <c r="AI7" s="190">
        <v>0</v>
      </c>
      <c r="AJ7" s="190">
        <v>0</v>
      </c>
      <c r="AK7" s="190">
        <v>0</v>
      </c>
      <c r="AL7" s="190">
        <v>0</v>
      </c>
      <c r="AM7" s="190">
        <v>0</v>
      </c>
      <c r="AN7" s="190">
        <v>2</v>
      </c>
      <c r="AO7" s="190">
        <v>2</v>
      </c>
      <c r="AP7" s="190">
        <v>0</v>
      </c>
      <c r="AQ7" s="190">
        <v>83</v>
      </c>
      <c r="AR7" s="190">
        <v>83</v>
      </c>
      <c r="AS7" s="190">
        <v>0</v>
      </c>
      <c r="AT7" s="190">
        <v>83</v>
      </c>
      <c r="AU7" s="190">
        <v>83</v>
      </c>
      <c r="AV7" s="190">
        <v>0</v>
      </c>
      <c r="AW7" s="190">
        <v>0</v>
      </c>
      <c r="AX7" s="190">
        <v>0</v>
      </c>
      <c r="AY7" s="190">
        <v>0</v>
      </c>
      <c r="AZ7" s="190">
        <v>3</v>
      </c>
      <c r="BA7" s="190">
        <v>3</v>
      </c>
      <c r="BB7" s="190">
        <v>0</v>
      </c>
      <c r="BC7" s="190">
        <v>0</v>
      </c>
      <c r="BD7" s="190">
        <v>0</v>
      </c>
      <c r="BE7" s="190">
        <v>2</v>
      </c>
      <c r="BF7" s="190">
        <v>0</v>
      </c>
      <c r="BG7" s="190">
        <v>0</v>
      </c>
      <c r="BH7" s="190">
        <v>0</v>
      </c>
      <c r="BI7" s="190">
        <v>2</v>
      </c>
      <c r="BJ7" s="190">
        <v>2</v>
      </c>
      <c r="BK7" s="190">
        <v>0</v>
      </c>
      <c r="BL7" s="190">
        <v>0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1</v>
      </c>
      <c r="BS7" s="190">
        <v>1</v>
      </c>
      <c r="BT7" s="190">
        <v>0</v>
      </c>
      <c r="BU7" s="190">
        <v>0</v>
      </c>
      <c r="BV7" s="190">
        <v>0</v>
      </c>
      <c r="BW7" s="190">
        <v>0</v>
      </c>
      <c r="BX7" s="190">
        <v>86</v>
      </c>
      <c r="BY7" s="190">
        <v>86</v>
      </c>
      <c r="BZ7" s="190">
        <v>0</v>
      </c>
      <c r="CA7" s="190">
        <v>86</v>
      </c>
      <c r="CB7" s="190">
        <v>86</v>
      </c>
      <c r="CC7" s="190">
        <v>141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6</v>
      </c>
      <c r="CP7" s="190">
        <v>6</v>
      </c>
      <c r="CQ7" s="190">
        <v>0</v>
      </c>
      <c r="CR7" s="190">
        <v>0</v>
      </c>
      <c r="CS7" s="190">
        <v>0</v>
      </c>
      <c r="CT7" s="190">
        <v>0</v>
      </c>
      <c r="CU7" s="190">
        <v>80</v>
      </c>
      <c r="CV7" s="190">
        <v>80</v>
      </c>
      <c r="CW7" s="190">
        <v>0</v>
      </c>
      <c r="CX7" s="190">
        <v>4</v>
      </c>
      <c r="CY7" s="190">
        <v>4</v>
      </c>
      <c r="CZ7" s="190">
        <v>0</v>
      </c>
      <c r="DA7" s="190">
        <v>0</v>
      </c>
      <c r="DB7" s="190">
        <v>0</v>
      </c>
      <c r="DC7" s="190">
        <v>4</v>
      </c>
      <c r="DD7" s="190">
        <v>0</v>
      </c>
      <c r="DE7" s="190">
        <v>0</v>
      </c>
      <c r="DF7" s="190">
        <v>0</v>
      </c>
      <c r="DG7" s="190">
        <v>4</v>
      </c>
      <c r="DH7" s="190">
        <v>4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144</v>
      </c>
      <c r="C8" s="190">
        <v>33</v>
      </c>
      <c r="D8" s="190">
        <v>118</v>
      </c>
      <c r="E8" s="190">
        <v>79</v>
      </c>
      <c r="F8" s="190">
        <v>0</v>
      </c>
      <c r="G8" s="190">
        <v>3</v>
      </c>
      <c r="H8" s="190">
        <v>3</v>
      </c>
      <c r="I8" s="190">
        <v>0</v>
      </c>
      <c r="J8" s="190">
        <v>37</v>
      </c>
      <c r="K8" s="190">
        <v>37</v>
      </c>
      <c r="L8" s="190">
        <v>0</v>
      </c>
      <c r="M8" s="190">
        <v>21</v>
      </c>
      <c r="N8" s="190">
        <v>21</v>
      </c>
      <c r="O8" s="190">
        <v>0</v>
      </c>
      <c r="P8" s="190">
        <v>16</v>
      </c>
      <c r="Q8" s="190">
        <v>16</v>
      </c>
      <c r="R8" s="190">
        <v>0</v>
      </c>
      <c r="S8" s="190">
        <v>0</v>
      </c>
      <c r="T8" s="190">
        <v>0</v>
      </c>
      <c r="U8" s="190">
        <v>0</v>
      </c>
      <c r="V8" s="190">
        <v>2</v>
      </c>
      <c r="W8" s="190">
        <v>2</v>
      </c>
      <c r="X8" s="190">
        <v>2</v>
      </c>
      <c r="Y8" s="190">
        <v>116</v>
      </c>
      <c r="Z8" s="190">
        <v>118</v>
      </c>
      <c r="AA8" s="190">
        <v>2</v>
      </c>
      <c r="AB8" s="190">
        <v>56</v>
      </c>
      <c r="AC8" s="190">
        <v>58</v>
      </c>
      <c r="AD8" s="190">
        <v>2</v>
      </c>
      <c r="AE8" s="190">
        <v>56</v>
      </c>
      <c r="AF8" s="190">
        <v>58</v>
      </c>
      <c r="AG8" s="190">
        <v>0</v>
      </c>
      <c r="AH8" s="190">
        <v>0</v>
      </c>
      <c r="AI8" s="190">
        <v>0</v>
      </c>
      <c r="AJ8" s="190">
        <v>0</v>
      </c>
      <c r="AK8" s="190">
        <v>0</v>
      </c>
      <c r="AL8" s="190">
        <v>0</v>
      </c>
      <c r="AM8" s="190">
        <v>0</v>
      </c>
      <c r="AN8" s="190">
        <v>60</v>
      </c>
      <c r="AO8" s="190">
        <v>60</v>
      </c>
      <c r="AP8" s="190">
        <v>136</v>
      </c>
      <c r="AQ8" s="190">
        <v>1444</v>
      </c>
      <c r="AR8" s="190">
        <v>1580</v>
      </c>
      <c r="AS8" s="190">
        <v>136</v>
      </c>
      <c r="AT8" s="190">
        <v>1444</v>
      </c>
      <c r="AU8" s="190">
        <v>1580</v>
      </c>
      <c r="AV8" s="190">
        <v>0</v>
      </c>
      <c r="AW8" s="190">
        <v>0</v>
      </c>
      <c r="AX8" s="190">
        <v>0</v>
      </c>
      <c r="AY8" s="190">
        <v>-4</v>
      </c>
      <c r="AZ8" s="190">
        <v>144</v>
      </c>
      <c r="BA8" s="190">
        <v>140</v>
      </c>
      <c r="BB8" s="190">
        <v>2</v>
      </c>
      <c r="BC8" s="190">
        <v>0</v>
      </c>
      <c r="BD8" s="190">
        <v>0</v>
      </c>
      <c r="BE8" s="190">
        <v>77</v>
      </c>
      <c r="BF8" s="190">
        <v>0</v>
      </c>
      <c r="BG8" s="190">
        <v>0</v>
      </c>
      <c r="BH8" s="190">
        <v>2</v>
      </c>
      <c r="BI8" s="190">
        <v>77</v>
      </c>
      <c r="BJ8" s="190">
        <v>79</v>
      </c>
      <c r="BK8" s="190">
        <v>-11</v>
      </c>
      <c r="BL8" s="190">
        <v>11</v>
      </c>
      <c r="BM8" s="190">
        <v>0</v>
      </c>
      <c r="BN8" s="190">
        <v>0</v>
      </c>
      <c r="BO8" s="190">
        <v>7</v>
      </c>
      <c r="BP8" s="190">
        <v>7</v>
      </c>
      <c r="BQ8" s="190">
        <v>2</v>
      </c>
      <c r="BR8" s="190">
        <v>18</v>
      </c>
      <c r="BS8" s="190">
        <v>20</v>
      </c>
      <c r="BT8" s="190">
        <v>3</v>
      </c>
      <c r="BU8" s="190">
        <v>31</v>
      </c>
      <c r="BV8" s="190">
        <v>34</v>
      </c>
      <c r="BW8" s="190">
        <v>132</v>
      </c>
      <c r="BX8" s="190">
        <v>1588</v>
      </c>
      <c r="BY8" s="190">
        <v>1720</v>
      </c>
      <c r="BZ8" s="190">
        <v>132</v>
      </c>
      <c r="CA8" s="190">
        <v>1583</v>
      </c>
      <c r="CB8" s="190">
        <v>1715</v>
      </c>
      <c r="CC8" s="190">
        <v>3198</v>
      </c>
      <c r="CD8" s="190">
        <v>0</v>
      </c>
      <c r="CE8" s="190">
        <v>4</v>
      </c>
      <c r="CF8" s="190">
        <v>0</v>
      </c>
      <c r="CG8" s="190">
        <v>4</v>
      </c>
      <c r="CH8" s="190">
        <v>4</v>
      </c>
      <c r="CI8" s="190">
        <v>1</v>
      </c>
      <c r="CJ8" s="190">
        <v>0</v>
      </c>
      <c r="CK8" s="190">
        <v>0</v>
      </c>
      <c r="CL8" s="190">
        <v>1</v>
      </c>
      <c r="CM8" s="190">
        <v>1</v>
      </c>
      <c r="CN8" s="190">
        <v>9</v>
      </c>
      <c r="CO8" s="190">
        <v>141</v>
      </c>
      <c r="CP8" s="190">
        <v>150</v>
      </c>
      <c r="CQ8" s="190">
        <v>0</v>
      </c>
      <c r="CR8" s="190">
        <v>0</v>
      </c>
      <c r="CS8" s="190">
        <v>0</v>
      </c>
      <c r="CT8" s="190">
        <v>123</v>
      </c>
      <c r="CU8" s="190">
        <v>1447</v>
      </c>
      <c r="CV8" s="190">
        <v>1570</v>
      </c>
      <c r="CW8" s="190">
        <v>10</v>
      </c>
      <c r="CX8" s="190">
        <v>88</v>
      </c>
      <c r="CY8" s="190">
        <v>98</v>
      </c>
      <c r="CZ8" s="190">
        <v>10</v>
      </c>
      <c r="DA8" s="190">
        <v>0</v>
      </c>
      <c r="DB8" s="190">
        <v>0</v>
      </c>
      <c r="DC8" s="190">
        <v>87</v>
      </c>
      <c r="DD8" s="190">
        <v>0</v>
      </c>
      <c r="DE8" s="190">
        <v>0</v>
      </c>
      <c r="DF8" s="190">
        <v>10</v>
      </c>
      <c r="DG8" s="190">
        <v>87</v>
      </c>
      <c r="DH8" s="190">
        <v>97</v>
      </c>
      <c r="DI8" s="190">
        <v>0</v>
      </c>
      <c r="DJ8" s="190">
        <v>0</v>
      </c>
      <c r="DK8" s="190">
        <v>0</v>
      </c>
      <c r="DL8" s="190">
        <v>1</v>
      </c>
      <c r="DM8" s="190">
        <v>0</v>
      </c>
      <c r="DN8" s="190">
        <v>0</v>
      </c>
      <c r="DO8" s="190">
        <v>0</v>
      </c>
      <c r="DP8" s="190">
        <v>1</v>
      </c>
      <c r="DQ8" s="190">
        <v>1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1681</v>
      </c>
      <c r="C9" s="190">
        <v>629</v>
      </c>
      <c r="D9" s="190">
        <v>1316</v>
      </c>
      <c r="E9" s="190">
        <v>779</v>
      </c>
      <c r="F9" s="190">
        <v>2</v>
      </c>
      <c r="G9" s="190">
        <v>74</v>
      </c>
      <c r="H9" s="190">
        <v>76</v>
      </c>
      <c r="I9" s="190">
        <v>0</v>
      </c>
      <c r="J9" s="190">
        <v>478</v>
      </c>
      <c r="K9" s="190">
        <v>478</v>
      </c>
      <c r="L9" s="190">
        <v>0</v>
      </c>
      <c r="M9" s="190">
        <v>157</v>
      </c>
      <c r="N9" s="190">
        <v>157</v>
      </c>
      <c r="O9" s="190">
        <v>0</v>
      </c>
      <c r="P9" s="190">
        <v>321</v>
      </c>
      <c r="Q9" s="190">
        <v>321</v>
      </c>
      <c r="R9" s="190">
        <v>0</v>
      </c>
      <c r="S9" s="190">
        <v>28</v>
      </c>
      <c r="T9" s="190">
        <v>28</v>
      </c>
      <c r="U9" s="190">
        <v>0</v>
      </c>
      <c r="V9" s="190">
        <v>59</v>
      </c>
      <c r="W9" s="190">
        <v>59</v>
      </c>
      <c r="X9" s="190">
        <v>29</v>
      </c>
      <c r="Y9" s="190">
        <v>1285</v>
      </c>
      <c r="Z9" s="190">
        <v>1314</v>
      </c>
      <c r="AA9" s="190">
        <v>18</v>
      </c>
      <c r="AB9" s="190">
        <v>574</v>
      </c>
      <c r="AC9" s="190">
        <v>592</v>
      </c>
      <c r="AD9" s="190">
        <v>18</v>
      </c>
      <c r="AE9" s="190">
        <v>537</v>
      </c>
      <c r="AF9" s="190">
        <v>555</v>
      </c>
      <c r="AG9" s="190">
        <v>0</v>
      </c>
      <c r="AH9" s="190">
        <v>27</v>
      </c>
      <c r="AI9" s="190">
        <v>27</v>
      </c>
      <c r="AJ9" s="190">
        <v>0</v>
      </c>
      <c r="AK9" s="190">
        <v>10</v>
      </c>
      <c r="AL9" s="190">
        <v>10</v>
      </c>
      <c r="AM9" s="190">
        <v>11</v>
      </c>
      <c r="AN9" s="190">
        <v>711</v>
      </c>
      <c r="AO9" s="190">
        <v>722</v>
      </c>
      <c r="AP9" s="190">
        <v>1583</v>
      </c>
      <c r="AQ9" s="190">
        <v>13899</v>
      </c>
      <c r="AR9" s="190">
        <v>15482</v>
      </c>
      <c r="AS9" s="190">
        <v>1583</v>
      </c>
      <c r="AT9" s="190">
        <v>13899</v>
      </c>
      <c r="AU9" s="190">
        <v>15482</v>
      </c>
      <c r="AV9" s="190">
        <v>0</v>
      </c>
      <c r="AW9" s="190">
        <v>0</v>
      </c>
      <c r="AX9" s="190">
        <v>0</v>
      </c>
      <c r="AY9" s="190">
        <v>104</v>
      </c>
      <c r="AZ9" s="190">
        <v>1243</v>
      </c>
      <c r="BA9" s="190">
        <v>1347</v>
      </c>
      <c r="BB9" s="190">
        <v>34</v>
      </c>
      <c r="BC9" s="190">
        <v>0</v>
      </c>
      <c r="BD9" s="190">
        <v>0</v>
      </c>
      <c r="BE9" s="190">
        <v>744</v>
      </c>
      <c r="BF9" s="190">
        <v>0</v>
      </c>
      <c r="BG9" s="190">
        <v>1</v>
      </c>
      <c r="BH9" s="190">
        <v>34</v>
      </c>
      <c r="BI9" s="190">
        <v>745</v>
      </c>
      <c r="BJ9" s="190">
        <v>779</v>
      </c>
      <c r="BK9" s="190">
        <v>-15</v>
      </c>
      <c r="BL9" s="190">
        <v>15</v>
      </c>
      <c r="BM9" s="190">
        <v>0</v>
      </c>
      <c r="BN9" s="190">
        <v>1</v>
      </c>
      <c r="BO9" s="190">
        <v>27</v>
      </c>
      <c r="BP9" s="190">
        <v>28</v>
      </c>
      <c r="BQ9" s="190">
        <v>3</v>
      </c>
      <c r="BR9" s="190">
        <v>154</v>
      </c>
      <c r="BS9" s="190">
        <v>157</v>
      </c>
      <c r="BT9" s="190">
        <v>81</v>
      </c>
      <c r="BU9" s="190">
        <v>302</v>
      </c>
      <c r="BV9" s="190">
        <v>383</v>
      </c>
      <c r="BW9" s="190">
        <v>1687</v>
      </c>
      <c r="BX9" s="190">
        <v>15142</v>
      </c>
      <c r="BY9" s="190">
        <v>16829</v>
      </c>
      <c r="BZ9" s="190">
        <v>1681</v>
      </c>
      <c r="CA9" s="190">
        <v>15073</v>
      </c>
      <c r="CB9" s="190">
        <v>16754</v>
      </c>
      <c r="CC9" s="190">
        <v>31384</v>
      </c>
      <c r="CD9" s="190">
        <v>6</v>
      </c>
      <c r="CE9" s="190">
        <v>42</v>
      </c>
      <c r="CF9" s="190">
        <v>6</v>
      </c>
      <c r="CG9" s="190">
        <v>40</v>
      </c>
      <c r="CH9" s="190">
        <v>46</v>
      </c>
      <c r="CI9" s="190">
        <v>30</v>
      </c>
      <c r="CJ9" s="190">
        <v>5</v>
      </c>
      <c r="CK9" s="190">
        <v>0</v>
      </c>
      <c r="CL9" s="190">
        <v>29</v>
      </c>
      <c r="CM9" s="190">
        <v>29</v>
      </c>
      <c r="CN9" s="190">
        <v>85</v>
      </c>
      <c r="CO9" s="190">
        <v>1407</v>
      </c>
      <c r="CP9" s="190">
        <v>1492</v>
      </c>
      <c r="CQ9" s="190">
        <v>0</v>
      </c>
      <c r="CR9" s="190">
        <v>16</v>
      </c>
      <c r="CS9" s="190">
        <v>16</v>
      </c>
      <c r="CT9" s="190">
        <v>1602</v>
      </c>
      <c r="CU9" s="190">
        <v>13735</v>
      </c>
      <c r="CV9" s="190">
        <v>15337</v>
      </c>
      <c r="CW9" s="190">
        <v>137</v>
      </c>
      <c r="CX9" s="190">
        <v>642</v>
      </c>
      <c r="CY9" s="190">
        <v>779</v>
      </c>
      <c r="CZ9" s="190">
        <v>137</v>
      </c>
      <c r="DA9" s="190">
        <v>0</v>
      </c>
      <c r="DB9" s="190">
        <v>0</v>
      </c>
      <c r="DC9" s="190">
        <v>634</v>
      </c>
      <c r="DD9" s="190">
        <v>2</v>
      </c>
      <c r="DE9" s="190">
        <v>0</v>
      </c>
      <c r="DF9" s="190">
        <v>137</v>
      </c>
      <c r="DG9" s="190">
        <v>636</v>
      </c>
      <c r="DH9" s="190">
        <v>773</v>
      </c>
      <c r="DI9" s="190">
        <v>0</v>
      </c>
      <c r="DJ9" s="190">
        <v>0</v>
      </c>
      <c r="DK9" s="190">
        <v>0</v>
      </c>
      <c r="DL9" s="190">
        <v>6</v>
      </c>
      <c r="DM9" s="190">
        <v>0</v>
      </c>
      <c r="DN9" s="190">
        <v>0</v>
      </c>
      <c r="DO9" s="190">
        <v>0</v>
      </c>
      <c r="DP9" s="190">
        <v>6</v>
      </c>
      <c r="DQ9" s="190">
        <v>6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247</v>
      </c>
      <c r="C10" s="190">
        <v>58</v>
      </c>
      <c r="D10" s="190">
        <v>189</v>
      </c>
      <c r="E10" s="190">
        <v>136</v>
      </c>
      <c r="F10" s="190">
        <v>1</v>
      </c>
      <c r="G10" s="190">
        <v>4</v>
      </c>
      <c r="H10" s="190">
        <v>5</v>
      </c>
      <c r="I10" s="190">
        <v>0</v>
      </c>
      <c r="J10" s="190">
        <v>45</v>
      </c>
      <c r="K10" s="190">
        <v>45</v>
      </c>
      <c r="L10" s="190">
        <v>0</v>
      </c>
      <c r="M10" s="190">
        <v>27</v>
      </c>
      <c r="N10" s="190">
        <v>27</v>
      </c>
      <c r="O10" s="190">
        <v>0</v>
      </c>
      <c r="P10" s="190">
        <v>18</v>
      </c>
      <c r="Q10" s="190">
        <v>18</v>
      </c>
      <c r="R10" s="190">
        <v>0</v>
      </c>
      <c r="S10" s="190">
        <v>0</v>
      </c>
      <c r="T10" s="190">
        <v>0</v>
      </c>
      <c r="U10" s="190">
        <v>0</v>
      </c>
      <c r="V10" s="190">
        <v>8</v>
      </c>
      <c r="W10" s="190">
        <v>8</v>
      </c>
      <c r="X10" s="190">
        <v>5</v>
      </c>
      <c r="Y10" s="190">
        <v>184</v>
      </c>
      <c r="Z10" s="190">
        <v>189</v>
      </c>
      <c r="AA10" s="190">
        <v>1</v>
      </c>
      <c r="AB10" s="190">
        <v>98</v>
      </c>
      <c r="AC10" s="190">
        <v>99</v>
      </c>
      <c r="AD10" s="190">
        <v>0</v>
      </c>
      <c r="AE10" s="190">
        <v>93</v>
      </c>
      <c r="AF10" s="190">
        <v>93</v>
      </c>
      <c r="AG10" s="190">
        <v>1</v>
      </c>
      <c r="AH10" s="190">
        <v>4</v>
      </c>
      <c r="AI10" s="190">
        <v>5</v>
      </c>
      <c r="AJ10" s="190">
        <v>0</v>
      </c>
      <c r="AK10" s="190">
        <v>1</v>
      </c>
      <c r="AL10" s="190">
        <v>1</v>
      </c>
      <c r="AM10" s="190">
        <v>4</v>
      </c>
      <c r="AN10" s="190">
        <v>86</v>
      </c>
      <c r="AO10" s="190">
        <v>90</v>
      </c>
      <c r="AP10" s="190">
        <v>170</v>
      </c>
      <c r="AQ10" s="190">
        <v>2426</v>
      </c>
      <c r="AR10" s="190">
        <v>2596</v>
      </c>
      <c r="AS10" s="190">
        <v>170</v>
      </c>
      <c r="AT10" s="190">
        <v>2427</v>
      </c>
      <c r="AU10" s="190">
        <v>2597</v>
      </c>
      <c r="AV10" s="190">
        <v>0</v>
      </c>
      <c r="AW10" s="190">
        <v>-1</v>
      </c>
      <c r="AX10" s="190">
        <v>-1</v>
      </c>
      <c r="AY10" s="190">
        <v>19</v>
      </c>
      <c r="AZ10" s="190">
        <v>245</v>
      </c>
      <c r="BA10" s="190">
        <v>264</v>
      </c>
      <c r="BB10" s="190">
        <v>5</v>
      </c>
      <c r="BC10" s="190">
        <v>0</v>
      </c>
      <c r="BD10" s="190">
        <v>0</v>
      </c>
      <c r="BE10" s="190">
        <v>131</v>
      </c>
      <c r="BF10" s="190">
        <v>0</v>
      </c>
      <c r="BG10" s="190">
        <v>0</v>
      </c>
      <c r="BH10" s="190">
        <v>5</v>
      </c>
      <c r="BI10" s="190">
        <v>131</v>
      </c>
      <c r="BJ10" s="190">
        <v>136</v>
      </c>
      <c r="BK10" s="190">
        <v>5</v>
      </c>
      <c r="BL10" s="190">
        <v>-5</v>
      </c>
      <c r="BM10" s="190">
        <v>0</v>
      </c>
      <c r="BN10" s="190">
        <v>1</v>
      </c>
      <c r="BO10" s="190">
        <v>9</v>
      </c>
      <c r="BP10" s="190">
        <v>10</v>
      </c>
      <c r="BQ10" s="190">
        <v>1</v>
      </c>
      <c r="BR10" s="190">
        <v>35</v>
      </c>
      <c r="BS10" s="190">
        <v>36</v>
      </c>
      <c r="BT10" s="190">
        <v>7</v>
      </c>
      <c r="BU10" s="190">
        <v>75</v>
      </c>
      <c r="BV10" s="190">
        <v>82</v>
      </c>
      <c r="BW10" s="190">
        <v>189</v>
      </c>
      <c r="BX10" s="190">
        <v>2671</v>
      </c>
      <c r="BY10" s="190">
        <v>2860</v>
      </c>
      <c r="BZ10" s="190">
        <v>189</v>
      </c>
      <c r="CA10" s="190">
        <v>2659</v>
      </c>
      <c r="CB10" s="190">
        <v>2848</v>
      </c>
      <c r="CC10" s="190">
        <v>5120</v>
      </c>
      <c r="CD10" s="190">
        <v>4</v>
      </c>
      <c r="CE10" s="190">
        <v>6</v>
      </c>
      <c r="CF10" s="190">
        <v>0</v>
      </c>
      <c r="CG10" s="190">
        <v>8</v>
      </c>
      <c r="CH10" s="190">
        <v>8</v>
      </c>
      <c r="CI10" s="190">
        <v>5</v>
      </c>
      <c r="CJ10" s="190">
        <v>0</v>
      </c>
      <c r="CK10" s="190">
        <v>0</v>
      </c>
      <c r="CL10" s="190">
        <v>4</v>
      </c>
      <c r="CM10" s="190">
        <v>4</v>
      </c>
      <c r="CN10" s="190">
        <v>11</v>
      </c>
      <c r="CO10" s="190">
        <v>240</v>
      </c>
      <c r="CP10" s="190">
        <v>251</v>
      </c>
      <c r="CQ10" s="190">
        <v>0</v>
      </c>
      <c r="CR10" s="190">
        <v>0</v>
      </c>
      <c r="CS10" s="190">
        <v>0</v>
      </c>
      <c r="CT10" s="190">
        <v>178</v>
      </c>
      <c r="CU10" s="190">
        <v>2431</v>
      </c>
      <c r="CV10" s="190">
        <v>2609</v>
      </c>
      <c r="CW10" s="190">
        <v>13</v>
      </c>
      <c r="CX10" s="190">
        <v>137</v>
      </c>
      <c r="CY10" s="190">
        <v>150</v>
      </c>
      <c r="CZ10" s="190">
        <v>13</v>
      </c>
      <c r="DA10" s="190">
        <v>0</v>
      </c>
      <c r="DB10" s="190">
        <v>0</v>
      </c>
      <c r="DC10" s="190">
        <v>134</v>
      </c>
      <c r="DD10" s="190">
        <v>1</v>
      </c>
      <c r="DE10" s="190">
        <v>2</v>
      </c>
      <c r="DF10" s="190">
        <v>13</v>
      </c>
      <c r="DG10" s="190">
        <v>137</v>
      </c>
      <c r="DH10" s="190">
        <v>150</v>
      </c>
      <c r="DI10" s="190">
        <v>0</v>
      </c>
      <c r="DJ10" s="190">
        <v>0</v>
      </c>
      <c r="DK10" s="190">
        <v>0</v>
      </c>
      <c r="DL10" s="190">
        <v>0</v>
      </c>
      <c r="DM10" s="190">
        <v>0</v>
      </c>
      <c r="DN10" s="190">
        <v>0</v>
      </c>
      <c r="DO10" s="190">
        <v>0</v>
      </c>
      <c r="DP10" s="190">
        <v>0</v>
      </c>
      <c r="DQ10" s="190">
        <v>0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96</v>
      </c>
      <c r="C11" s="190">
        <v>6</v>
      </c>
      <c r="D11" s="190">
        <v>93</v>
      </c>
      <c r="E11" s="190">
        <v>62</v>
      </c>
      <c r="F11" s="190">
        <v>1</v>
      </c>
      <c r="G11" s="190">
        <v>6</v>
      </c>
      <c r="H11" s="190">
        <v>7</v>
      </c>
      <c r="I11" s="190">
        <v>0</v>
      </c>
      <c r="J11" s="190">
        <v>30</v>
      </c>
      <c r="K11" s="190">
        <v>30</v>
      </c>
      <c r="L11" s="190">
        <v>0</v>
      </c>
      <c r="M11" s="190">
        <v>13</v>
      </c>
      <c r="N11" s="190">
        <v>13</v>
      </c>
      <c r="O11" s="190">
        <v>0</v>
      </c>
      <c r="P11" s="190">
        <v>17</v>
      </c>
      <c r="Q11" s="190">
        <v>17</v>
      </c>
      <c r="R11" s="190">
        <v>0</v>
      </c>
      <c r="S11" s="190">
        <v>3</v>
      </c>
      <c r="T11" s="190">
        <v>3</v>
      </c>
      <c r="U11" s="190">
        <v>0</v>
      </c>
      <c r="V11" s="190">
        <v>1</v>
      </c>
      <c r="W11" s="190">
        <v>1</v>
      </c>
      <c r="X11" s="190">
        <v>0</v>
      </c>
      <c r="Y11" s="190">
        <v>93</v>
      </c>
      <c r="Z11" s="190">
        <v>93</v>
      </c>
      <c r="AA11" s="190">
        <v>0</v>
      </c>
      <c r="AB11" s="190">
        <v>36</v>
      </c>
      <c r="AC11" s="190">
        <v>36</v>
      </c>
      <c r="AD11" s="190">
        <v>0</v>
      </c>
      <c r="AE11" s="190">
        <v>35</v>
      </c>
      <c r="AF11" s="190">
        <v>35</v>
      </c>
      <c r="AG11" s="190">
        <v>0</v>
      </c>
      <c r="AH11" s="190">
        <v>0</v>
      </c>
      <c r="AI11" s="190">
        <v>0</v>
      </c>
      <c r="AJ11" s="190">
        <v>0</v>
      </c>
      <c r="AK11" s="190">
        <v>1</v>
      </c>
      <c r="AL11" s="190">
        <v>1</v>
      </c>
      <c r="AM11" s="190">
        <v>0</v>
      </c>
      <c r="AN11" s="190">
        <v>57</v>
      </c>
      <c r="AO11" s="190">
        <v>57</v>
      </c>
      <c r="AP11" s="190">
        <v>71</v>
      </c>
      <c r="AQ11" s="190">
        <v>521</v>
      </c>
      <c r="AR11" s="190">
        <v>592</v>
      </c>
      <c r="AS11" s="190">
        <v>71</v>
      </c>
      <c r="AT11" s="190">
        <v>521</v>
      </c>
      <c r="AU11" s="190">
        <v>592</v>
      </c>
      <c r="AV11" s="190">
        <v>0</v>
      </c>
      <c r="AW11" s="190">
        <v>0</v>
      </c>
      <c r="AX11" s="190">
        <v>0</v>
      </c>
      <c r="AY11" s="190">
        <v>11</v>
      </c>
      <c r="AZ11" s="190">
        <v>83</v>
      </c>
      <c r="BA11" s="190">
        <v>94</v>
      </c>
      <c r="BB11" s="190">
        <v>2</v>
      </c>
      <c r="BC11" s="190">
        <v>0</v>
      </c>
      <c r="BD11" s="190">
        <v>0</v>
      </c>
      <c r="BE11" s="190">
        <v>59</v>
      </c>
      <c r="BF11" s="190">
        <v>1</v>
      </c>
      <c r="BG11" s="190">
        <v>0</v>
      </c>
      <c r="BH11" s="190">
        <v>2</v>
      </c>
      <c r="BI11" s="190">
        <v>60</v>
      </c>
      <c r="BJ11" s="190">
        <v>62</v>
      </c>
      <c r="BK11" s="190">
        <v>5</v>
      </c>
      <c r="BL11" s="190">
        <v>-5</v>
      </c>
      <c r="BM11" s="190">
        <v>0</v>
      </c>
      <c r="BN11" s="190">
        <v>1</v>
      </c>
      <c r="BO11" s="190">
        <v>3</v>
      </c>
      <c r="BP11" s="190">
        <v>4</v>
      </c>
      <c r="BQ11" s="190">
        <v>0</v>
      </c>
      <c r="BR11" s="190">
        <v>4</v>
      </c>
      <c r="BS11" s="190">
        <v>4</v>
      </c>
      <c r="BT11" s="190">
        <v>3</v>
      </c>
      <c r="BU11" s="190">
        <v>21</v>
      </c>
      <c r="BV11" s="190">
        <v>24</v>
      </c>
      <c r="BW11" s="190">
        <v>82</v>
      </c>
      <c r="BX11" s="190">
        <v>604</v>
      </c>
      <c r="BY11" s="190">
        <v>686</v>
      </c>
      <c r="BZ11" s="190">
        <v>81</v>
      </c>
      <c r="CA11" s="190">
        <v>601</v>
      </c>
      <c r="CB11" s="190">
        <v>682</v>
      </c>
      <c r="CC11" s="190">
        <v>1601</v>
      </c>
      <c r="CD11" s="190">
        <v>1</v>
      </c>
      <c r="CE11" s="190">
        <v>2</v>
      </c>
      <c r="CF11" s="190">
        <v>1</v>
      </c>
      <c r="CG11" s="190">
        <v>2</v>
      </c>
      <c r="CH11" s="190">
        <v>3</v>
      </c>
      <c r="CI11" s="190">
        <v>1</v>
      </c>
      <c r="CJ11" s="190">
        <v>0</v>
      </c>
      <c r="CK11" s="190">
        <v>0</v>
      </c>
      <c r="CL11" s="190">
        <v>1</v>
      </c>
      <c r="CM11" s="190">
        <v>1</v>
      </c>
      <c r="CN11" s="190">
        <v>6</v>
      </c>
      <c r="CO11" s="190">
        <v>52</v>
      </c>
      <c r="CP11" s="190">
        <v>58</v>
      </c>
      <c r="CQ11" s="190">
        <v>0</v>
      </c>
      <c r="CR11" s="190">
        <v>0</v>
      </c>
      <c r="CS11" s="190">
        <v>0</v>
      </c>
      <c r="CT11" s="190">
        <v>76</v>
      </c>
      <c r="CU11" s="190">
        <v>552</v>
      </c>
      <c r="CV11" s="190">
        <v>628</v>
      </c>
      <c r="CW11" s="190">
        <v>7</v>
      </c>
      <c r="CX11" s="190">
        <v>25</v>
      </c>
      <c r="CY11" s="190">
        <v>32</v>
      </c>
      <c r="CZ11" s="190">
        <v>7</v>
      </c>
      <c r="DA11" s="190">
        <v>0</v>
      </c>
      <c r="DB11" s="190">
        <v>0</v>
      </c>
      <c r="DC11" s="190">
        <v>25</v>
      </c>
      <c r="DD11" s="190">
        <v>0</v>
      </c>
      <c r="DE11" s="190">
        <v>0</v>
      </c>
      <c r="DF11" s="190">
        <v>7</v>
      </c>
      <c r="DG11" s="190">
        <v>25</v>
      </c>
      <c r="DH11" s="190">
        <v>32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2520</v>
      </c>
      <c r="C12" s="190">
        <v>679</v>
      </c>
      <c r="D12" s="190">
        <v>1754</v>
      </c>
      <c r="E12" s="190">
        <v>995</v>
      </c>
      <c r="F12" s="190">
        <v>3</v>
      </c>
      <c r="G12" s="190">
        <v>32</v>
      </c>
      <c r="H12" s="190">
        <v>35</v>
      </c>
      <c r="I12" s="190">
        <v>0</v>
      </c>
      <c r="J12" s="190">
        <v>679</v>
      </c>
      <c r="K12" s="190">
        <v>679</v>
      </c>
      <c r="L12" s="190">
        <v>0</v>
      </c>
      <c r="M12" s="190">
        <v>160</v>
      </c>
      <c r="N12" s="190">
        <v>160</v>
      </c>
      <c r="O12" s="190">
        <v>0</v>
      </c>
      <c r="P12" s="190">
        <v>519</v>
      </c>
      <c r="Q12" s="190">
        <v>519</v>
      </c>
      <c r="R12" s="190">
        <v>0</v>
      </c>
      <c r="S12" s="190">
        <v>54</v>
      </c>
      <c r="T12" s="190">
        <v>54</v>
      </c>
      <c r="U12" s="190">
        <v>0</v>
      </c>
      <c r="V12" s="190">
        <v>80</v>
      </c>
      <c r="W12" s="190">
        <v>80</v>
      </c>
      <c r="X12" s="190">
        <v>37</v>
      </c>
      <c r="Y12" s="190">
        <v>1077</v>
      </c>
      <c r="Z12" s="190">
        <v>1114</v>
      </c>
      <c r="AA12" s="190">
        <v>20</v>
      </c>
      <c r="AB12" s="190">
        <v>533</v>
      </c>
      <c r="AC12" s="190">
        <v>553</v>
      </c>
      <c r="AD12" s="190">
        <v>19</v>
      </c>
      <c r="AE12" s="190">
        <v>516</v>
      </c>
      <c r="AF12" s="190">
        <v>535</v>
      </c>
      <c r="AG12" s="190">
        <v>1</v>
      </c>
      <c r="AH12" s="190">
        <v>16</v>
      </c>
      <c r="AI12" s="190">
        <v>17</v>
      </c>
      <c r="AJ12" s="190">
        <v>0</v>
      </c>
      <c r="AK12" s="190">
        <v>1</v>
      </c>
      <c r="AL12" s="190">
        <v>1</v>
      </c>
      <c r="AM12" s="190">
        <v>17</v>
      </c>
      <c r="AN12" s="190">
        <v>544</v>
      </c>
      <c r="AO12" s="190">
        <v>561</v>
      </c>
      <c r="AP12" s="190">
        <v>3759</v>
      </c>
      <c r="AQ12" s="190">
        <v>25314</v>
      </c>
      <c r="AR12" s="190">
        <v>29073</v>
      </c>
      <c r="AS12" s="190">
        <v>3757</v>
      </c>
      <c r="AT12" s="190">
        <v>25131</v>
      </c>
      <c r="AU12" s="190">
        <v>28888</v>
      </c>
      <c r="AV12" s="190">
        <v>2</v>
      </c>
      <c r="AW12" s="190">
        <v>183</v>
      </c>
      <c r="AX12" s="190">
        <v>185</v>
      </c>
      <c r="AY12" s="190">
        <v>186</v>
      </c>
      <c r="AZ12" s="190">
        <v>2574</v>
      </c>
      <c r="BA12" s="190">
        <v>2760</v>
      </c>
      <c r="BB12" s="190">
        <v>95</v>
      </c>
      <c r="BC12" s="190">
        <v>5</v>
      </c>
      <c r="BD12" s="190">
        <v>0</v>
      </c>
      <c r="BE12" s="190">
        <v>874</v>
      </c>
      <c r="BF12" s="190">
        <v>13</v>
      </c>
      <c r="BG12" s="190">
        <v>8</v>
      </c>
      <c r="BH12" s="190">
        <v>100</v>
      </c>
      <c r="BI12" s="190">
        <v>895</v>
      </c>
      <c r="BJ12" s="190">
        <v>995</v>
      </c>
      <c r="BK12" s="190">
        <v>-96</v>
      </c>
      <c r="BL12" s="190">
        <v>96</v>
      </c>
      <c r="BM12" s="190">
        <v>0</v>
      </c>
      <c r="BN12" s="190">
        <v>15</v>
      </c>
      <c r="BO12" s="190">
        <v>67</v>
      </c>
      <c r="BP12" s="190">
        <v>82</v>
      </c>
      <c r="BQ12" s="190">
        <v>14</v>
      </c>
      <c r="BR12" s="190">
        <v>20</v>
      </c>
      <c r="BS12" s="190">
        <v>34</v>
      </c>
      <c r="BT12" s="190">
        <v>153</v>
      </c>
      <c r="BU12" s="190">
        <v>1496</v>
      </c>
      <c r="BV12" s="190">
        <v>1649</v>
      </c>
      <c r="BW12" s="190">
        <v>3945</v>
      </c>
      <c r="BX12" s="190">
        <v>27888</v>
      </c>
      <c r="BY12" s="190">
        <v>31833</v>
      </c>
      <c r="BZ12" s="190">
        <v>3844</v>
      </c>
      <c r="CA12" s="190">
        <v>27364</v>
      </c>
      <c r="CB12" s="190">
        <v>31208</v>
      </c>
      <c r="CC12" s="190">
        <v>64137</v>
      </c>
      <c r="CD12" s="190">
        <v>39</v>
      </c>
      <c r="CE12" s="190">
        <v>639</v>
      </c>
      <c r="CF12" s="190">
        <v>100</v>
      </c>
      <c r="CG12" s="190">
        <v>384</v>
      </c>
      <c r="CH12" s="190">
        <v>484</v>
      </c>
      <c r="CI12" s="190">
        <v>175</v>
      </c>
      <c r="CJ12" s="190">
        <v>16</v>
      </c>
      <c r="CK12" s="190">
        <v>1</v>
      </c>
      <c r="CL12" s="190">
        <v>140</v>
      </c>
      <c r="CM12" s="190">
        <v>141</v>
      </c>
      <c r="CN12" s="190">
        <v>246</v>
      </c>
      <c r="CO12" s="190">
        <v>2952</v>
      </c>
      <c r="CP12" s="190">
        <v>3198</v>
      </c>
      <c r="CQ12" s="190">
        <v>0</v>
      </c>
      <c r="CR12" s="190">
        <v>0</v>
      </c>
      <c r="CS12" s="190">
        <v>0</v>
      </c>
      <c r="CT12" s="190">
        <v>3699</v>
      </c>
      <c r="CU12" s="190">
        <v>24936</v>
      </c>
      <c r="CV12" s="190">
        <v>28635</v>
      </c>
      <c r="CW12" s="190">
        <v>236</v>
      </c>
      <c r="CX12" s="190">
        <v>1373</v>
      </c>
      <c r="CY12" s="190">
        <v>1609</v>
      </c>
      <c r="CZ12" s="190">
        <v>229</v>
      </c>
      <c r="DA12" s="190">
        <v>5</v>
      </c>
      <c r="DB12" s="190">
        <v>0</v>
      </c>
      <c r="DC12" s="190">
        <v>1302</v>
      </c>
      <c r="DD12" s="190">
        <v>21</v>
      </c>
      <c r="DE12" s="190">
        <v>6</v>
      </c>
      <c r="DF12" s="190">
        <v>234</v>
      </c>
      <c r="DG12" s="190">
        <v>1329</v>
      </c>
      <c r="DH12" s="190">
        <v>1563</v>
      </c>
      <c r="DI12" s="190">
        <v>2</v>
      </c>
      <c r="DJ12" s="190">
        <v>0</v>
      </c>
      <c r="DK12" s="190">
        <v>0</v>
      </c>
      <c r="DL12" s="190">
        <v>44</v>
      </c>
      <c r="DM12" s="190">
        <v>0</v>
      </c>
      <c r="DN12" s="190">
        <v>0</v>
      </c>
      <c r="DO12" s="190">
        <v>2</v>
      </c>
      <c r="DP12" s="190">
        <v>44</v>
      </c>
      <c r="DQ12" s="190">
        <v>46</v>
      </c>
      <c r="DR12" s="190">
        <v>1</v>
      </c>
      <c r="DS12" s="190">
        <v>2</v>
      </c>
      <c r="DT12" s="191">
        <v>3</v>
      </c>
    </row>
    <row r="13" spans="1:129">
      <c r="A13" s="189" t="s">
        <v>278</v>
      </c>
      <c r="B13" s="190">
        <v>195</v>
      </c>
      <c r="C13" s="190">
        <v>21</v>
      </c>
      <c r="D13" s="190">
        <v>180</v>
      </c>
      <c r="E13" s="190">
        <v>96</v>
      </c>
      <c r="F13" s="190">
        <v>0</v>
      </c>
      <c r="G13" s="190">
        <v>0</v>
      </c>
      <c r="H13" s="190">
        <v>0</v>
      </c>
      <c r="I13" s="190">
        <v>0</v>
      </c>
      <c r="J13" s="190">
        <v>74</v>
      </c>
      <c r="K13" s="190">
        <v>74</v>
      </c>
      <c r="L13" s="190">
        <v>0</v>
      </c>
      <c r="M13" s="190">
        <v>34</v>
      </c>
      <c r="N13" s="190">
        <v>34</v>
      </c>
      <c r="O13" s="190">
        <v>0</v>
      </c>
      <c r="P13" s="190">
        <v>40</v>
      </c>
      <c r="Q13" s="190">
        <v>40</v>
      </c>
      <c r="R13" s="190">
        <v>0</v>
      </c>
      <c r="S13" s="190">
        <v>0</v>
      </c>
      <c r="T13" s="190">
        <v>0</v>
      </c>
      <c r="U13" s="190">
        <v>0</v>
      </c>
      <c r="V13" s="190">
        <v>10</v>
      </c>
      <c r="W13" s="190">
        <v>10</v>
      </c>
      <c r="X13" s="190">
        <v>6</v>
      </c>
      <c r="Y13" s="190">
        <v>173</v>
      </c>
      <c r="Z13" s="190">
        <v>179</v>
      </c>
      <c r="AA13" s="190">
        <v>3</v>
      </c>
      <c r="AB13" s="190">
        <v>65</v>
      </c>
      <c r="AC13" s="190">
        <v>68</v>
      </c>
      <c r="AD13" s="190">
        <v>3</v>
      </c>
      <c r="AE13" s="190">
        <v>56</v>
      </c>
      <c r="AF13" s="190">
        <v>59</v>
      </c>
      <c r="AG13" s="190">
        <v>0</v>
      </c>
      <c r="AH13" s="190">
        <v>9</v>
      </c>
      <c r="AI13" s="190">
        <v>9</v>
      </c>
      <c r="AJ13" s="190">
        <v>0</v>
      </c>
      <c r="AK13" s="190">
        <v>0</v>
      </c>
      <c r="AL13" s="190">
        <v>0</v>
      </c>
      <c r="AM13" s="190">
        <v>3</v>
      </c>
      <c r="AN13" s="190">
        <v>108</v>
      </c>
      <c r="AO13" s="190">
        <v>111</v>
      </c>
      <c r="AP13" s="190">
        <v>373</v>
      </c>
      <c r="AQ13" s="190">
        <v>1958</v>
      </c>
      <c r="AR13" s="190">
        <v>2331</v>
      </c>
      <c r="AS13" s="190">
        <v>373</v>
      </c>
      <c r="AT13" s="190">
        <v>1957</v>
      </c>
      <c r="AU13" s="190">
        <v>2330</v>
      </c>
      <c r="AV13" s="190">
        <v>0</v>
      </c>
      <c r="AW13" s="190">
        <v>1</v>
      </c>
      <c r="AX13" s="190">
        <v>1</v>
      </c>
      <c r="AY13" s="190">
        <v>-2</v>
      </c>
      <c r="AZ13" s="190">
        <v>211</v>
      </c>
      <c r="BA13" s="190">
        <v>209</v>
      </c>
      <c r="BB13" s="190">
        <v>8</v>
      </c>
      <c r="BC13" s="190">
        <v>0</v>
      </c>
      <c r="BD13" s="190">
        <v>0</v>
      </c>
      <c r="BE13" s="190">
        <v>88</v>
      </c>
      <c r="BF13" s="190">
        <v>0</v>
      </c>
      <c r="BG13" s="190">
        <v>0</v>
      </c>
      <c r="BH13" s="190">
        <v>8</v>
      </c>
      <c r="BI13" s="190">
        <v>88</v>
      </c>
      <c r="BJ13" s="190">
        <v>96</v>
      </c>
      <c r="BK13" s="190">
        <v>-23</v>
      </c>
      <c r="BL13" s="190">
        <v>23</v>
      </c>
      <c r="BM13" s="190">
        <v>0</v>
      </c>
      <c r="BN13" s="190">
        <v>2</v>
      </c>
      <c r="BO13" s="190">
        <v>1</v>
      </c>
      <c r="BP13" s="190">
        <v>3</v>
      </c>
      <c r="BQ13" s="190">
        <v>4</v>
      </c>
      <c r="BR13" s="190">
        <v>25</v>
      </c>
      <c r="BS13" s="190">
        <v>29</v>
      </c>
      <c r="BT13" s="190">
        <v>7</v>
      </c>
      <c r="BU13" s="190">
        <v>74</v>
      </c>
      <c r="BV13" s="190">
        <v>81</v>
      </c>
      <c r="BW13" s="190">
        <v>371</v>
      </c>
      <c r="BX13" s="190">
        <v>2169</v>
      </c>
      <c r="BY13" s="190">
        <v>2540</v>
      </c>
      <c r="BZ13" s="190">
        <v>371</v>
      </c>
      <c r="CA13" s="190">
        <v>2167</v>
      </c>
      <c r="CB13" s="190">
        <v>2538</v>
      </c>
      <c r="CC13" s="190">
        <v>5235</v>
      </c>
      <c r="CD13" s="190">
        <v>0</v>
      </c>
      <c r="CE13" s="190">
        <v>2</v>
      </c>
      <c r="CF13" s="190">
        <v>0</v>
      </c>
      <c r="CG13" s="190">
        <v>2</v>
      </c>
      <c r="CH13" s="190">
        <v>2</v>
      </c>
      <c r="CI13" s="190">
        <v>0</v>
      </c>
      <c r="CJ13" s="190">
        <v>0</v>
      </c>
      <c r="CK13" s="190">
        <v>0</v>
      </c>
      <c r="CL13" s="190">
        <v>0</v>
      </c>
      <c r="CM13" s="190">
        <v>0</v>
      </c>
      <c r="CN13" s="190">
        <v>14</v>
      </c>
      <c r="CO13" s="190">
        <v>187</v>
      </c>
      <c r="CP13" s="190">
        <v>201</v>
      </c>
      <c r="CQ13" s="190">
        <v>0</v>
      </c>
      <c r="CR13" s="190">
        <v>0</v>
      </c>
      <c r="CS13" s="190">
        <v>0</v>
      </c>
      <c r="CT13" s="190">
        <v>357</v>
      </c>
      <c r="CU13" s="190">
        <v>1982</v>
      </c>
      <c r="CV13" s="190">
        <v>2339</v>
      </c>
      <c r="CW13" s="190">
        <v>22</v>
      </c>
      <c r="CX13" s="190">
        <v>107</v>
      </c>
      <c r="CY13" s="190">
        <v>129</v>
      </c>
      <c r="CZ13" s="190">
        <v>22</v>
      </c>
      <c r="DA13" s="190">
        <v>0</v>
      </c>
      <c r="DB13" s="190">
        <v>0</v>
      </c>
      <c r="DC13" s="190">
        <v>104</v>
      </c>
      <c r="DD13" s="190">
        <v>0</v>
      </c>
      <c r="DE13" s="190">
        <v>0</v>
      </c>
      <c r="DF13" s="190">
        <v>22</v>
      </c>
      <c r="DG13" s="190">
        <v>104</v>
      </c>
      <c r="DH13" s="190">
        <v>126</v>
      </c>
      <c r="DI13" s="190">
        <v>0</v>
      </c>
      <c r="DJ13" s="190">
        <v>0</v>
      </c>
      <c r="DK13" s="190">
        <v>0</v>
      </c>
      <c r="DL13" s="190">
        <v>3</v>
      </c>
      <c r="DM13" s="190">
        <v>0</v>
      </c>
      <c r="DN13" s="190">
        <v>0</v>
      </c>
      <c r="DO13" s="190">
        <v>0</v>
      </c>
      <c r="DP13" s="190">
        <v>3</v>
      </c>
      <c r="DQ13" s="190">
        <v>3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568</v>
      </c>
      <c r="C14" s="190">
        <v>124</v>
      </c>
      <c r="D14" s="190">
        <v>535</v>
      </c>
      <c r="E14" s="190">
        <v>336</v>
      </c>
      <c r="F14" s="190">
        <v>0</v>
      </c>
      <c r="G14" s="190">
        <v>8</v>
      </c>
      <c r="H14" s="190">
        <v>8</v>
      </c>
      <c r="I14" s="190">
        <v>0</v>
      </c>
      <c r="J14" s="190">
        <v>181</v>
      </c>
      <c r="K14" s="190">
        <v>181</v>
      </c>
      <c r="L14" s="190">
        <v>0</v>
      </c>
      <c r="M14" s="190">
        <v>76</v>
      </c>
      <c r="N14" s="190">
        <v>76</v>
      </c>
      <c r="O14" s="190">
        <v>0</v>
      </c>
      <c r="P14" s="190">
        <v>105</v>
      </c>
      <c r="Q14" s="190">
        <v>105</v>
      </c>
      <c r="R14" s="190">
        <v>0</v>
      </c>
      <c r="S14" s="190">
        <v>4</v>
      </c>
      <c r="T14" s="190">
        <v>4</v>
      </c>
      <c r="U14" s="190">
        <v>0</v>
      </c>
      <c r="V14" s="190">
        <v>18</v>
      </c>
      <c r="W14" s="190">
        <v>18</v>
      </c>
      <c r="X14" s="190">
        <v>12</v>
      </c>
      <c r="Y14" s="190">
        <v>523</v>
      </c>
      <c r="Z14" s="190">
        <v>535</v>
      </c>
      <c r="AA14" s="190">
        <v>6</v>
      </c>
      <c r="AB14" s="190">
        <v>232</v>
      </c>
      <c r="AC14" s="190">
        <v>238</v>
      </c>
      <c r="AD14" s="190">
        <v>6</v>
      </c>
      <c r="AE14" s="190">
        <v>228</v>
      </c>
      <c r="AF14" s="190">
        <v>234</v>
      </c>
      <c r="AG14" s="190">
        <v>0</v>
      </c>
      <c r="AH14" s="190">
        <v>2</v>
      </c>
      <c r="AI14" s="190">
        <v>2</v>
      </c>
      <c r="AJ14" s="190">
        <v>0</v>
      </c>
      <c r="AK14" s="190">
        <v>2</v>
      </c>
      <c r="AL14" s="190">
        <v>2</v>
      </c>
      <c r="AM14" s="190">
        <v>6</v>
      </c>
      <c r="AN14" s="190">
        <v>291</v>
      </c>
      <c r="AO14" s="190">
        <v>297</v>
      </c>
      <c r="AP14" s="190">
        <v>500</v>
      </c>
      <c r="AQ14" s="190">
        <v>5975</v>
      </c>
      <c r="AR14" s="190">
        <v>6475</v>
      </c>
      <c r="AS14" s="190">
        <v>500</v>
      </c>
      <c r="AT14" s="190">
        <v>5977</v>
      </c>
      <c r="AU14" s="190">
        <v>6477</v>
      </c>
      <c r="AV14" s="190">
        <v>0</v>
      </c>
      <c r="AW14" s="190">
        <v>-2</v>
      </c>
      <c r="AX14" s="190">
        <v>-2</v>
      </c>
      <c r="AY14" s="190">
        <v>42</v>
      </c>
      <c r="AZ14" s="190">
        <v>600</v>
      </c>
      <c r="BA14" s="190">
        <v>642</v>
      </c>
      <c r="BB14" s="190">
        <v>12</v>
      </c>
      <c r="BC14" s="190">
        <v>0</v>
      </c>
      <c r="BD14" s="190">
        <v>0</v>
      </c>
      <c r="BE14" s="190">
        <v>324</v>
      </c>
      <c r="BF14" s="190">
        <v>0</v>
      </c>
      <c r="BG14" s="190">
        <v>0</v>
      </c>
      <c r="BH14" s="190">
        <v>12</v>
      </c>
      <c r="BI14" s="190">
        <v>324</v>
      </c>
      <c r="BJ14" s="190">
        <v>336</v>
      </c>
      <c r="BK14" s="190">
        <v>8</v>
      </c>
      <c r="BL14" s="190">
        <v>-8</v>
      </c>
      <c r="BM14" s="190">
        <v>0</v>
      </c>
      <c r="BN14" s="190">
        <v>1</v>
      </c>
      <c r="BO14" s="190">
        <v>19</v>
      </c>
      <c r="BP14" s="190">
        <v>20</v>
      </c>
      <c r="BQ14" s="190">
        <v>1</v>
      </c>
      <c r="BR14" s="190">
        <v>100</v>
      </c>
      <c r="BS14" s="190">
        <v>101</v>
      </c>
      <c r="BT14" s="190">
        <v>20</v>
      </c>
      <c r="BU14" s="190">
        <v>165</v>
      </c>
      <c r="BV14" s="190">
        <v>185</v>
      </c>
      <c r="BW14" s="190">
        <v>542</v>
      </c>
      <c r="BX14" s="190">
        <v>6575</v>
      </c>
      <c r="BY14" s="190">
        <v>7117</v>
      </c>
      <c r="BZ14" s="190">
        <v>539</v>
      </c>
      <c r="CA14" s="190">
        <v>6537</v>
      </c>
      <c r="CB14" s="190">
        <v>7076</v>
      </c>
      <c r="CC14" s="190">
        <v>12544</v>
      </c>
      <c r="CD14" s="190">
        <v>2</v>
      </c>
      <c r="CE14" s="190">
        <v>34</v>
      </c>
      <c r="CF14" s="190">
        <v>3</v>
      </c>
      <c r="CG14" s="190">
        <v>28</v>
      </c>
      <c r="CH14" s="190">
        <v>31</v>
      </c>
      <c r="CI14" s="190">
        <v>13</v>
      </c>
      <c r="CJ14" s="190">
        <v>0</v>
      </c>
      <c r="CK14" s="190">
        <v>0</v>
      </c>
      <c r="CL14" s="190">
        <v>10</v>
      </c>
      <c r="CM14" s="190">
        <v>10</v>
      </c>
      <c r="CN14" s="190">
        <v>41</v>
      </c>
      <c r="CO14" s="190">
        <v>628</v>
      </c>
      <c r="CP14" s="190">
        <v>669</v>
      </c>
      <c r="CQ14" s="190">
        <v>0</v>
      </c>
      <c r="CR14" s="190">
        <v>2</v>
      </c>
      <c r="CS14" s="190">
        <v>2</v>
      </c>
      <c r="CT14" s="190">
        <v>501</v>
      </c>
      <c r="CU14" s="190">
        <v>5947</v>
      </c>
      <c r="CV14" s="190">
        <v>6448</v>
      </c>
      <c r="CW14" s="190">
        <v>31</v>
      </c>
      <c r="CX14" s="190">
        <v>271</v>
      </c>
      <c r="CY14" s="190">
        <v>302</v>
      </c>
      <c r="CZ14" s="190">
        <v>30</v>
      </c>
      <c r="DA14" s="190">
        <v>0</v>
      </c>
      <c r="DB14" s="190">
        <v>0</v>
      </c>
      <c r="DC14" s="190">
        <v>263</v>
      </c>
      <c r="DD14" s="190">
        <v>4</v>
      </c>
      <c r="DE14" s="190">
        <v>1</v>
      </c>
      <c r="DF14" s="190">
        <v>30</v>
      </c>
      <c r="DG14" s="190">
        <v>268</v>
      </c>
      <c r="DH14" s="190">
        <v>298</v>
      </c>
      <c r="DI14" s="190">
        <v>1</v>
      </c>
      <c r="DJ14" s="190">
        <v>0</v>
      </c>
      <c r="DK14" s="190">
        <v>0</v>
      </c>
      <c r="DL14" s="190">
        <v>3</v>
      </c>
      <c r="DM14" s="190">
        <v>0</v>
      </c>
      <c r="DN14" s="190">
        <v>0</v>
      </c>
      <c r="DO14" s="190">
        <v>1</v>
      </c>
      <c r="DP14" s="190">
        <v>3</v>
      </c>
      <c r="DQ14" s="190">
        <v>4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5055</v>
      </c>
      <c r="C15" s="190">
        <v>2017</v>
      </c>
      <c r="D15" s="190">
        <v>4375</v>
      </c>
      <c r="E15" s="190">
        <v>3174</v>
      </c>
      <c r="F15" s="190">
        <v>17</v>
      </c>
      <c r="G15" s="190">
        <v>88</v>
      </c>
      <c r="H15" s="190">
        <v>105</v>
      </c>
      <c r="I15" s="190">
        <v>2</v>
      </c>
      <c r="J15" s="190">
        <v>1108</v>
      </c>
      <c r="K15" s="190">
        <v>1110</v>
      </c>
      <c r="L15" s="190">
        <v>2</v>
      </c>
      <c r="M15" s="190">
        <v>1105</v>
      </c>
      <c r="N15" s="190">
        <v>1107</v>
      </c>
      <c r="O15" s="190">
        <v>0</v>
      </c>
      <c r="P15" s="190">
        <v>3</v>
      </c>
      <c r="Q15" s="190">
        <v>3</v>
      </c>
      <c r="R15" s="190">
        <v>1</v>
      </c>
      <c r="S15" s="190">
        <v>227</v>
      </c>
      <c r="T15" s="190">
        <v>228</v>
      </c>
      <c r="U15" s="190">
        <v>0</v>
      </c>
      <c r="V15" s="190">
        <v>91</v>
      </c>
      <c r="W15" s="190">
        <v>91</v>
      </c>
      <c r="X15" s="190">
        <v>49</v>
      </c>
      <c r="Y15" s="190">
        <v>3989</v>
      </c>
      <c r="Z15" s="190">
        <v>4038</v>
      </c>
      <c r="AA15" s="190">
        <v>27</v>
      </c>
      <c r="AB15" s="190">
        <v>1786</v>
      </c>
      <c r="AC15" s="190">
        <v>1813</v>
      </c>
      <c r="AD15" s="190">
        <v>23</v>
      </c>
      <c r="AE15" s="190">
        <v>1709</v>
      </c>
      <c r="AF15" s="190">
        <v>1732</v>
      </c>
      <c r="AG15" s="190">
        <v>4</v>
      </c>
      <c r="AH15" s="190">
        <v>56</v>
      </c>
      <c r="AI15" s="190">
        <v>60</v>
      </c>
      <c r="AJ15" s="190">
        <v>0</v>
      </c>
      <c r="AK15" s="190">
        <v>21</v>
      </c>
      <c r="AL15" s="190">
        <v>21</v>
      </c>
      <c r="AM15" s="190">
        <v>22</v>
      </c>
      <c r="AN15" s="190">
        <v>2203</v>
      </c>
      <c r="AO15" s="190">
        <v>2225</v>
      </c>
      <c r="AP15" s="190">
        <v>12248</v>
      </c>
      <c r="AQ15" s="190">
        <v>75196</v>
      </c>
      <c r="AR15" s="190">
        <v>87444</v>
      </c>
      <c r="AS15" s="190">
        <v>11795</v>
      </c>
      <c r="AT15" s="190">
        <v>71607</v>
      </c>
      <c r="AU15" s="190">
        <v>83402</v>
      </c>
      <c r="AV15" s="190">
        <v>453</v>
      </c>
      <c r="AW15" s="190">
        <v>3589</v>
      </c>
      <c r="AX15" s="190">
        <v>4042</v>
      </c>
      <c r="AY15" s="190">
        <v>121</v>
      </c>
      <c r="AZ15" s="190">
        <v>3173</v>
      </c>
      <c r="BA15" s="190">
        <v>3294</v>
      </c>
      <c r="BB15" s="190">
        <v>193</v>
      </c>
      <c r="BC15" s="190">
        <v>2</v>
      </c>
      <c r="BD15" s="190">
        <v>1</v>
      </c>
      <c r="BE15" s="190">
        <v>2917</v>
      </c>
      <c r="BF15" s="190">
        <v>36</v>
      </c>
      <c r="BG15" s="190">
        <v>25</v>
      </c>
      <c r="BH15" s="190">
        <v>196</v>
      </c>
      <c r="BI15" s="190">
        <v>2978</v>
      </c>
      <c r="BJ15" s="190">
        <v>3174</v>
      </c>
      <c r="BK15" s="190">
        <v>-95</v>
      </c>
      <c r="BL15" s="190">
        <v>95</v>
      </c>
      <c r="BM15" s="190">
        <v>0</v>
      </c>
      <c r="BN15" s="190">
        <v>15</v>
      </c>
      <c r="BO15" s="190">
        <v>54</v>
      </c>
      <c r="BP15" s="190">
        <v>69</v>
      </c>
      <c r="BQ15" s="190">
        <v>2</v>
      </c>
      <c r="BR15" s="190">
        <v>13</v>
      </c>
      <c r="BS15" s="190">
        <v>15</v>
      </c>
      <c r="BT15" s="190">
        <v>3</v>
      </c>
      <c r="BU15" s="190">
        <v>33</v>
      </c>
      <c r="BV15" s="190">
        <v>36</v>
      </c>
      <c r="BW15" s="190">
        <v>12369</v>
      </c>
      <c r="BX15" s="190">
        <v>78369</v>
      </c>
      <c r="BY15" s="190">
        <v>90738</v>
      </c>
      <c r="BZ15" s="190">
        <v>12155</v>
      </c>
      <c r="CA15" s="190">
        <v>77490</v>
      </c>
      <c r="CB15" s="190">
        <v>89645</v>
      </c>
      <c r="CC15" s="190">
        <v>210405</v>
      </c>
      <c r="CD15" s="190">
        <v>79</v>
      </c>
      <c r="CE15" s="190">
        <v>929</v>
      </c>
      <c r="CF15" s="190">
        <v>201</v>
      </c>
      <c r="CG15" s="190">
        <v>669</v>
      </c>
      <c r="CH15" s="190">
        <v>870</v>
      </c>
      <c r="CI15" s="190">
        <v>246</v>
      </c>
      <c r="CJ15" s="190">
        <v>39</v>
      </c>
      <c r="CK15" s="190">
        <v>13</v>
      </c>
      <c r="CL15" s="190">
        <v>210</v>
      </c>
      <c r="CM15" s="190">
        <v>223</v>
      </c>
      <c r="CN15" s="190">
        <v>617</v>
      </c>
      <c r="CO15" s="190">
        <v>6441</v>
      </c>
      <c r="CP15" s="190">
        <v>7058</v>
      </c>
      <c r="CQ15" s="190">
        <v>0</v>
      </c>
      <c r="CR15" s="190">
        <v>0</v>
      </c>
      <c r="CS15" s="190">
        <v>0</v>
      </c>
      <c r="CT15" s="190">
        <v>11752</v>
      </c>
      <c r="CU15" s="190">
        <v>71928</v>
      </c>
      <c r="CV15" s="190">
        <v>83680</v>
      </c>
      <c r="CW15" s="190">
        <v>925</v>
      </c>
      <c r="CX15" s="190">
        <v>5106</v>
      </c>
      <c r="CY15" s="190">
        <v>6031</v>
      </c>
      <c r="CZ15" s="190">
        <v>843</v>
      </c>
      <c r="DA15" s="190">
        <v>4</v>
      </c>
      <c r="DB15" s="190">
        <v>3</v>
      </c>
      <c r="DC15" s="190">
        <v>4243</v>
      </c>
      <c r="DD15" s="190">
        <v>46</v>
      </c>
      <c r="DE15" s="190">
        <v>17</v>
      </c>
      <c r="DF15" s="190">
        <v>850</v>
      </c>
      <c r="DG15" s="190">
        <v>4306</v>
      </c>
      <c r="DH15" s="190">
        <v>5156</v>
      </c>
      <c r="DI15" s="190">
        <v>74</v>
      </c>
      <c r="DJ15" s="190">
        <v>1</v>
      </c>
      <c r="DK15" s="190">
        <v>0</v>
      </c>
      <c r="DL15" s="190">
        <v>782</v>
      </c>
      <c r="DM15" s="190">
        <v>15</v>
      </c>
      <c r="DN15" s="190">
        <v>3</v>
      </c>
      <c r="DO15" s="190">
        <v>75</v>
      </c>
      <c r="DP15" s="190">
        <v>800</v>
      </c>
      <c r="DQ15" s="190">
        <v>875</v>
      </c>
      <c r="DR15" s="190">
        <v>3</v>
      </c>
      <c r="DS15" s="190">
        <v>7</v>
      </c>
      <c r="DT15" s="191">
        <v>10</v>
      </c>
    </row>
    <row r="16" spans="1:129" s="172" customFormat="1">
      <c r="A16" s="189" t="s">
        <v>281</v>
      </c>
      <c r="B16" s="190">
        <v>134</v>
      </c>
      <c r="C16" s="190">
        <v>17</v>
      </c>
      <c r="D16" s="190">
        <v>134</v>
      </c>
      <c r="E16" s="190">
        <v>79</v>
      </c>
      <c r="F16" s="190">
        <v>0</v>
      </c>
      <c r="G16" s="190">
        <v>3</v>
      </c>
      <c r="H16" s="190">
        <v>3</v>
      </c>
      <c r="I16" s="190">
        <v>0</v>
      </c>
      <c r="J16" s="190">
        <v>46</v>
      </c>
      <c r="K16" s="190">
        <v>46</v>
      </c>
      <c r="L16" s="190">
        <v>0</v>
      </c>
      <c r="M16" s="190">
        <v>16</v>
      </c>
      <c r="N16" s="190">
        <v>16</v>
      </c>
      <c r="O16" s="190">
        <v>0</v>
      </c>
      <c r="P16" s="190">
        <v>30</v>
      </c>
      <c r="Q16" s="190">
        <v>30</v>
      </c>
      <c r="R16" s="190">
        <v>0</v>
      </c>
      <c r="S16" s="190">
        <v>2</v>
      </c>
      <c r="T16" s="190">
        <v>2</v>
      </c>
      <c r="U16" s="190">
        <v>0</v>
      </c>
      <c r="V16" s="190">
        <v>9</v>
      </c>
      <c r="W16" s="190">
        <v>9</v>
      </c>
      <c r="X16" s="190">
        <v>4</v>
      </c>
      <c r="Y16" s="190">
        <v>130</v>
      </c>
      <c r="Z16" s="190">
        <v>134</v>
      </c>
      <c r="AA16" s="190">
        <v>3</v>
      </c>
      <c r="AB16" s="190">
        <v>52</v>
      </c>
      <c r="AC16" s="190">
        <v>55</v>
      </c>
      <c r="AD16" s="190">
        <v>2</v>
      </c>
      <c r="AE16" s="190">
        <v>46</v>
      </c>
      <c r="AF16" s="190">
        <v>48</v>
      </c>
      <c r="AG16" s="190">
        <v>1</v>
      </c>
      <c r="AH16" s="190">
        <v>5</v>
      </c>
      <c r="AI16" s="190">
        <v>6</v>
      </c>
      <c r="AJ16" s="190">
        <v>0</v>
      </c>
      <c r="AK16" s="190">
        <v>1</v>
      </c>
      <c r="AL16" s="190">
        <v>1</v>
      </c>
      <c r="AM16" s="190">
        <v>1</v>
      </c>
      <c r="AN16" s="190">
        <v>78</v>
      </c>
      <c r="AO16" s="190">
        <v>79</v>
      </c>
      <c r="AP16" s="190">
        <v>208</v>
      </c>
      <c r="AQ16" s="190">
        <v>1196</v>
      </c>
      <c r="AR16" s="190">
        <v>1404</v>
      </c>
      <c r="AS16" s="190">
        <v>208</v>
      </c>
      <c r="AT16" s="190">
        <v>1197</v>
      </c>
      <c r="AU16" s="190">
        <v>1405</v>
      </c>
      <c r="AV16" s="190">
        <v>0</v>
      </c>
      <c r="AW16" s="190">
        <v>-1</v>
      </c>
      <c r="AX16" s="190">
        <v>-1</v>
      </c>
      <c r="AY16" s="190">
        <v>4</v>
      </c>
      <c r="AZ16" s="190">
        <v>144</v>
      </c>
      <c r="BA16" s="190">
        <v>148</v>
      </c>
      <c r="BB16" s="190">
        <v>4</v>
      </c>
      <c r="BC16" s="190">
        <v>0</v>
      </c>
      <c r="BD16" s="190">
        <v>0</v>
      </c>
      <c r="BE16" s="190">
        <v>74</v>
      </c>
      <c r="BF16" s="190">
        <v>1</v>
      </c>
      <c r="BG16" s="190">
        <v>0</v>
      </c>
      <c r="BH16" s="190">
        <v>4</v>
      </c>
      <c r="BI16" s="190">
        <v>75</v>
      </c>
      <c r="BJ16" s="190">
        <v>79</v>
      </c>
      <c r="BK16" s="190">
        <v>-10</v>
      </c>
      <c r="BL16" s="190">
        <v>10</v>
      </c>
      <c r="BM16" s="190">
        <v>0</v>
      </c>
      <c r="BN16" s="190">
        <v>1</v>
      </c>
      <c r="BO16" s="190">
        <v>5</v>
      </c>
      <c r="BP16" s="190">
        <v>6</v>
      </c>
      <c r="BQ16" s="190">
        <v>2</v>
      </c>
      <c r="BR16" s="190">
        <v>10</v>
      </c>
      <c r="BS16" s="190">
        <v>12</v>
      </c>
      <c r="BT16" s="190">
        <v>7</v>
      </c>
      <c r="BU16" s="190">
        <v>44</v>
      </c>
      <c r="BV16" s="190">
        <v>51</v>
      </c>
      <c r="BW16" s="190">
        <v>212</v>
      </c>
      <c r="BX16" s="190">
        <v>1340</v>
      </c>
      <c r="BY16" s="190">
        <v>1552</v>
      </c>
      <c r="BZ16" s="190">
        <v>211</v>
      </c>
      <c r="CA16" s="190">
        <v>1333</v>
      </c>
      <c r="CB16" s="190">
        <v>1544</v>
      </c>
      <c r="CC16" s="190">
        <v>3568</v>
      </c>
      <c r="CD16" s="190">
        <v>0</v>
      </c>
      <c r="CE16" s="190">
        <v>8</v>
      </c>
      <c r="CF16" s="190">
        <v>1</v>
      </c>
      <c r="CG16" s="190">
        <v>7</v>
      </c>
      <c r="CH16" s="190">
        <v>8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12</v>
      </c>
      <c r="CO16" s="190">
        <v>80</v>
      </c>
      <c r="CP16" s="190">
        <v>92</v>
      </c>
      <c r="CQ16" s="190">
        <v>0</v>
      </c>
      <c r="CR16" s="190">
        <v>4</v>
      </c>
      <c r="CS16" s="190">
        <v>4</v>
      </c>
      <c r="CT16" s="190">
        <v>200</v>
      </c>
      <c r="CU16" s="190">
        <v>1260</v>
      </c>
      <c r="CV16" s="190">
        <v>1460</v>
      </c>
      <c r="CW16" s="190">
        <v>11</v>
      </c>
      <c r="CX16" s="190">
        <v>58</v>
      </c>
      <c r="CY16" s="190">
        <v>69</v>
      </c>
      <c r="CZ16" s="190">
        <v>11</v>
      </c>
      <c r="DA16" s="190">
        <v>0</v>
      </c>
      <c r="DB16" s="190">
        <v>0</v>
      </c>
      <c r="DC16" s="190">
        <v>57</v>
      </c>
      <c r="DD16" s="190">
        <v>0</v>
      </c>
      <c r="DE16" s="190">
        <v>0</v>
      </c>
      <c r="DF16" s="190">
        <v>11</v>
      </c>
      <c r="DG16" s="190">
        <v>57</v>
      </c>
      <c r="DH16" s="190">
        <v>68</v>
      </c>
      <c r="DI16" s="190">
        <v>0</v>
      </c>
      <c r="DJ16" s="190">
        <v>0</v>
      </c>
      <c r="DK16" s="190">
        <v>0</v>
      </c>
      <c r="DL16" s="190">
        <v>1</v>
      </c>
      <c r="DM16" s="190">
        <v>0</v>
      </c>
      <c r="DN16" s="190">
        <v>0</v>
      </c>
      <c r="DO16" s="190">
        <v>0</v>
      </c>
      <c r="DP16" s="190">
        <v>1</v>
      </c>
      <c r="DQ16" s="190">
        <v>1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1317</v>
      </c>
      <c r="C17" s="190">
        <v>302</v>
      </c>
      <c r="D17" s="190">
        <v>1175</v>
      </c>
      <c r="E17" s="190">
        <v>646</v>
      </c>
      <c r="F17" s="190">
        <v>0</v>
      </c>
      <c r="G17" s="190">
        <v>6</v>
      </c>
      <c r="H17" s="190">
        <v>6</v>
      </c>
      <c r="I17" s="190">
        <v>0</v>
      </c>
      <c r="J17" s="190">
        <v>488</v>
      </c>
      <c r="K17" s="190">
        <v>488</v>
      </c>
      <c r="L17" s="190">
        <v>0</v>
      </c>
      <c r="M17" s="190">
        <v>151</v>
      </c>
      <c r="N17" s="190">
        <v>151</v>
      </c>
      <c r="O17" s="190">
        <v>0</v>
      </c>
      <c r="P17" s="190">
        <v>337</v>
      </c>
      <c r="Q17" s="190">
        <v>337</v>
      </c>
      <c r="R17" s="190">
        <v>0</v>
      </c>
      <c r="S17" s="190">
        <v>6</v>
      </c>
      <c r="T17" s="190">
        <v>6</v>
      </c>
      <c r="U17" s="190">
        <v>0</v>
      </c>
      <c r="V17" s="190">
        <v>41</v>
      </c>
      <c r="W17" s="190">
        <v>41</v>
      </c>
      <c r="X17" s="190">
        <v>17</v>
      </c>
      <c r="Y17" s="190">
        <v>1157</v>
      </c>
      <c r="Z17" s="190">
        <v>1174</v>
      </c>
      <c r="AA17" s="190">
        <v>14</v>
      </c>
      <c r="AB17" s="190">
        <v>506</v>
      </c>
      <c r="AC17" s="190">
        <v>520</v>
      </c>
      <c r="AD17" s="190">
        <v>12</v>
      </c>
      <c r="AE17" s="190">
        <v>492</v>
      </c>
      <c r="AF17" s="190">
        <v>504</v>
      </c>
      <c r="AG17" s="190">
        <v>1</v>
      </c>
      <c r="AH17" s="190">
        <v>13</v>
      </c>
      <c r="AI17" s="190">
        <v>14</v>
      </c>
      <c r="AJ17" s="190">
        <v>1</v>
      </c>
      <c r="AK17" s="190">
        <v>1</v>
      </c>
      <c r="AL17" s="190">
        <v>2</v>
      </c>
      <c r="AM17" s="190">
        <v>3</v>
      </c>
      <c r="AN17" s="190">
        <v>651</v>
      </c>
      <c r="AO17" s="190">
        <v>654</v>
      </c>
      <c r="AP17" s="190">
        <v>840</v>
      </c>
      <c r="AQ17" s="190">
        <v>10630</v>
      </c>
      <c r="AR17" s="190">
        <v>11470</v>
      </c>
      <c r="AS17" s="190">
        <v>840</v>
      </c>
      <c r="AT17" s="190">
        <v>10630</v>
      </c>
      <c r="AU17" s="190">
        <v>11470</v>
      </c>
      <c r="AV17" s="190">
        <v>0</v>
      </c>
      <c r="AW17" s="190">
        <v>0</v>
      </c>
      <c r="AX17" s="190">
        <v>0</v>
      </c>
      <c r="AY17" s="190">
        <v>25</v>
      </c>
      <c r="AZ17" s="190">
        <v>1136</v>
      </c>
      <c r="BA17" s="190">
        <v>1161</v>
      </c>
      <c r="BB17" s="190">
        <v>18</v>
      </c>
      <c r="BC17" s="190">
        <v>0</v>
      </c>
      <c r="BD17" s="190">
        <v>0</v>
      </c>
      <c r="BE17" s="190">
        <v>626</v>
      </c>
      <c r="BF17" s="190">
        <v>2</v>
      </c>
      <c r="BG17" s="190">
        <v>0</v>
      </c>
      <c r="BH17" s="190">
        <v>18</v>
      </c>
      <c r="BI17" s="190">
        <v>628</v>
      </c>
      <c r="BJ17" s="190">
        <v>646</v>
      </c>
      <c r="BK17" s="190">
        <v>-19</v>
      </c>
      <c r="BL17" s="190">
        <v>19</v>
      </c>
      <c r="BM17" s="190">
        <v>0</v>
      </c>
      <c r="BN17" s="190">
        <v>5</v>
      </c>
      <c r="BO17" s="190">
        <v>32</v>
      </c>
      <c r="BP17" s="190">
        <v>37</v>
      </c>
      <c r="BQ17" s="190">
        <v>0</v>
      </c>
      <c r="BR17" s="190">
        <v>127</v>
      </c>
      <c r="BS17" s="190">
        <v>127</v>
      </c>
      <c r="BT17" s="190">
        <v>21</v>
      </c>
      <c r="BU17" s="190">
        <v>330</v>
      </c>
      <c r="BV17" s="190">
        <v>351</v>
      </c>
      <c r="BW17" s="190">
        <v>865</v>
      </c>
      <c r="BX17" s="190">
        <v>11766</v>
      </c>
      <c r="BY17" s="190">
        <v>12631</v>
      </c>
      <c r="BZ17" s="190">
        <v>863</v>
      </c>
      <c r="CA17" s="190">
        <v>11735</v>
      </c>
      <c r="CB17" s="190">
        <v>12598</v>
      </c>
      <c r="CC17" s="190">
        <v>21085</v>
      </c>
      <c r="CD17" s="190">
        <v>8</v>
      </c>
      <c r="CE17" s="190">
        <v>26</v>
      </c>
      <c r="CF17" s="190">
        <v>2</v>
      </c>
      <c r="CG17" s="190">
        <v>26</v>
      </c>
      <c r="CH17" s="190">
        <v>28</v>
      </c>
      <c r="CI17" s="190">
        <v>6</v>
      </c>
      <c r="CJ17" s="190">
        <v>1</v>
      </c>
      <c r="CK17" s="190">
        <v>0</v>
      </c>
      <c r="CL17" s="190">
        <v>5</v>
      </c>
      <c r="CM17" s="190">
        <v>5</v>
      </c>
      <c r="CN17" s="190">
        <v>44</v>
      </c>
      <c r="CO17" s="190">
        <v>1224</v>
      </c>
      <c r="CP17" s="190">
        <v>1268</v>
      </c>
      <c r="CQ17" s="190">
        <v>0</v>
      </c>
      <c r="CR17" s="190">
        <v>16</v>
      </c>
      <c r="CS17" s="190">
        <v>16</v>
      </c>
      <c r="CT17" s="190">
        <v>821</v>
      </c>
      <c r="CU17" s="190">
        <v>10542</v>
      </c>
      <c r="CV17" s="190">
        <v>11363</v>
      </c>
      <c r="CW17" s="190">
        <v>51</v>
      </c>
      <c r="CX17" s="190">
        <v>366</v>
      </c>
      <c r="CY17" s="190">
        <v>417</v>
      </c>
      <c r="CZ17" s="190">
        <v>50</v>
      </c>
      <c r="DA17" s="190">
        <v>1</v>
      </c>
      <c r="DB17" s="190">
        <v>0</v>
      </c>
      <c r="DC17" s="190">
        <v>363</v>
      </c>
      <c r="DD17" s="190">
        <v>2</v>
      </c>
      <c r="DE17" s="190">
        <v>0</v>
      </c>
      <c r="DF17" s="190">
        <v>51</v>
      </c>
      <c r="DG17" s="190">
        <v>365</v>
      </c>
      <c r="DH17" s="190">
        <v>416</v>
      </c>
      <c r="DI17" s="190">
        <v>0</v>
      </c>
      <c r="DJ17" s="190">
        <v>0</v>
      </c>
      <c r="DK17" s="190">
        <v>0</v>
      </c>
      <c r="DL17" s="190">
        <v>1</v>
      </c>
      <c r="DM17" s="190">
        <v>0</v>
      </c>
      <c r="DN17" s="190">
        <v>0</v>
      </c>
      <c r="DO17" s="190">
        <v>0</v>
      </c>
      <c r="DP17" s="190">
        <v>1</v>
      </c>
      <c r="DQ17" s="190">
        <v>1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1167</v>
      </c>
      <c r="C18" s="190">
        <v>144</v>
      </c>
      <c r="D18" s="190">
        <v>1026</v>
      </c>
      <c r="E18" s="190">
        <v>734</v>
      </c>
      <c r="F18" s="190">
        <v>2</v>
      </c>
      <c r="G18" s="190">
        <v>13</v>
      </c>
      <c r="H18" s="190">
        <v>15</v>
      </c>
      <c r="I18" s="190">
        <v>2</v>
      </c>
      <c r="J18" s="190">
        <v>261</v>
      </c>
      <c r="K18" s="190">
        <v>263</v>
      </c>
      <c r="L18" s="190">
        <v>2</v>
      </c>
      <c r="M18" s="190">
        <v>146</v>
      </c>
      <c r="N18" s="190">
        <v>148</v>
      </c>
      <c r="O18" s="190">
        <v>0</v>
      </c>
      <c r="P18" s="190">
        <v>115</v>
      </c>
      <c r="Q18" s="190">
        <v>115</v>
      </c>
      <c r="R18" s="190">
        <v>0</v>
      </c>
      <c r="S18" s="190">
        <v>6</v>
      </c>
      <c r="T18" s="190">
        <v>6</v>
      </c>
      <c r="U18" s="190">
        <v>0</v>
      </c>
      <c r="V18" s="190">
        <v>29</v>
      </c>
      <c r="W18" s="190">
        <v>29</v>
      </c>
      <c r="X18" s="190">
        <v>32</v>
      </c>
      <c r="Y18" s="190">
        <v>994</v>
      </c>
      <c r="Z18" s="190">
        <v>1026</v>
      </c>
      <c r="AA18" s="190">
        <v>17</v>
      </c>
      <c r="AB18" s="190">
        <v>462</v>
      </c>
      <c r="AC18" s="190">
        <v>479</v>
      </c>
      <c r="AD18" s="190">
        <v>14</v>
      </c>
      <c r="AE18" s="190">
        <v>428</v>
      </c>
      <c r="AF18" s="190">
        <v>442</v>
      </c>
      <c r="AG18" s="190">
        <v>3</v>
      </c>
      <c r="AH18" s="190">
        <v>23</v>
      </c>
      <c r="AI18" s="190">
        <v>26</v>
      </c>
      <c r="AJ18" s="190">
        <v>0</v>
      </c>
      <c r="AK18" s="190">
        <v>11</v>
      </c>
      <c r="AL18" s="190">
        <v>11</v>
      </c>
      <c r="AM18" s="190">
        <v>15</v>
      </c>
      <c r="AN18" s="190">
        <v>532</v>
      </c>
      <c r="AO18" s="190">
        <v>547</v>
      </c>
      <c r="AP18" s="190">
        <v>2282</v>
      </c>
      <c r="AQ18" s="190">
        <v>14160</v>
      </c>
      <c r="AR18" s="190">
        <v>16442</v>
      </c>
      <c r="AS18" s="190">
        <v>2282</v>
      </c>
      <c r="AT18" s="190">
        <v>14160</v>
      </c>
      <c r="AU18" s="190">
        <v>16442</v>
      </c>
      <c r="AV18" s="190">
        <v>0</v>
      </c>
      <c r="AW18" s="190">
        <v>0</v>
      </c>
      <c r="AX18" s="190">
        <v>0</v>
      </c>
      <c r="AY18" s="190">
        <v>39</v>
      </c>
      <c r="AZ18" s="190">
        <v>1182</v>
      </c>
      <c r="BA18" s="190">
        <v>1221</v>
      </c>
      <c r="BB18" s="190">
        <v>39</v>
      </c>
      <c r="BC18" s="190">
        <v>3</v>
      </c>
      <c r="BD18" s="190">
        <v>0</v>
      </c>
      <c r="BE18" s="190">
        <v>670</v>
      </c>
      <c r="BF18" s="190">
        <v>19</v>
      </c>
      <c r="BG18" s="190">
        <v>3</v>
      </c>
      <c r="BH18" s="190">
        <v>42</v>
      </c>
      <c r="BI18" s="190">
        <v>692</v>
      </c>
      <c r="BJ18" s="190">
        <v>734</v>
      </c>
      <c r="BK18" s="190">
        <v>-51</v>
      </c>
      <c r="BL18" s="190">
        <v>51</v>
      </c>
      <c r="BM18" s="190">
        <v>0</v>
      </c>
      <c r="BN18" s="190">
        <v>3</v>
      </c>
      <c r="BO18" s="190">
        <v>19</v>
      </c>
      <c r="BP18" s="190">
        <v>22</v>
      </c>
      <c r="BQ18" s="190">
        <v>16</v>
      </c>
      <c r="BR18" s="190">
        <v>176</v>
      </c>
      <c r="BS18" s="190">
        <v>192</v>
      </c>
      <c r="BT18" s="190">
        <v>29</v>
      </c>
      <c r="BU18" s="190">
        <v>244</v>
      </c>
      <c r="BV18" s="190">
        <v>273</v>
      </c>
      <c r="BW18" s="190">
        <v>2321</v>
      </c>
      <c r="BX18" s="190">
        <v>15342</v>
      </c>
      <c r="BY18" s="190">
        <v>17663</v>
      </c>
      <c r="BZ18" s="190">
        <v>2286</v>
      </c>
      <c r="CA18" s="190">
        <v>14954</v>
      </c>
      <c r="CB18" s="190">
        <v>17240</v>
      </c>
      <c r="CC18" s="190">
        <v>42314</v>
      </c>
      <c r="CD18" s="190">
        <v>30</v>
      </c>
      <c r="CE18" s="190">
        <v>374</v>
      </c>
      <c r="CF18" s="190">
        <v>31</v>
      </c>
      <c r="CG18" s="190">
        <v>339</v>
      </c>
      <c r="CH18" s="190">
        <v>370</v>
      </c>
      <c r="CI18" s="190">
        <v>49</v>
      </c>
      <c r="CJ18" s="190">
        <v>11</v>
      </c>
      <c r="CK18" s="190">
        <v>4</v>
      </c>
      <c r="CL18" s="190">
        <v>49</v>
      </c>
      <c r="CM18" s="190">
        <v>53</v>
      </c>
      <c r="CN18" s="190">
        <v>79</v>
      </c>
      <c r="CO18" s="190">
        <v>1117</v>
      </c>
      <c r="CP18" s="190">
        <v>1196</v>
      </c>
      <c r="CQ18" s="190">
        <v>0</v>
      </c>
      <c r="CR18" s="190">
        <v>1</v>
      </c>
      <c r="CS18" s="190">
        <v>1</v>
      </c>
      <c r="CT18" s="190">
        <v>2242</v>
      </c>
      <c r="CU18" s="190">
        <v>14225</v>
      </c>
      <c r="CV18" s="190">
        <v>16467</v>
      </c>
      <c r="CW18" s="190">
        <v>126</v>
      </c>
      <c r="CX18" s="190">
        <v>607</v>
      </c>
      <c r="CY18" s="190">
        <v>733</v>
      </c>
      <c r="CZ18" s="190">
        <v>124</v>
      </c>
      <c r="DA18" s="190">
        <v>2</v>
      </c>
      <c r="DB18" s="190">
        <v>0</v>
      </c>
      <c r="DC18" s="190">
        <v>586</v>
      </c>
      <c r="DD18" s="190">
        <v>12</v>
      </c>
      <c r="DE18" s="190">
        <v>3</v>
      </c>
      <c r="DF18" s="190">
        <v>126</v>
      </c>
      <c r="DG18" s="190">
        <v>601</v>
      </c>
      <c r="DH18" s="190">
        <v>727</v>
      </c>
      <c r="DI18" s="190">
        <v>0</v>
      </c>
      <c r="DJ18" s="190">
        <v>0</v>
      </c>
      <c r="DK18" s="190">
        <v>0</v>
      </c>
      <c r="DL18" s="190">
        <v>6</v>
      </c>
      <c r="DM18" s="190">
        <v>0</v>
      </c>
      <c r="DN18" s="190">
        <v>0</v>
      </c>
      <c r="DO18" s="190">
        <v>0</v>
      </c>
      <c r="DP18" s="190">
        <v>6</v>
      </c>
      <c r="DQ18" s="190">
        <v>6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82</v>
      </c>
      <c r="C19" s="190">
        <v>8</v>
      </c>
      <c r="D19" s="190">
        <v>73</v>
      </c>
      <c r="E19" s="190">
        <v>55</v>
      </c>
      <c r="F19" s="190">
        <v>0</v>
      </c>
      <c r="G19" s="190">
        <v>4</v>
      </c>
      <c r="H19" s="190">
        <v>4</v>
      </c>
      <c r="I19" s="190">
        <v>0</v>
      </c>
      <c r="J19" s="190">
        <v>16</v>
      </c>
      <c r="K19" s="190">
        <v>16</v>
      </c>
      <c r="L19" s="190">
        <v>0</v>
      </c>
      <c r="M19" s="190">
        <v>6</v>
      </c>
      <c r="N19" s="190">
        <v>6</v>
      </c>
      <c r="O19" s="190">
        <v>0</v>
      </c>
      <c r="P19" s="190">
        <v>10</v>
      </c>
      <c r="Q19" s="190">
        <v>10</v>
      </c>
      <c r="R19" s="190">
        <v>0</v>
      </c>
      <c r="S19" s="190">
        <v>0</v>
      </c>
      <c r="T19" s="190">
        <v>0</v>
      </c>
      <c r="U19" s="190">
        <v>0</v>
      </c>
      <c r="V19" s="190">
        <v>2</v>
      </c>
      <c r="W19" s="190">
        <v>2</v>
      </c>
      <c r="X19" s="190">
        <v>4</v>
      </c>
      <c r="Y19" s="190">
        <v>69</v>
      </c>
      <c r="Z19" s="190">
        <v>73</v>
      </c>
      <c r="AA19" s="190">
        <v>2</v>
      </c>
      <c r="AB19" s="190">
        <v>34</v>
      </c>
      <c r="AC19" s="190">
        <v>36</v>
      </c>
      <c r="AD19" s="190">
        <v>2</v>
      </c>
      <c r="AE19" s="190">
        <v>30</v>
      </c>
      <c r="AF19" s="190">
        <v>32</v>
      </c>
      <c r="AG19" s="190">
        <v>0</v>
      </c>
      <c r="AH19" s="190">
        <v>3</v>
      </c>
      <c r="AI19" s="190">
        <v>3</v>
      </c>
      <c r="AJ19" s="190">
        <v>0</v>
      </c>
      <c r="AK19" s="190">
        <v>1</v>
      </c>
      <c r="AL19" s="190">
        <v>1</v>
      </c>
      <c r="AM19" s="190">
        <v>2</v>
      </c>
      <c r="AN19" s="190">
        <v>35</v>
      </c>
      <c r="AO19" s="190">
        <v>37</v>
      </c>
      <c r="AP19" s="190">
        <v>89</v>
      </c>
      <c r="AQ19" s="190">
        <v>855</v>
      </c>
      <c r="AR19" s="190">
        <v>944</v>
      </c>
      <c r="AS19" s="190">
        <v>88</v>
      </c>
      <c r="AT19" s="190">
        <v>855</v>
      </c>
      <c r="AU19" s="190">
        <v>943</v>
      </c>
      <c r="AV19" s="190">
        <v>1</v>
      </c>
      <c r="AW19" s="190">
        <v>0</v>
      </c>
      <c r="AX19" s="190">
        <v>1</v>
      </c>
      <c r="AY19" s="190">
        <v>2</v>
      </c>
      <c r="AZ19" s="190">
        <v>81</v>
      </c>
      <c r="BA19" s="190">
        <v>83</v>
      </c>
      <c r="BB19" s="190">
        <v>5</v>
      </c>
      <c r="BC19" s="190">
        <v>0</v>
      </c>
      <c r="BD19" s="190">
        <v>0</v>
      </c>
      <c r="BE19" s="190">
        <v>50</v>
      </c>
      <c r="BF19" s="190">
        <v>0</v>
      </c>
      <c r="BG19" s="190">
        <v>0</v>
      </c>
      <c r="BH19" s="190">
        <v>5</v>
      </c>
      <c r="BI19" s="190">
        <v>50</v>
      </c>
      <c r="BJ19" s="190">
        <v>55</v>
      </c>
      <c r="BK19" s="190">
        <v>-5</v>
      </c>
      <c r="BL19" s="190">
        <v>5</v>
      </c>
      <c r="BM19" s="190">
        <v>0</v>
      </c>
      <c r="BN19" s="190">
        <v>0</v>
      </c>
      <c r="BO19" s="190">
        <v>2</v>
      </c>
      <c r="BP19" s="190">
        <v>2</v>
      </c>
      <c r="BQ19" s="190">
        <v>1</v>
      </c>
      <c r="BR19" s="190">
        <v>16</v>
      </c>
      <c r="BS19" s="190">
        <v>17</v>
      </c>
      <c r="BT19" s="190">
        <v>1</v>
      </c>
      <c r="BU19" s="190">
        <v>8</v>
      </c>
      <c r="BV19" s="190">
        <v>9</v>
      </c>
      <c r="BW19" s="190">
        <v>91</v>
      </c>
      <c r="BX19" s="190">
        <v>936</v>
      </c>
      <c r="BY19" s="190">
        <v>1027</v>
      </c>
      <c r="BZ19" s="190">
        <v>91</v>
      </c>
      <c r="CA19" s="190">
        <v>929</v>
      </c>
      <c r="CB19" s="190">
        <v>1020</v>
      </c>
      <c r="CC19" s="190">
        <v>1936</v>
      </c>
      <c r="CD19" s="190">
        <v>1</v>
      </c>
      <c r="CE19" s="190">
        <v>5</v>
      </c>
      <c r="CF19" s="190">
        <v>0</v>
      </c>
      <c r="CG19" s="190">
        <v>5</v>
      </c>
      <c r="CH19" s="190">
        <v>5</v>
      </c>
      <c r="CI19" s="190">
        <v>2</v>
      </c>
      <c r="CJ19" s="190">
        <v>0</v>
      </c>
      <c r="CK19" s="190">
        <v>0</v>
      </c>
      <c r="CL19" s="190">
        <v>2</v>
      </c>
      <c r="CM19" s="190">
        <v>2</v>
      </c>
      <c r="CN19" s="190">
        <v>3</v>
      </c>
      <c r="CO19" s="190">
        <v>74</v>
      </c>
      <c r="CP19" s="190">
        <v>77</v>
      </c>
      <c r="CQ19" s="190">
        <v>0</v>
      </c>
      <c r="CR19" s="190">
        <v>0</v>
      </c>
      <c r="CS19" s="190">
        <v>0</v>
      </c>
      <c r="CT19" s="190">
        <v>88</v>
      </c>
      <c r="CU19" s="190">
        <v>862</v>
      </c>
      <c r="CV19" s="190">
        <v>950</v>
      </c>
      <c r="CW19" s="190">
        <v>3</v>
      </c>
      <c r="CX19" s="190">
        <v>37</v>
      </c>
      <c r="CY19" s="190">
        <v>40</v>
      </c>
      <c r="CZ19" s="190">
        <v>3</v>
      </c>
      <c r="DA19" s="190">
        <v>0</v>
      </c>
      <c r="DB19" s="190">
        <v>0</v>
      </c>
      <c r="DC19" s="190">
        <v>36</v>
      </c>
      <c r="DD19" s="190">
        <v>1</v>
      </c>
      <c r="DE19" s="190">
        <v>0</v>
      </c>
      <c r="DF19" s="190">
        <v>3</v>
      </c>
      <c r="DG19" s="190">
        <v>37</v>
      </c>
      <c r="DH19" s="190">
        <v>40</v>
      </c>
      <c r="DI19" s="190">
        <v>0</v>
      </c>
      <c r="DJ19" s="190">
        <v>0</v>
      </c>
      <c r="DK19" s="190">
        <v>0</v>
      </c>
      <c r="DL19" s="190">
        <v>0</v>
      </c>
      <c r="DM19" s="190">
        <v>0</v>
      </c>
      <c r="DN19" s="190">
        <v>0</v>
      </c>
      <c r="DO19" s="190">
        <v>0</v>
      </c>
      <c r="DP19" s="190">
        <v>0</v>
      </c>
      <c r="DQ19" s="190">
        <v>0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6887</v>
      </c>
      <c r="C20" s="190">
        <v>1966</v>
      </c>
      <c r="D20" s="190">
        <v>5976</v>
      </c>
      <c r="E20" s="190">
        <v>3921</v>
      </c>
      <c r="F20" s="190">
        <v>10</v>
      </c>
      <c r="G20" s="190">
        <v>69</v>
      </c>
      <c r="H20" s="190">
        <v>79</v>
      </c>
      <c r="I20" s="190">
        <v>3</v>
      </c>
      <c r="J20" s="190">
        <v>1809</v>
      </c>
      <c r="K20" s="190">
        <v>1812</v>
      </c>
      <c r="L20" s="190">
        <v>3</v>
      </c>
      <c r="M20" s="190">
        <v>859</v>
      </c>
      <c r="N20" s="190">
        <v>862</v>
      </c>
      <c r="O20" s="190">
        <v>0</v>
      </c>
      <c r="P20" s="190">
        <v>950</v>
      </c>
      <c r="Q20" s="190">
        <v>950</v>
      </c>
      <c r="R20" s="190">
        <v>0</v>
      </c>
      <c r="S20" s="190">
        <v>34</v>
      </c>
      <c r="T20" s="190">
        <v>34</v>
      </c>
      <c r="U20" s="190">
        <v>0</v>
      </c>
      <c r="V20" s="190">
        <v>243</v>
      </c>
      <c r="W20" s="190">
        <v>243</v>
      </c>
      <c r="X20" s="190">
        <v>191</v>
      </c>
      <c r="Y20" s="190">
        <v>5785</v>
      </c>
      <c r="Z20" s="190">
        <v>5976</v>
      </c>
      <c r="AA20" s="190">
        <v>128</v>
      </c>
      <c r="AB20" s="190">
        <v>2475</v>
      </c>
      <c r="AC20" s="190">
        <v>2603</v>
      </c>
      <c r="AD20" s="190">
        <v>121</v>
      </c>
      <c r="AE20" s="190">
        <v>2210</v>
      </c>
      <c r="AF20" s="190">
        <v>2331</v>
      </c>
      <c r="AG20" s="190">
        <v>5</v>
      </c>
      <c r="AH20" s="190">
        <v>186</v>
      </c>
      <c r="AI20" s="190">
        <v>191</v>
      </c>
      <c r="AJ20" s="190">
        <v>2</v>
      </c>
      <c r="AK20" s="190">
        <v>79</v>
      </c>
      <c r="AL20" s="190">
        <v>81</v>
      </c>
      <c r="AM20" s="190">
        <v>63</v>
      </c>
      <c r="AN20" s="190">
        <v>3310</v>
      </c>
      <c r="AO20" s="190">
        <v>3373</v>
      </c>
      <c r="AP20" s="190">
        <v>9631</v>
      </c>
      <c r="AQ20" s="190">
        <v>55206</v>
      </c>
      <c r="AR20" s="190">
        <v>64837</v>
      </c>
      <c r="AS20" s="190">
        <v>9631</v>
      </c>
      <c r="AT20" s="190">
        <v>55206</v>
      </c>
      <c r="AU20" s="190">
        <v>64837</v>
      </c>
      <c r="AV20" s="190">
        <v>0</v>
      </c>
      <c r="AW20" s="190">
        <v>0</v>
      </c>
      <c r="AX20" s="190">
        <v>0</v>
      </c>
      <c r="AY20" s="190">
        <v>500</v>
      </c>
      <c r="AZ20" s="190">
        <v>5406</v>
      </c>
      <c r="BA20" s="190">
        <v>5906</v>
      </c>
      <c r="BB20" s="190">
        <v>231</v>
      </c>
      <c r="BC20" s="190">
        <v>1</v>
      </c>
      <c r="BD20" s="190">
        <v>0</v>
      </c>
      <c r="BE20" s="190">
        <v>3614</v>
      </c>
      <c r="BF20" s="190">
        <v>57</v>
      </c>
      <c r="BG20" s="190">
        <v>18</v>
      </c>
      <c r="BH20" s="190">
        <v>232</v>
      </c>
      <c r="BI20" s="190">
        <v>3689</v>
      </c>
      <c r="BJ20" s="190">
        <v>3921</v>
      </c>
      <c r="BK20" s="190">
        <v>67</v>
      </c>
      <c r="BL20" s="190">
        <v>-67</v>
      </c>
      <c r="BM20" s="190">
        <v>0</v>
      </c>
      <c r="BN20" s="190">
        <v>18</v>
      </c>
      <c r="BO20" s="190">
        <v>66</v>
      </c>
      <c r="BP20" s="190">
        <v>84</v>
      </c>
      <c r="BQ20" s="190">
        <v>70</v>
      </c>
      <c r="BR20" s="190">
        <v>611</v>
      </c>
      <c r="BS20" s="190">
        <v>681</v>
      </c>
      <c r="BT20" s="190">
        <v>113</v>
      </c>
      <c r="BU20" s="190">
        <v>1107</v>
      </c>
      <c r="BV20" s="190">
        <v>1220</v>
      </c>
      <c r="BW20" s="190">
        <v>10131</v>
      </c>
      <c r="BX20" s="190">
        <v>60612</v>
      </c>
      <c r="BY20" s="190">
        <v>70743</v>
      </c>
      <c r="BZ20" s="190">
        <v>10065</v>
      </c>
      <c r="CA20" s="190">
        <v>59577</v>
      </c>
      <c r="CB20" s="190">
        <v>69642</v>
      </c>
      <c r="CC20" s="190">
        <v>163150</v>
      </c>
      <c r="CD20" s="190">
        <v>59</v>
      </c>
      <c r="CE20" s="190">
        <v>877</v>
      </c>
      <c r="CF20" s="190">
        <v>65</v>
      </c>
      <c r="CG20" s="190">
        <v>795</v>
      </c>
      <c r="CH20" s="190">
        <v>860</v>
      </c>
      <c r="CI20" s="190">
        <v>305</v>
      </c>
      <c r="CJ20" s="190">
        <v>17</v>
      </c>
      <c r="CK20" s="190">
        <v>1</v>
      </c>
      <c r="CL20" s="190">
        <v>240</v>
      </c>
      <c r="CM20" s="190">
        <v>241</v>
      </c>
      <c r="CN20" s="190">
        <v>398</v>
      </c>
      <c r="CO20" s="190">
        <v>5256</v>
      </c>
      <c r="CP20" s="190">
        <v>5654</v>
      </c>
      <c r="CQ20" s="190">
        <v>0</v>
      </c>
      <c r="CR20" s="190">
        <v>2</v>
      </c>
      <c r="CS20" s="190">
        <v>2</v>
      </c>
      <c r="CT20" s="190">
        <v>9733</v>
      </c>
      <c r="CU20" s="190">
        <v>55356</v>
      </c>
      <c r="CV20" s="190">
        <v>65089</v>
      </c>
      <c r="CW20" s="190">
        <v>515</v>
      </c>
      <c r="CX20" s="190">
        <v>2417</v>
      </c>
      <c r="CY20" s="190">
        <v>2932</v>
      </c>
      <c r="CZ20" s="190">
        <v>511</v>
      </c>
      <c r="DA20" s="190">
        <v>2</v>
      </c>
      <c r="DB20" s="190">
        <v>0</v>
      </c>
      <c r="DC20" s="190">
        <v>2311</v>
      </c>
      <c r="DD20" s="190">
        <v>31</v>
      </c>
      <c r="DE20" s="190">
        <v>9</v>
      </c>
      <c r="DF20" s="190">
        <v>513</v>
      </c>
      <c r="DG20" s="190">
        <v>2351</v>
      </c>
      <c r="DH20" s="190">
        <v>2864</v>
      </c>
      <c r="DI20" s="190">
        <v>2</v>
      </c>
      <c r="DJ20" s="190">
        <v>0</v>
      </c>
      <c r="DK20" s="190">
        <v>0</v>
      </c>
      <c r="DL20" s="190">
        <v>64</v>
      </c>
      <c r="DM20" s="190">
        <v>2</v>
      </c>
      <c r="DN20" s="190">
        <v>0</v>
      </c>
      <c r="DO20" s="190">
        <v>2</v>
      </c>
      <c r="DP20" s="190">
        <v>66</v>
      </c>
      <c r="DQ20" s="190">
        <v>68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1087</v>
      </c>
      <c r="C21" s="190">
        <v>151</v>
      </c>
      <c r="D21" s="190">
        <v>971</v>
      </c>
      <c r="E21" s="190">
        <v>733</v>
      </c>
      <c r="F21" s="190">
        <v>0</v>
      </c>
      <c r="G21" s="190">
        <v>7</v>
      </c>
      <c r="H21" s="190">
        <v>7</v>
      </c>
      <c r="I21" s="190">
        <v>0</v>
      </c>
      <c r="J21" s="190">
        <v>197</v>
      </c>
      <c r="K21" s="190">
        <v>197</v>
      </c>
      <c r="L21" s="190">
        <v>0</v>
      </c>
      <c r="M21" s="190">
        <v>115</v>
      </c>
      <c r="N21" s="190">
        <v>115</v>
      </c>
      <c r="O21" s="190">
        <v>0</v>
      </c>
      <c r="P21" s="190">
        <v>82</v>
      </c>
      <c r="Q21" s="190">
        <v>82</v>
      </c>
      <c r="R21" s="190">
        <v>0</v>
      </c>
      <c r="S21" s="190">
        <v>1</v>
      </c>
      <c r="T21" s="190">
        <v>1</v>
      </c>
      <c r="U21" s="190">
        <v>0</v>
      </c>
      <c r="V21" s="190">
        <v>41</v>
      </c>
      <c r="W21" s="190">
        <v>41</v>
      </c>
      <c r="X21" s="190">
        <v>51</v>
      </c>
      <c r="Y21" s="190">
        <v>920</v>
      </c>
      <c r="Z21" s="190">
        <v>971</v>
      </c>
      <c r="AA21" s="190">
        <v>35</v>
      </c>
      <c r="AB21" s="190">
        <v>448</v>
      </c>
      <c r="AC21" s="190">
        <v>483</v>
      </c>
      <c r="AD21" s="190">
        <v>30</v>
      </c>
      <c r="AE21" s="190">
        <v>422</v>
      </c>
      <c r="AF21" s="190">
        <v>452</v>
      </c>
      <c r="AG21" s="190">
        <v>5</v>
      </c>
      <c r="AH21" s="190">
        <v>16</v>
      </c>
      <c r="AI21" s="190">
        <v>21</v>
      </c>
      <c r="AJ21" s="190">
        <v>0</v>
      </c>
      <c r="AK21" s="190">
        <v>10</v>
      </c>
      <c r="AL21" s="190">
        <v>10</v>
      </c>
      <c r="AM21" s="190">
        <v>16</v>
      </c>
      <c r="AN21" s="190">
        <v>472</v>
      </c>
      <c r="AO21" s="190">
        <v>488</v>
      </c>
      <c r="AP21" s="190">
        <v>1403</v>
      </c>
      <c r="AQ21" s="190">
        <v>8454</v>
      </c>
      <c r="AR21" s="190">
        <v>9857</v>
      </c>
      <c r="AS21" s="190">
        <v>1403</v>
      </c>
      <c r="AT21" s="190">
        <v>8454</v>
      </c>
      <c r="AU21" s="190">
        <v>9857</v>
      </c>
      <c r="AV21" s="190">
        <v>0</v>
      </c>
      <c r="AW21" s="190">
        <v>0</v>
      </c>
      <c r="AX21" s="190">
        <v>0</v>
      </c>
      <c r="AY21" s="190">
        <v>131</v>
      </c>
      <c r="AZ21" s="190">
        <v>972</v>
      </c>
      <c r="BA21" s="190">
        <v>1103</v>
      </c>
      <c r="BB21" s="190">
        <v>52</v>
      </c>
      <c r="BC21" s="190">
        <v>1</v>
      </c>
      <c r="BD21" s="190">
        <v>0</v>
      </c>
      <c r="BE21" s="190">
        <v>657</v>
      </c>
      <c r="BF21" s="190">
        <v>20</v>
      </c>
      <c r="BG21" s="190">
        <v>3</v>
      </c>
      <c r="BH21" s="190">
        <v>53</v>
      </c>
      <c r="BI21" s="190">
        <v>680</v>
      </c>
      <c r="BJ21" s="190">
        <v>733</v>
      </c>
      <c r="BK21" s="190">
        <v>31</v>
      </c>
      <c r="BL21" s="190">
        <v>-31</v>
      </c>
      <c r="BM21" s="190">
        <v>0</v>
      </c>
      <c r="BN21" s="190">
        <v>6</v>
      </c>
      <c r="BO21" s="190">
        <v>19</v>
      </c>
      <c r="BP21" s="190">
        <v>25</v>
      </c>
      <c r="BQ21" s="190">
        <v>9</v>
      </c>
      <c r="BR21" s="190">
        <v>136</v>
      </c>
      <c r="BS21" s="190">
        <v>145</v>
      </c>
      <c r="BT21" s="190">
        <v>32</v>
      </c>
      <c r="BU21" s="190">
        <v>168</v>
      </c>
      <c r="BV21" s="190">
        <v>200</v>
      </c>
      <c r="BW21" s="190">
        <v>1534</v>
      </c>
      <c r="BX21" s="190">
        <v>9426</v>
      </c>
      <c r="BY21" s="190">
        <v>10960</v>
      </c>
      <c r="BZ21" s="190">
        <v>1511</v>
      </c>
      <c r="CA21" s="190">
        <v>9274</v>
      </c>
      <c r="CB21" s="190">
        <v>10785</v>
      </c>
      <c r="CC21" s="190">
        <v>24637</v>
      </c>
      <c r="CD21" s="190">
        <v>14</v>
      </c>
      <c r="CE21" s="190">
        <v>138</v>
      </c>
      <c r="CF21" s="190">
        <v>22</v>
      </c>
      <c r="CG21" s="190">
        <v>124</v>
      </c>
      <c r="CH21" s="190">
        <v>146</v>
      </c>
      <c r="CI21" s="190">
        <v>31</v>
      </c>
      <c r="CJ21" s="190">
        <v>6</v>
      </c>
      <c r="CK21" s="190">
        <v>1</v>
      </c>
      <c r="CL21" s="190">
        <v>28</v>
      </c>
      <c r="CM21" s="190">
        <v>29</v>
      </c>
      <c r="CN21" s="190">
        <v>76</v>
      </c>
      <c r="CO21" s="190">
        <v>746</v>
      </c>
      <c r="CP21" s="190">
        <v>822</v>
      </c>
      <c r="CQ21" s="190">
        <v>0</v>
      </c>
      <c r="CR21" s="190">
        <v>0</v>
      </c>
      <c r="CS21" s="190">
        <v>0</v>
      </c>
      <c r="CT21" s="190">
        <v>1458</v>
      </c>
      <c r="CU21" s="190">
        <v>8680</v>
      </c>
      <c r="CV21" s="190">
        <v>10138</v>
      </c>
      <c r="CW21" s="190">
        <v>91</v>
      </c>
      <c r="CX21" s="190">
        <v>390</v>
      </c>
      <c r="CY21" s="190">
        <v>481</v>
      </c>
      <c r="CZ21" s="190">
        <v>89</v>
      </c>
      <c r="DA21" s="190">
        <v>2</v>
      </c>
      <c r="DB21" s="190">
        <v>0</v>
      </c>
      <c r="DC21" s="190">
        <v>386</v>
      </c>
      <c r="DD21" s="190">
        <v>2</v>
      </c>
      <c r="DE21" s="190">
        <v>0</v>
      </c>
      <c r="DF21" s="190">
        <v>91</v>
      </c>
      <c r="DG21" s="190">
        <v>388</v>
      </c>
      <c r="DH21" s="190">
        <v>479</v>
      </c>
      <c r="DI21" s="190">
        <v>0</v>
      </c>
      <c r="DJ21" s="190">
        <v>0</v>
      </c>
      <c r="DK21" s="190">
        <v>0</v>
      </c>
      <c r="DL21" s="190">
        <v>2</v>
      </c>
      <c r="DM21" s="190">
        <v>0</v>
      </c>
      <c r="DN21" s="190">
        <v>0</v>
      </c>
      <c r="DO21" s="190">
        <v>0</v>
      </c>
      <c r="DP21" s="190">
        <v>2</v>
      </c>
      <c r="DQ21" s="190">
        <v>2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475</v>
      </c>
      <c r="C22" s="190">
        <v>80</v>
      </c>
      <c r="D22" s="190">
        <v>461</v>
      </c>
      <c r="E22" s="190">
        <v>343</v>
      </c>
      <c r="F22" s="190">
        <v>3</v>
      </c>
      <c r="G22" s="190">
        <v>20</v>
      </c>
      <c r="H22" s="190">
        <v>23</v>
      </c>
      <c r="I22" s="190">
        <v>0</v>
      </c>
      <c r="J22" s="190">
        <v>99</v>
      </c>
      <c r="K22" s="190">
        <v>99</v>
      </c>
      <c r="L22" s="190">
        <v>0</v>
      </c>
      <c r="M22" s="190">
        <v>35</v>
      </c>
      <c r="N22" s="190">
        <v>35</v>
      </c>
      <c r="O22" s="190">
        <v>0</v>
      </c>
      <c r="P22" s="190">
        <v>64</v>
      </c>
      <c r="Q22" s="190">
        <v>64</v>
      </c>
      <c r="R22" s="190">
        <v>0</v>
      </c>
      <c r="S22" s="190">
        <v>5</v>
      </c>
      <c r="T22" s="190">
        <v>5</v>
      </c>
      <c r="U22" s="190">
        <v>0</v>
      </c>
      <c r="V22" s="190">
        <v>19</v>
      </c>
      <c r="W22" s="190">
        <v>19</v>
      </c>
      <c r="X22" s="190">
        <v>7</v>
      </c>
      <c r="Y22" s="190">
        <v>454</v>
      </c>
      <c r="Z22" s="190">
        <v>461</v>
      </c>
      <c r="AA22" s="190">
        <v>2</v>
      </c>
      <c r="AB22" s="190">
        <v>216</v>
      </c>
      <c r="AC22" s="190">
        <v>218</v>
      </c>
      <c r="AD22" s="190">
        <v>2</v>
      </c>
      <c r="AE22" s="190">
        <v>200</v>
      </c>
      <c r="AF22" s="190">
        <v>202</v>
      </c>
      <c r="AG22" s="190">
        <v>0</v>
      </c>
      <c r="AH22" s="190">
        <v>9</v>
      </c>
      <c r="AI22" s="190">
        <v>9</v>
      </c>
      <c r="AJ22" s="190">
        <v>0</v>
      </c>
      <c r="AK22" s="190">
        <v>7</v>
      </c>
      <c r="AL22" s="190">
        <v>7</v>
      </c>
      <c r="AM22" s="190">
        <v>5</v>
      </c>
      <c r="AN22" s="190">
        <v>238</v>
      </c>
      <c r="AO22" s="190">
        <v>243</v>
      </c>
      <c r="AP22" s="190">
        <v>547</v>
      </c>
      <c r="AQ22" s="190">
        <v>5439</v>
      </c>
      <c r="AR22" s="190">
        <v>5986</v>
      </c>
      <c r="AS22" s="190">
        <v>547</v>
      </c>
      <c r="AT22" s="190">
        <v>5439</v>
      </c>
      <c r="AU22" s="190">
        <v>5986</v>
      </c>
      <c r="AV22" s="190">
        <v>0</v>
      </c>
      <c r="AW22" s="190">
        <v>0</v>
      </c>
      <c r="AX22" s="190">
        <v>0</v>
      </c>
      <c r="AY22" s="190">
        <v>50</v>
      </c>
      <c r="AZ22" s="190">
        <v>551</v>
      </c>
      <c r="BA22" s="190">
        <v>601</v>
      </c>
      <c r="BB22" s="190">
        <v>11</v>
      </c>
      <c r="BC22" s="190">
        <v>1</v>
      </c>
      <c r="BD22" s="190">
        <v>0</v>
      </c>
      <c r="BE22" s="190">
        <v>327</v>
      </c>
      <c r="BF22" s="190">
        <v>3</v>
      </c>
      <c r="BG22" s="190">
        <v>1</v>
      </c>
      <c r="BH22" s="190">
        <v>12</v>
      </c>
      <c r="BI22" s="190">
        <v>331</v>
      </c>
      <c r="BJ22" s="190">
        <v>343</v>
      </c>
      <c r="BK22" s="190">
        <v>12</v>
      </c>
      <c r="BL22" s="190">
        <v>-12</v>
      </c>
      <c r="BM22" s="190">
        <v>0</v>
      </c>
      <c r="BN22" s="190">
        <v>3</v>
      </c>
      <c r="BO22" s="190">
        <v>9</v>
      </c>
      <c r="BP22" s="190">
        <v>12</v>
      </c>
      <c r="BQ22" s="190">
        <v>4</v>
      </c>
      <c r="BR22" s="190">
        <v>26</v>
      </c>
      <c r="BS22" s="190">
        <v>30</v>
      </c>
      <c r="BT22" s="190">
        <v>19</v>
      </c>
      <c r="BU22" s="190">
        <v>197</v>
      </c>
      <c r="BV22" s="190">
        <v>216</v>
      </c>
      <c r="BW22" s="190">
        <v>597</v>
      </c>
      <c r="BX22" s="190">
        <v>5990</v>
      </c>
      <c r="BY22" s="190">
        <v>6587</v>
      </c>
      <c r="BZ22" s="190">
        <v>591</v>
      </c>
      <c r="CA22" s="190">
        <v>5960</v>
      </c>
      <c r="CB22" s="190">
        <v>6551</v>
      </c>
      <c r="CC22" s="190">
        <v>12369</v>
      </c>
      <c r="CD22" s="190">
        <v>4</v>
      </c>
      <c r="CE22" s="190">
        <v>32</v>
      </c>
      <c r="CF22" s="190">
        <v>6</v>
      </c>
      <c r="CG22" s="190">
        <v>24</v>
      </c>
      <c r="CH22" s="190">
        <v>30</v>
      </c>
      <c r="CI22" s="190">
        <v>7</v>
      </c>
      <c r="CJ22" s="190">
        <v>1</v>
      </c>
      <c r="CK22" s="190">
        <v>0</v>
      </c>
      <c r="CL22" s="190">
        <v>6</v>
      </c>
      <c r="CM22" s="190">
        <v>6</v>
      </c>
      <c r="CN22" s="190">
        <v>31</v>
      </c>
      <c r="CO22" s="190">
        <v>543</v>
      </c>
      <c r="CP22" s="190">
        <v>574</v>
      </c>
      <c r="CQ22" s="190">
        <v>0</v>
      </c>
      <c r="CR22" s="190">
        <v>0</v>
      </c>
      <c r="CS22" s="190">
        <v>0</v>
      </c>
      <c r="CT22" s="190">
        <v>566</v>
      </c>
      <c r="CU22" s="190">
        <v>5447</v>
      </c>
      <c r="CV22" s="190">
        <v>6013</v>
      </c>
      <c r="CW22" s="190">
        <v>30</v>
      </c>
      <c r="CX22" s="190">
        <v>258</v>
      </c>
      <c r="CY22" s="190">
        <v>288</v>
      </c>
      <c r="CZ22" s="190">
        <v>30</v>
      </c>
      <c r="DA22" s="190">
        <v>0</v>
      </c>
      <c r="DB22" s="190">
        <v>0</v>
      </c>
      <c r="DC22" s="190">
        <v>255</v>
      </c>
      <c r="DD22" s="190">
        <v>0</v>
      </c>
      <c r="DE22" s="190">
        <v>0</v>
      </c>
      <c r="DF22" s="190">
        <v>30</v>
      </c>
      <c r="DG22" s="190">
        <v>255</v>
      </c>
      <c r="DH22" s="190">
        <v>285</v>
      </c>
      <c r="DI22" s="190">
        <v>0</v>
      </c>
      <c r="DJ22" s="190">
        <v>0</v>
      </c>
      <c r="DK22" s="190">
        <v>0</v>
      </c>
      <c r="DL22" s="190">
        <v>3</v>
      </c>
      <c r="DM22" s="190">
        <v>0</v>
      </c>
      <c r="DN22" s="190">
        <v>0</v>
      </c>
      <c r="DO22" s="190">
        <v>0</v>
      </c>
      <c r="DP22" s="190">
        <v>3</v>
      </c>
      <c r="DQ22" s="190">
        <v>3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126</v>
      </c>
      <c r="C23" s="190">
        <v>10</v>
      </c>
      <c r="D23" s="190">
        <v>107</v>
      </c>
      <c r="E23" s="190">
        <v>80</v>
      </c>
      <c r="F23" s="190">
        <v>0</v>
      </c>
      <c r="G23" s="190">
        <v>4</v>
      </c>
      <c r="H23" s="190">
        <v>4</v>
      </c>
      <c r="I23" s="190">
        <v>0</v>
      </c>
      <c r="J23" s="190">
        <v>23</v>
      </c>
      <c r="K23" s="190">
        <v>23</v>
      </c>
      <c r="L23" s="190">
        <v>0</v>
      </c>
      <c r="M23" s="190">
        <v>11</v>
      </c>
      <c r="N23" s="190">
        <v>11</v>
      </c>
      <c r="O23" s="190">
        <v>0</v>
      </c>
      <c r="P23" s="190">
        <v>12</v>
      </c>
      <c r="Q23" s="190">
        <v>12</v>
      </c>
      <c r="R23" s="190">
        <v>0</v>
      </c>
      <c r="S23" s="190">
        <v>1</v>
      </c>
      <c r="T23" s="190">
        <v>1</v>
      </c>
      <c r="U23" s="190">
        <v>0</v>
      </c>
      <c r="V23" s="190">
        <v>4</v>
      </c>
      <c r="W23" s="190">
        <v>4</v>
      </c>
      <c r="X23" s="190">
        <v>4</v>
      </c>
      <c r="Y23" s="190">
        <v>103</v>
      </c>
      <c r="Z23" s="190">
        <v>107</v>
      </c>
      <c r="AA23" s="190">
        <v>3</v>
      </c>
      <c r="AB23" s="190">
        <v>49</v>
      </c>
      <c r="AC23" s="190">
        <v>52</v>
      </c>
      <c r="AD23" s="190">
        <v>3</v>
      </c>
      <c r="AE23" s="190">
        <v>43</v>
      </c>
      <c r="AF23" s="190">
        <v>46</v>
      </c>
      <c r="AG23" s="190">
        <v>0</v>
      </c>
      <c r="AH23" s="190">
        <v>5</v>
      </c>
      <c r="AI23" s="190">
        <v>5</v>
      </c>
      <c r="AJ23" s="190">
        <v>0</v>
      </c>
      <c r="AK23" s="190">
        <v>1</v>
      </c>
      <c r="AL23" s="190">
        <v>1</v>
      </c>
      <c r="AM23" s="190">
        <v>1</v>
      </c>
      <c r="AN23" s="190">
        <v>54</v>
      </c>
      <c r="AO23" s="190">
        <v>55</v>
      </c>
      <c r="AP23" s="190">
        <v>215</v>
      </c>
      <c r="AQ23" s="190">
        <v>1234</v>
      </c>
      <c r="AR23" s="190">
        <v>1449</v>
      </c>
      <c r="AS23" s="190">
        <v>215</v>
      </c>
      <c r="AT23" s="190">
        <v>1234</v>
      </c>
      <c r="AU23" s="190">
        <v>1449</v>
      </c>
      <c r="AV23" s="190">
        <v>0</v>
      </c>
      <c r="AW23" s="190">
        <v>0</v>
      </c>
      <c r="AX23" s="190">
        <v>0</v>
      </c>
      <c r="AY23" s="190">
        <v>22</v>
      </c>
      <c r="AZ23" s="190">
        <v>153</v>
      </c>
      <c r="BA23" s="190">
        <v>175</v>
      </c>
      <c r="BB23" s="190">
        <v>4</v>
      </c>
      <c r="BC23" s="190">
        <v>0</v>
      </c>
      <c r="BD23" s="190">
        <v>0</v>
      </c>
      <c r="BE23" s="190">
        <v>76</v>
      </c>
      <c r="BF23" s="190">
        <v>0</v>
      </c>
      <c r="BG23" s="190">
        <v>0</v>
      </c>
      <c r="BH23" s="190">
        <v>4</v>
      </c>
      <c r="BI23" s="190">
        <v>76</v>
      </c>
      <c r="BJ23" s="190">
        <v>80</v>
      </c>
      <c r="BK23" s="190">
        <v>3</v>
      </c>
      <c r="BL23" s="190">
        <v>-3</v>
      </c>
      <c r="BM23" s="190">
        <v>0</v>
      </c>
      <c r="BN23" s="190">
        <v>2</v>
      </c>
      <c r="BO23" s="190">
        <v>9</v>
      </c>
      <c r="BP23" s="190">
        <v>11</v>
      </c>
      <c r="BQ23" s="190">
        <v>2</v>
      </c>
      <c r="BR23" s="190">
        <v>32</v>
      </c>
      <c r="BS23" s="190">
        <v>34</v>
      </c>
      <c r="BT23" s="190">
        <v>11</v>
      </c>
      <c r="BU23" s="190">
        <v>39</v>
      </c>
      <c r="BV23" s="190">
        <v>50</v>
      </c>
      <c r="BW23" s="190">
        <v>237</v>
      </c>
      <c r="BX23" s="190">
        <v>1387</v>
      </c>
      <c r="BY23" s="190">
        <v>1624</v>
      </c>
      <c r="BZ23" s="190">
        <v>237</v>
      </c>
      <c r="CA23" s="190">
        <v>1385</v>
      </c>
      <c r="CB23" s="190">
        <v>1622</v>
      </c>
      <c r="CC23" s="190">
        <v>3165</v>
      </c>
      <c r="CD23" s="190">
        <v>0</v>
      </c>
      <c r="CE23" s="190">
        <v>3</v>
      </c>
      <c r="CF23" s="190">
        <v>0</v>
      </c>
      <c r="CG23" s="190">
        <v>2</v>
      </c>
      <c r="CH23" s="190">
        <v>2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22</v>
      </c>
      <c r="CO23" s="190">
        <v>145</v>
      </c>
      <c r="CP23" s="190">
        <v>167</v>
      </c>
      <c r="CQ23" s="190">
        <v>0</v>
      </c>
      <c r="CR23" s="190">
        <v>0</v>
      </c>
      <c r="CS23" s="190">
        <v>0</v>
      </c>
      <c r="CT23" s="190">
        <v>215</v>
      </c>
      <c r="CU23" s="190">
        <v>1242</v>
      </c>
      <c r="CV23" s="190">
        <v>1457</v>
      </c>
      <c r="CW23" s="190">
        <v>11</v>
      </c>
      <c r="CX23" s="190">
        <v>69</v>
      </c>
      <c r="CY23" s="190">
        <v>80</v>
      </c>
      <c r="CZ23" s="190">
        <v>11</v>
      </c>
      <c r="DA23" s="190">
        <v>0</v>
      </c>
      <c r="DB23" s="190">
        <v>0</v>
      </c>
      <c r="DC23" s="190">
        <v>69</v>
      </c>
      <c r="DD23" s="190">
        <v>0</v>
      </c>
      <c r="DE23" s="190">
        <v>0</v>
      </c>
      <c r="DF23" s="190">
        <v>11</v>
      </c>
      <c r="DG23" s="190">
        <v>69</v>
      </c>
      <c r="DH23" s="190">
        <v>80</v>
      </c>
      <c r="DI23" s="190">
        <v>0</v>
      </c>
      <c r="DJ23" s="190">
        <v>0</v>
      </c>
      <c r="DK23" s="190">
        <v>0</v>
      </c>
      <c r="DL23" s="190">
        <v>0</v>
      </c>
      <c r="DM23" s="190">
        <v>0</v>
      </c>
      <c r="DN23" s="190">
        <v>0</v>
      </c>
      <c r="DO23" s="190">
        <v>0</v>
      </c>
      <c r="DP23" s="190">
        <v>0</v>
      </c>
      <c r="DQ23" s="190">
        <v>0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35088</v>
      </c>
      <c r="C24" s="190">
        <v>6452</v>
      </c>
      <c r="D24" s="190">
        <v>34117</v>
      </c>
      <c r="E24" s="190">
        <v>26721</v>
      </c>
      <c r="F24" s="190">
        <v>65</v>
      </c>
      <c r="G24" s="190">
        <v>326</v>
      </c>
      <c r="H24" s="190">
        <v>391</v>
      </c>
      <c r="I24" s="190">
        <v>107</v>
      </c>
      <c r="J24" s="190">
        <v>6136</v>
      </c>
      <c r="K24" s="190">
        <v>6243</v>
      </c>
      <c r="L24" s="190">
        <v>50</v>
      </c>
      <c r="M24" s="190">
        <v>2101</v>
      </c>
      <c r="N24" s="190">
        <v>2151</v>
      </c>
      <c r="O24" s="190">
        <v>57</v>
      </c>
      <c r="P24" s="190">
        <v>4035</v>
      </c>
      <c r="Q24" s="190">
        <v>4092</v>
      </c>
      <c r="R24" s="190">
        <v>1</v>
      </c>
      <c r="S24" s="190">
        <v>139</v>
      </c>
      <c r="T24" s="190">
        <v>140</v>
      </c>
      <c r="U24" s="190">
        <v>0</v>
      </c>
      <c r="V24" s="190">
        <v>1153</v>
      </c>
      <c r="W24" s="190">
        <v>1153</v>
      </c>
      <c r="X24" s="190">
        <v>2130</v>
      </c>
      <c r="Y24" s="190">
        <v>29564</v>
      </c>
      <c r="Z24" s="190">
        <v>31694</v>
      </c>
      <c r="AA24" s="190">
        <v>1495</v>
      </c>
      <c r="AB24" s="190">
        <v>16176</v>
      </c>
      <c r="AC24" s="190">
        <v>17671</v>
      </c>
      <c r="AD24" s="190">
        <v>1187</v>
      </c>
      <c r="AE24" s="190">
        <v>14828</v>
      </c>
      <c r="AF24" s="190">
        <v>16015</v>
      </c>
      <c r="AG24" s="190">
        <v>101</v>
      </c>
      <c r="AH24" s="190">
        <v>553</v>
      </c>
      <c r="AI24" s="190">
        <v>654</v>
      </c>
      <c r="AJ24" s="190">
        <v>207</v>
      </c>
      <c r="AK24" s="190">
        <v>795</v>
      </c>
      <c r="AL24" s="190">
        <v>1002</v>
      </c>
      <c r="AM24" s="190">
        <v>635</v>
      </c>
      <c r="AN24" s="190">
        <v>13388</v>
      </c>
      <c r="AO24" s="190">
        <v>14023</v>
      </c>
      <c r="AP24" s="190">
        <v>84258</v>
      </c>
      <c r="AQ24" s="190">
        <v>423857</v>
      </c>
      <c r="AR24" s="190">
        <v>508115</v>
      </c>
      <c r="AS24" s="190">
        <v>85840</v>
      </c>
      <c r="AT24" s="190">
        <v>438127</v>
      </c>
      <c r="AU24" s="190">
        <v>523967</v>
      </c>
      <c r="AV24" s="190">
        <v>-1582</v>
      </c>
      <c r="AW24" s="190">
        <v>-14270</v>
      </c>
      <c r="AX24" s="190">
        <v>-15852</v>
      </c>
      <c r="AY24" s="190">
        <v>4214</v>
      </c>
      <c r="AZ24" s="190">
        <v>41557</v>
      </c>
      <c r="BA24" s="190">
        <v>45771</v>
      </c>
      <c r="BB24" s="190">
        <v>2432</v>
      </c>
      <c r="BC24" s="190">
        <v>42</v>
      </c>
      <c r="BD24" s="190">
        <v>19</v>
      </c>
      <c r="BE24" s="190">
        <v>23834</v>
      </c>
      <c r="BF24" s="190">
        <v>196</v>
      </c>
      <c r="BG24" s="190">
        <v>198</v>
      </c>
      <c r="BH24" s="190">
        <v>2493</v>
      </c>
      <c r="BI24" s="190">
        <v>24228</v>
      </c>
      <c r="BJ24" s="190">
        <v>26721</v>
      </c>
      <c r="BK24" s="190">
        <v>-1479</v>
      </c>
      <c r="BL24" s="190">
        <v>1479</v>
      </c>
      <c r="BM24" s="190">
        <v>0</v>
      </c>
      <c r="BN24" s="190">
        <v>40</v>
      </c>
      <c r="BO24" s="190">
        <v>214</v>
      </c>
      <c r="BP24" s="190">
        <v>254</v>
      </c>
      <c r="BQ24" s="190">
        <v>364</v>
      </c>
      <c r="BR24" s="190">
        <v>2382</v>
      </c>
      <c r="BS24" s="190">
        <v>2746</v>
      </c>
      <c r="BT24" s="190">
        <v>2796</v>
      </c>
      <c r="BU24" s="190">
        <v>13254</v>
      </c>
      <c r="BV24" s="190">
        <v>16050</v>
      </c>
      <c r="BW24" s="190">
        <v>88472</v>
      </c>
      <c r="BX24" s="190">
        <v>465414</v>
      </c>
      <c r="BY24" s="190">
        <v>553886</v>
      </c>
      <c r="BZ24" s="190">
        <v>85938</v>
      </c>
      <c r="CA24" s="190">
        <v>456662</v>
      </c>
      <c r="CB24" s="190">
        <v>542600</v>
      </c>
      <c r="CC24" s="190">
        <v>1099689</v>
      </c>
      <c r="CD24" s="190">
        <v>648</v>
      </c>
      <c r="CE24" s="190">
        <v>9167</v>
      </c>
      <c r="CF24" s="190">
        <v>2272</v>
      </c>
      <c r="CG24" s="190">
        <v>5406</v>
      </c>
      <c r="CH24" s="190">
        <v>7678</v>
      </c>
      <c r="CI24" s="190">
        <v>4041</v>
      </c>
      <c r="CJ24" s="190">
        <v>568</v>
      </c>
      <c r="CK24" s="190">
        <v>262</v>
      </c>
      <c r="CL24" s="190">
        <v>3346</v>
      </c>
      <c r="CM24" s="190">
        <v>3608</v>
      </c>
      <c r="CN24" s="190">
        <v>3557</v>
      </c>
      <c r="CO24" s="190">
        <v>27219</v>
      </c>
      <c r="CP24" s="190">
        <v>30776</v>
      </c>
      <c r="CQ24" s="190">
        <v>112</v>
      </c>
      <c r="CR24" s="190">
        <v>314</v>
      </c>
      <c r="CS24" s="190">
        <v>426</v>
      </c>
      <c r="CT24" s="190">
        <v>84915</v>
      </c>
      <c r="CU24" s="190">
        <v>438195</v>
      </c>
      <c r="CV24" s="190">
        <v>523110</v>
      </c>
      <c r="CW24" s="190">
        <v>5089</v>
      </c>
      <c r="CX24" s="190">
        <v>15640</v>
      </c>
      <c r="CY24" s="190">
        <v>20729</v>
      </c>
      <c r="CZ24" s="190">
        <v>4914</v>
      </c>
      <c r="DA24" s="190">
        <v>160</v>
      </c>
      <c r="DB24" s="190">
        <v>1</v>
      </c>
      <c r="DC24" s="190">
        <v>15226</v>
      </c>
      <c r="DD24" s="190">
        <v>232</v>
      </c>
      <c r="DE24" s="190">
        <v>68</v>
      </c>
      <c r="DF24" s="190">
        <v>5075</v>
      </c>
      <c r="DG24" s="190">
        <v>15526</v>
      </c>
      <c r="DH24" s="190">
        <v>20601</v>
      </c>
      <c r="DI24" s="190">
        <v>13</v>
      </c>
      <c r="DJ24" s="190">
        <v>1</v>
      </c>
      <c r="DK24" s="190">
        <v>0</v>
      </c>
      <c r="DL24" s="190">
        <v>112</v>
      </c>
      <c r="DM24" s="190">
        <v>2</v>
      </c>
      <c r="DN24" s="190">
        <v>0</v>
      </c>
      <c r="DO24" s="190">
        <v>14</v>
      </c>
      <c r="DP24" s="190">
        <v>114</v>
      </c>
      <c r="DQ24" s="190">
        <v>128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855</v>
      </c>
      <c r="C25" s="190">
        <v>116</v>
      </c>
      <c r="D25" s="190">
        <v>725</v>
      </c>
      <c r="E25" s="190">
        <v>538</v>
      </c>
      <c r="F25" s="190">
        <v>0</v>
      </c>
      <c r="G25" s="190">
        <v>7</v>
      </c>
      <c r="H25" s="190">
        <v>7</v>
      </c>
      <c r="I25" s="190">
        <v>0</v>
      </c>
      <c r="J25" s="190">
        <v>164</v>
      </c>
      <c r="K25" s="190">
        <v>164</v>
      </c>
      <c r="L25" s="190">
        <v>0</v>
      </c>
      <c r="M25" s="190">
        <v>71</v>
      </c>
      <c r="N25" s="190">
        <v>71</v>
      </c>
      <c r="O25" s="190">
        <v>0</v>
      </c>
      <c r="P25" s="190">
        <v>93</v>
      </c>
      <c r="Q25" s="190">
        <v>93</v>
      </c>
      <c r="R25" s="190">
        <v>0</v>
      </c>
      <c r="S25" s="190">
        <v>4</v>
      </c>
      <c r="T25" s="190">
        <v>4</v>
      </c>
      <c r="U25" s="190">
        <v>0</v>
      </c>
      <c r="V25" s="190">
        <v>23</v>
      </c>
      <c r="W25" s="190">
        <v>23</v>
      </c>
      <c r="X25" s="190">
        <v>31</v>
      </c>
      <c r="Y25" s="190">
        <v>694</v>
      </c>
      <c r="Z25" s="190">
        <v>725</v>
      </c>
      <c r="AA25" s="190">
        <v>16</v>
      </c>
      <c r="AB25" s="190">
        <v>340</v>
      </c>
      <c r="AC25" s="190">
        <v>356</v>
      </c>
      <c r="AD25" s="190">
        <v>14</v>
      </c>
      <c r="AE25" s="190">
        <v>330</v>
      </c>
      <c r="AF25" s="190">
        <v>344</v>
      </c>
      <c r="AG25" s="190">
        <v>1</v>
      </c>
      <c r="AH25" s="190">
        <v>9</v>
      </c>
      <c r="AI25" s="190">
        <v>10</v>
      </c>
      <c r="AJ25" s="190">
        <v>1</v>
      </c>
      <c r="AK25" s="190">
        <v>1</v>
      </c>
      <c r="AL25" s="190">
        <v>2</v>
      </c>
      <c r="AM25" s="190">
        <v>15</v>
      </c>
      <c r="AN25" s="190">
        <v>354</v>
      </c>
      <c r="AO25" s="190">
        <v>369</v>
      </c>
      <c r="AP25" s="190">
        <v>1658</v>
      </c>
      <c r="AQ25" s="190">
        <v>9469</v>
      </c>
      <c r="AR25" s="190">
        <v>11127</v>
      </c>
      <c r="AS25" s="190">
        <v>1658</v>
      </c>
      <c r="AT25" s="190">
        <v>9470</v>
      </c>
      <c r="AU25" s="190">
        <v>11128</v>
      </c>
      <c r="AV25" s="190">
        <v>0</v>
      </c>
      <c r="AW25" s="190">
        <v>-1</v>
      </c>
      <c r="AX25" s="190">
        <v>-1</v>
      </c>
      <c r="AY25" s="190">
        <v>135</v>
      </c>
      <c r="AZ25" s="190">
        <v>700</v>
      </c>
      <c r="BA25" s="190">
        <v>835</v>
      </c>
      <c r="BB25" s="190">
        <v>35</v>
      </c>
      <c r="BC25" s="190">
        <v>0</v>
      </c>
      <c r="BD25" s="190">
        <v>0</v>
      </c>
      <c r="BE25" s="190">
        <v>495</v>
      </c>
      <c r="BF25" s="190">
        <v>5</v>
      </c>
      <c r="BG25" s="190">
        <v>3</v>
      </c>
      <c r="BH25" s="190">
        <v>35</v>
      </c>
      <c r="BI25" s="190">
        <v>503</v>
      </c>
      <c r="BJ25" s="190">
        <v>538</v>
      </c>
      <c r="BK25" s="190">
        <v>64</v>
      </c>
      <c r="BL25" s="190">
        <v>-64</v>
      </c>
      <c r="BM25" s="190">
        <v>0</v>
      </c>
      <c r="BN25" s="190">
        <v>10</v>
      </c>
      <c r="BO25" s="190">
        <v>32</v>
      </c>
      <c r="BP25" s="190">
        <v>42</v>
      </c>
      <c r="BQ25" s="190">
        <v>4</v>
      </c>
      <c r="BR25" s="190">
        <v>102</v>
      </c>
      <c r="BS25" s="190">
        <v>106</v>
      </c>
      <c r="BT25" s="190">
        <v>22</v>
      </c>
      <c r="BU25" s="190">
        <v>127</v>
      </c>
      <c r="BV25" s="190">
        <v>149</v>
      </c>
      <c r="BW25" s="190">
        <v>1793</v>
      </c>
      <c r="BX25" s="190">
        <v>10169</v>
      </c>
      <c r="BY25" s="190">
        <v>11962</v>
      </c>
      <c r="BZ25" s="190">
        <v>1779</v>
      </c>
      <c r="CA25" s="190">
        <v>10096</v>
      </c>
      <c r="CB25" s="190">
        <v>11875</v>
      </c>
      <c r="CC25" s="190">
        <v>28896</v>
      </c>
      <c r="CD25" s="190">
        <v>2</v>
      </c>
      <c r="CE25" s="190">
        <v>79</v>
      </c>
      <c r="CF25" s="190">
        <v>13</v>
      </c>
      <c r="CG25" s="190">
        <v>63</v>
      </c>
      <c r="CH25" s="190">
        <v>76</v>
      </c>
      <c r="CI25" s="190">
        <v>10</v>
      </c>
      <c r="CJ25" s="190">
        <v>9</v>
      </c>
      <c r="CK25" s="190">
        <v>1</v>
      </c>
      <c r="CL25" s="190">
        <v>10</v>
      </c>
      <c r="CM25" s="190">
        <v>11</v>
      </c>
      <c r="CN25" s="190">
        <v>73</v>
      </c>
      <c r="CO25" s="190">
        <v>673</v>
      </c>
      <c r="CP25" s="190">
        <v>746</v>
      </c>
      <c r="CQ25" s="190">
        <v>0</v>
      </c>
      <c r="CR25" s="190">
        <v>1</v>
      </c>
      <c r="CS25" s="190">
        <v>1</v>
      </c>
      <c r="CT25" s="190">
        <v>1720</v>
      </c>
      <c r="CU25" s="190">
        <v>9496</v>
      </c>
      <c r="CV25" s="190">
        <v>11216</v>
      </c>
      <c r="CW25" s="190">
        <v>96</v>
      </c>
      <c r="CX25" s="190">
        <v>504</v>
      </c>
      <c r="CY25" s="190">
        <v>600</v>
      </c>
      <c r="CZ25" s="190">
        <v>96</v>
      </c>
      <c r="DA25" s="190">
        <v>0</v>
      </c>
      <c r="DB25" s="190">
        <v>0</v>
      </c>
      <c r="DC25" s="190">
        <v>496</v>
      </c>
      <c r="DD25" s="190">
        <v>3</v>
      </c>
      <c r="DE25" s="190">
        <v>1</v>
      </c>
      <c r="DF25" s="190">
        <v>96</v>
      </c>
      <c r="DG25" s="190">
        <v>500</v>
      </c>
      <c r="DH25" s="190">
        <v>596</v>
      </c>
      <c r="DI25" s="190">
        <v>0</v>
      </c>
      <c r="DJ25" s="190">
        <v>0</v>
      </c>
      <c r="DK25" s="190">
        <v>0</v>
      </c>
      <c r="DL25" s="190">
        <v>4</v>
      </c>
      <c r="DM25" s="190">
        <v>0</v>
      </c>
      <c r="DN25" s="190">
        <v>0</v>
      </c>
      <c r="DO25" s="190">
        <v>0</v>
      </c>
      <c r="DP25" s="190">
        <v>4</v>
      </c>
      <c r="DQ25" s="190">
        <v>4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466</v>
      </c>
      <c r="C26" s="190">
        <v>114</v>
      </c>
      <c r="D26" s="190">
        <v>450</v>
      </c>
      <c r="E26" s="190">
        <v>308</v>
      </c>
      <c r="F26" s="190">
        <v>0</v>
      </c>
      <c r="G26" s="190">
        <v>0</v>
      </c>
      <c r="H26" s="190">
        <v>0</v>
      </c>
      <c r="I26" s="190">
        <v>0</v>
      </c>
      <c r="J26" s="190">
        <v>117</v>
      </c>
      <c r="K26" s="190">
        <v>117</v>
      </c>
      <c r="L26" s="190">
        <v>0</v>
      </c>
      <c r="M26" s="190">
        <v>50</v>
      </c>
      <c r="N26" s="190">
        <v>50</v>
      </c>
      <c r="O26" s="190">
        <v>0</v>
      </c>
      <c r="P26" s="190">
        <v>67</v>
      </c>
      <c r="Q26" s="190">
        <v>67</v>
      </c>
      <c r="R26" s="190">
        <v>0</v>
      </c>
      <c r="S26" s="190">
        <v>2</v>
      </c>
      <c r="T26" s="190">
        <v>2</v>
      </c>
      <c r="U26" s="190">
        <v>0</v>
      </c>
      <c r="V26" s="190">
        <v>25</v>
      </c>
      <c r="W26" s="190">
        <v>25</v>
      </c>
      <c r="X26" s="190">
        <v>14</v>
      </c>
      <c r="Y26" s="190">
        <v>436</v>
      </c>
      <c r="Z26" s="190">
        <v>450</v>
      </c>
      <c r="AA26" s="190">
        <v>8</v>
      </c>
      <c r="AB26" s="190">
        <v>201</v>
      </c>
      <c r="AC26" s="190">
        <v>209</v>
      </c>
      <c r="AD26" s="190">
        <v>7</v>
      </c>
      <c r="AE26" s="190">
        <v>187</v>
      </c>
      <c r="AF26" s="190">
        <v>194</v>
      </c>
      <c r="AG26" s="190">
        <v>0</v>
      </c>
      <c r="AH26" s="190">
        <v>9</v>
      </c>
      <c r="AI26" s="190">
        <v>9</v>
      </c>
      <c r="AJ26" s="190">
        <v>1</v>
      </c>
      <c r="AK26" s="190">
        <v>5</v>
      </c>
      <c r="AL26" s="190">
        <v>6</v>
      </c>
      <c r="AM26" s="190">
        <v>6</v>
      </c>
      <c r="AN26" s="190">
        <v>235</v>
      </c>
      <c r="AO26" s="190">
        <v>241</v>
      </c>
      <c r="AP26" s="190">
        <v>549</v>
      </c>
      <c r="AQ26" s="190">
        <v>5182</v>
      </c>
      <c r="AR26" s="190">
        <v>5731</v>
      </c>
      <c r="AS26" s="190">
        <v>549</v>
      </c>
      <c r="AT26" s="190">
        <v>5182</v>
      </c>
      <c r="AU26" s="190">
        <v>5731</v>
      </c>
      <c r="AV26" s="190">
        <v>0</v>
      </c>
      <c r="AW26" s="190">
        <v>0</v>
      </c>
      <c r="AX26" s="190">
        <v>0</v>
      </c>
      <c r="AY26" s="190">
        <v>22</v>
      </c>
      <c r="AZ26" s="190">
        <v>484</v>
      </c>
      <c r="BA26" s="190">
        <v>506</v>
      </c>
      <c r="BB26" s="190">
        <v>14</v>
      </c>
      <c r="BC26" s="190">
        <v>0</v>
      </c>
      <c r="BD26" s="190">
        <v>0</v>
      </c>
      <c r="BE26" s="190">
        <v>281</v>
      </c>
      <c r="BF26" s="190">
        <v>8</v>
      </c>
      <c r="BG26" s="190">
        <v>5</v>
      </c>
      <c r="BH26" s="190">
        <v>14</v>
      </c>
      <c r="BI26" s="190">
        <v>294</v>
      </c>
      <c r="BJ26" s="190">
        <v>308</v>
      </c>
      <c r="BK26" s="190">
        <v>-8</v>
      </c>
      <c r="BL26" s="190">
        <v>8</v>
      </c>
      <c r="BM26" s="190">
        <v>0</v>
      </c>
      <c r="BN26" s="190">
        <v>2</v>
      </c>
      <c r="BO26" s="190">
        <v>8</v>
      </c>
      <c r="BP26" s="190">
        <v>10</v>
      </c>
      <c r="BQ26" s="190">
        <v>0</v>
      </c>
      <c r="BR26" s="190">
        <v>60</v>
      </c>
      <c r="BS26" s="190">
        <v>60</v>
      </c>
      <c r="BT26" s="190">
        <v>14</v>
      </c>
      <c r="BU26" s="190">
        <v>114</v>
      </c>
      <c r="BV26" s="190">
        <v>128</v>
      </c>
      <c r="BW26" s="190">
        <v>571</v>
      </c>
      <c r="BX26" s="190">
        <v>5666</v>
      </c>
      <c r="BY26" s="190">
        <v>6237</v>
      </c>
      <c r="BZ26" s="190">
        <v>532</v>
      </c>
      <c r="CA26" s="190">
        <v>5367</v>
      </c>
      <c r="CB26" s="190">
        <v>5899</v>
      </c>
      <c r="CC26" s="190">
        <v>9911</v>
      </c>
      <c r="CD26" s="190">
        <v>7</v>
      </c>
      <c r="CE26" s="190">
        <v>315</v>
      </c>
      <c r="CF26" s="190">
        <v>36</v>
      </c>
      <c r="CG26" s="190">
        <v>233</v>
      </c>
      <c r="CH26" s="190">
        <v>269</v>
      </c>
      <c r="CI26" s="190">
        <v>67</v>
      </c>
      <c r="CJ26" s="190">
        <v>14</v>
      </c>
      <c r="CK26" s="190">
        <v>3</v>
      </c>
      <c r="CL26" s="190">
        <v>66</v>
      </c>
      <c r="CM26" s="190">
        <v>69</v>
      </c>
      <c r="CN26" s="190">
        <v>22</v>
      </c>
      <c r="CO26" s="190">
        <v>538</v>
      </c>
      <c r="CP26" s="190">
        <v>560</v>
      </c>
      <c r="CQ26" s="190">
        <v>0</v>
      </c>
      <c r="CR26" s="190">
        <v>2</v>
      </c>
      <c r="CS26" s="190">
        <v>2</v>
      </c>
      <c r="CT26" s="190">
        <v>549</v>
      </c>
      <c r="CU26" s="190">
        <v>5128</v>
      </c>
      <c r="CV26" s="190">
        <v>5677</v>
      </c>
      <c r="CW26" s="190">
        <v>33</v>
      </c>
      <c r="CX26" s="190">
        <v>228</v>
      </c>
      <c r="CY26" s="190">
        <v>261</v>
      </c>
      <c r="CZ26" s="190">
        <v>33</v>
      </c>
      <c r="DA26" s="190">
        <v>0</v>
      </c>
      <c r="DB26" s="190">
        <v>0</v>
      </c>
      <c r="DC26" s="190">
        <v>210</v>
      </c>
      <c r="DD26" s="190">
        <v>16</v>
      </c>
      <c r="DE26" s="190">
        <v>1</v>
      </c>
      <c r="DF26" s="190">
        <v>33</v>
      </c>
      <c r="DG26" s="190">
        <v>227</v>
      </c>
      <c r="DH26" s="190">
        <v>260</v>
      </c>
      <c r="DI26" s="190">
        <v>0</v>
      </c>
      <c r="DJ26" s="190">
        <v>0</v>
      </c>
      <c r="DK26" s="190">
        <v>0</v>
      </c>
      <c r="DL26" s="190">
        <v>1</v>
      </c>
      <c r="DM26" s="190">
        <v>0</v>
      </c>
      <c r="DN26" s="190">
        <v>0</v>
      </c>
      <c r="DO26" s="190">
        <v>0</v>
      </c>
      <c r="DP26" s="190">
        <v>1</v>
      </c>
      <c r="DQ26" s="190">
        <v>1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93</v>
      </c>
      <c r="C27" s="190">
        <v>23</v>
      </c>
      <c r="D27" s="190">
        <v>82</v>
      </c>
      <c r="E27" s="190">
        <v>47</v>
      </c>
      <c r="F27" s="190">
        <v>1</v>
      </c>
      <c r="G27" s="190">
        <v>6</v>
      </c>
      <c r="H27" s="190">
        <v>7</v>
      </c>
      <c r="I27" s="190">
        <v>0</v>
      </c>
      <c r="J27" s="190">
        <v>30</v>
      </c>
      <c r="K27" s="190">
        <v>30</v>
      </c>
      <c r="L27" s="190">
        <v>0</v>
      </c>
      <c r="M27" s="190">
        <v>10</v>
      </c>
      <c r="N27" s="190">
        <v>10</v>
      </c>
      <c r="O27" s="190">
        <v>0</v>
      </c>
      <c r="P27" s="190">
        <v>20</v>
      </c>
      <c r="Q27" s="190">
        <v>20</v>
      </c>
      <c r="R27" s="190">
        <v>0</v>
      </c>
      <c r="S27" s="190">
        <v>0</v>
      </c>
      <c r="T27" s="190">
        <v>0</v>
      </c>
      <c r="U27" s="190">
        <v>0</v>
      </c>
      <c r="V27" s="190">
        <v>5</v>
      </c>
      <c r="W27" s="190">
        <v>5</v>
      </c>
      <c r="X27" s="190">
        <v>4</v>
      </c>
      <c r="Y27" s="190">
        <v>78</v>
      </c>
      <c r="Z27" s="190">
        <v>82</v>
      </c>
      <c r="AA27" s="190">
        <v>3</v>
      </c>
      <c r="AB27" s="190">
        <v>32</v>
      </c>
      <c r="AC27" s="190">
        <v>35</v>
      </c>
      <c r="AD27" s="190">
        <v>2</v>
      </c>
      <c r="AE27" s="190">
        <v>12</v>
      </c>
      <c r="AF27" s="190">
        <v>14</v>
      </c>
      <c r="AG27" s="190">
        <v>1</v>
      </c>
      <c r="AH27" s="190">
        <v>11</v>
      </c>
      <c r="AI27" s="190">
        <v>12</v>
      </c>
      <c r="AJ27" s="190">
        <v>0</v>
      </c>
      <c r="AK27" s="190">
        <v>9</v>
      </c>
      <c r="AL27" s="190">
        <v>9</v>
      </c>
      <c r="AM27" s="190">
        <v>1</v>
      </c>
      <c r="AN27" s="190">
        <v>46</v>
      </c>
      <c r="AO27" s="190">
        <v>47</v>
      </c>
      <c r="AP27" s="190">
        <v>82</v>
      </c>
      <c r="AQ27" s="190">
        <v>864</v>
      </c>
      <c r="AR27" s="190">
        <v>946</v>
      </c>
      <c r="AS27" s="190">
        <v>82</v>
      </c>
      <c r="AT27" s="190">
        <v>864</v>
      </c>
      <c r="AU27" s="190">
        <v>946</v>
      </c>
      <c r="AV27" s="190">
        <v>0</v>
      </c>
      <c r="AW27" s="190">
        <v>0</v>
      </c>
      <c r="AX27" s="190">
        <v>0</v>
      </c>
      <c r="AY27" s="190">
        <v>9</v>
      </c>
      <c r="AZ27" s="190">
        <v>64</v>
      </c>
      <c r="BA27" s="190">
        <v>73</v>
      </c>
      <c r="BB27" s="190">
        <v>5</v>
      </c>
      <c r="BC27" s="190">
        <v>0</v>
      </c>
      <c r="BD27" s="190">
        <v>0</v>
      </c>
      <c r="BE27" s="190">
        <v>42</v>
      </c>
      <c r="BF27" s="190">
        <v>0</v>
      </c>
      <c r="BG27" s="190">
        <v>0</v>
      </c>
      <c r="BH27" s="190">
        <v>5</v>
      </c>
      <c r="BI27" s="190">
        <v>42</v>
      </c>
      <c r="BJ27" s="190">
        <v>47</v>
      </c>
      <c r="BK27" s="190">
        <v>3</v>
      </c>
      <c r="BL27" s="190">
        <v>-3</v>
      </c>
      <c r="BM27" s="190">
        <v>0</v>
      </c>
      <c r="BN27" s="190">
        <v>0</v>
      </c>
      <c r="BO27" s="190">
        <v>2</v>
      </c>
      <c r="BP27" s="190">
        <v>2</v>
      </c>
      <c r="BQ27" s="190">
        <v>0</v>
      </c>
      <c r="BR27" s="190">
        <v>8</v>
      </c>
      <c r="BS27" s="190">
        <v>8</v>
      </c>
      <c r="BT27" s="190">
        <v>1</v>
      </c>
      <c r="BU27" s="190">
        <v>15</v>
      </c>
      <c r="BV27" s="190">
        <v>16</v>
      </c>
      <c r="BW27" s="190">
        <v>91</v>
      </c>
      <c r="BX27" s="190">
        <v>928</v>
      </c>
      <c r="BY27" s="190">
        <v>1019</v>
      </c>
      <c r="BZ27" s="190">
        <v>90</v>
      </c>
      <c r="CA27" s="190">
        <v>924</v>
      </c>
      <c r="CB27" s="190">
        <v>1014</v>
      </c>
      <c r="CC27" s="190">
        <v>1871</v>
      </c>
      <c r="CD27" s="190">
        <v>0</v>
      </c>
      <c r="CE27" s="190">
        <v>3</v>
      </c>
      <c r="CF27" s="190">
        <v>0</v>
      </c>
      <c r="CG27" s="190">
        <v>3</v>
      </c>
      <c r="CH27" s="190">
        <v>3</v>
      </c>
      <c r="CI27" s="190">
        <v>2</v>
      </c>
      <c r="CJ27" s="190">
        <v>0</v>
      </c>
      <c r="CK27" s="190">
        <v>1</v>
      </c>
      <c r="CL27" s="190">
        <v>1</v>
      </c>
      <c r="CM27" s="190">
        <v>2</v>
      </c>
      <c r="CN27" s="190">
        <v>3</v>
      </c>
      <c r="CO27" s="190">
        <v>94</v>
      </c>
      <c r="CP27" s="190">
        <v>97</v>
      </c>
      <c r="CQ27" s="190">
        <v>0</v>
      </c>
      <c r="CR27" s="190">
        <v>2</v>
      </c>
      <c r="CS27" s="190">
        <v>2</v>
      </c>
      <c r="CT27" s="190">
        <v>88</v>
      </c>
      <c r="CU27" s="190">
        <v>834</v>
      </c>
      <c r="CV27" s="190">
        <v>922</v>
      </c>
      <c r="CW27" s="190">
        <v>6</v>
      </c>
      <c r="CX27" s="190">
        <v>41</v>
      </c>
      <c r="CY27" s="190">
        <v>47</v>
      </c>
      <c r="CZ27" s="190">
        <v>6</v>
      </c>
      <c r="DA27" s="190">
        <v>0</v>
      </c>
      <c r="DB27" s="190">
        <v>0</v>
      </c>
      <c r="DC27" s="190">
        <v>41</v>
      </c>
      <c r="DD27" s="190">
        <v>0</v>
      </c>
      <c r="DE27" s="190">
        <v>0</v>
      </c>
      <c r="DF27" s="190">
        <v>6</v>
      </c>
      <c r="DG27" s="190">
        <v>41</v>
      </c>
      <c r="DH27" s="190">
        <v>47</v>
      </c>
      <c r="DI27" s="190">
        <v>0</v>
      </c>
      <c r="DJ27" s="190">
        <v>0</v>
      </c>
      <c r="DK27" s="190">
        <v>0</v>
      </c>
      <c r="DL27" s="190">
        <v>0</v>
      </c>
      <c r="DM27" s="190">
        <v>0</v>
      </c>
      <c r="DN27" s="190">
        <v>0</v>
      </c>
      <c r="DO27" s="190">
        <v>0</v>
      </c>
      <c r="DP27" s="190">
        <v>0</v>
      </c>
      <c r="DQ27" s="190">
        <v>0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539</v>
      </c>
      <c r="C28" s="190">
        <v>77</v>
      </c>
      <c r="D28" s="190">
        <v>478</v>
      </c>
      <c r="E28" s="190">
        <v>390</v>
      </c>
      <c r="F28" s="190">
        <v>0</v>
      </c>
      <c r="G28" s="190">
        <v>11</v>
      </c>
      <c r="H28" s="190">
        <v>11</v>
      </c>
      <c r="I28" s="190">
        <v>0</v>
      </c>
      <c r="J28" s="190">
        <v>80</v>
      </c>
      <c r="K28" s="190">
        <v>80</v>
      </c>
      <c r="L28" s="190">
        <v>0</v>
      </c>
      <c r="M28" s="190">
        <v>31</v>
      </c>
      <c r="N28" s="190">
        <v>31</v>
      </c>
      <c r="O28" s="190">
        <v>0</v>
      </c>
      <c r="P28" s="190">
        <v>49</v>
      </c>
      <c r="Q28" s="190">
        <v>49</v>
      </c>
      <c r="R28" s="190">
        <v>0</v>
      </c>
      <c r="S28" s="190">
        <v>5</v>
      </c>
      <c r="T28" s="190">
        <v>5</v>
      </c>
      <c r="U28" s="190">
        <v>0</v>
      </c>
      <c r="V28" s="190">
        <v>8</v>
      </c>
      <c r="W28" s="190">
        <v>8</v>
      </c>
      <c r="X28" s="190">
        <v>23</v>
      </c>
      <c r="Y28" s="190">
        <v>454</v>
      </c>
      <c r="Z28" s="190">
        <v>477</v>
      </c>
      <c r="AA28" s="190">
        <v>11</v>
      </c>
      <c r="AB28" s="190">
        <v>274</v>
      </c>
      <c r="AC28" s="190">
        <v>285</v>
      </c>
      <c r="AD28" s="190">
        <v>11</v>
      </c>
      <c r="AE28" s="190">
        <v>257</v>
      </c>
      <c r="AF28" s="190">
        <v>268</v>
      </c>
      <c r="AG28" s="190">
        <v>0</v>
      </c>
      <c r="AH28" s="190">
        <v>11</v>
      </c>
      <c r="AI28" s="190">
        <v>11</v>
      </c>
      <c r="AJ28" s="190">
        <v>0</v>
      </c>
      <c r="AK28" s="190">
        <v>6</v>
      </c>
      <c r="AL28" s="190">
        <v>6</v>
      </c>
      <c r="AM28" s="190">
        <v>12</v>
      </c>
      <c r="AN28" s="190">
        <v>180</v>
      </c>
      <c r="AO28" s="190">
        <v>192</v>
      </c>
      <c r="AP28" s="190">
        <v>527</v>
      </c>
      <c r="AQ28" s="190">
        <v>5298</v>
      </c>
      <c r="AR28" s="190">
        <v>5825</v>
      </c>
      <c r="AS28" s="190">
        <v>527</v>
      </c>
      <c r="AT28" s="190">
        <v>5298</v>
      </c>
      <c r="AU28" s="190">
        <v>5825</v>
      </c>
      <c r="AV28" s="190">
        <v>0</v>
      </c>
      <c r="AW28" s="190">
        <v>0</v>
      </c>
      <c r="AX28" s="190">
        <v>0</v>
      </c>
      <c r="AY28" s="190">
        <v>35</v>
      </c>
      <c r="AZ28" s="190">
        <v>569</v>
      </c>
      <c r="BA28" s="190">
        <v>604</v>
      </c>
      <c r="BB28" s="190">
        <v>24</v>
      </c>
      <c r="BC28" s="190">
        <v>0</v>
      </c>
      <c r="BD28" s="190">
        <v>0</v>
      </c>
      <c r="BE28" s="190">
        <v>363</v>
      </c>
      <c r="BF28" s="190">
        <v>3</v>
      </c>
      <c r="BG28" s="190">
        <v>0</v>
      </c>
      <c r="BH28" s="190">
        <v>24</v>
      </c>
      <c r="BI28" s="190">
        <v>366</v>
      </c>
      <c r="BJ28" s="190">
        <v>390</v>
      </c>
      <c r="BK28" s="190">
        <v>-4</v>
      </c>
      <c r="BL28" s="190">
        <v>4</v>
      </c>
      <c r="BM28" s="190">
        <v>0</v>
      </c>
      <c r="BN28" s="190">
        <v>0</v>
      </c>
      <c r="BO28" s="190">
        <v>10</v>
      </c>
      <c r="BP28" s="190">
        <v>10</v>
      </c>
      <c r="BQ28" s="190">
        <v>4</v>
      </c>
      <c r="BR28" s="190">
        <v>78</v>
      </c>
      <c r="BS28" s="190">
        <v>82</v>
      </c>
      <c r="BT28" s="190">
        <v>11</v>
      </c>
      <c r="BU28" s="190">
        <v>111</v>
      </c>
      <c r="BV28" s="190">
        <v>122</v>
      </c>
      <c r="BW28" s="190">
        <v>562</v>
      </c>
      <c r="BX28" s="190">
        <v>5867</v>
      </c>
      <c r="BY28" s="190">
        <v>6429</v>
      </c>
      <c r="BZ28" s="190">
        <v>554</v>
      </c>
      <c r="CA28" s="190">
        <v>5828</v>
      </c>
      <c r="CB28" s="190">
        <v>6382</v>
      </c>
      <c r="CC28" s="190">
        <v>11986</v>
      </c>
      <c r="CD28" s="190">
        <v>2</v>
      </c>
      <c r="CE28" s="190">
        <v>39</v>
      </c>
      <c r="CF28" s="190">
        <v>7</v>
      </c>
      <c r="CG28" s="190">
        <v>30</v>
      </c>
      <c r="CH28" s="190">
        <v>37</v>
      </c>
      <c r="CI28" s="190">
        <v>11</v>
      </c>
      <c r="CJ28" s="190">
        <v>1</v>
      </c>
      <c r="CK28" s="190">
        <v>1</v>
      </c>
      <c r="CL28" s="190">
        <v>9</v>
      </c>
      <c r="CM28" s="190">
        <v>10</v>
      </c>
      <c r="CN28" s="190">
        <v>28</v>
      </c>
      <c r="CO28" s="190">
        <v>654</v>
      </c>
      <c r="CP28" s="190">
        <v>682</v>
      </c>
      <c r="CQ28" s="190">
        <v>0</v>
      </c>
      <c r="CR28" s="190">
        <v>0</v>
      </c>
      <c r="CS28" s="190">
        <v>0</v>
      </c>
      <c r="CT28" s="190">
        <v>534</v>
      </c>
      <c r="CU28" s="190">
        <v>5213</v>
      </c>
      <c r="CV28" s="190">
        <v>5747</v>
      </c>
      <c r="CW28" s="190">
        <v>39</v>
      </c>
      <c r="CX28" s="190">
        <v>198</v>
      </c>
      <c r="CY28" s="190">
        <v>237</v>
      </c>
      <c r="CZ28" s="190">
        <v>38</v>
      </c>
      <c r="DA28" s="190">
        <v>1</v>
      </c>
      <c r="DB28" s="190">
        <v>0</v>
      </c>
      <c r="DC28" s="190">
        <v>195</v>
      </c>
      <c r="DD28" s="190">
        <v>3</v>
      </c>
      <c r="DE28" s="190">
        <v>0</v>
      </c>
      <c r="DF28" s="190">
        <v>39</v>
      </c>
      <c r="DG28" s="190">
        <v>198</v>
      </c>
      <c r="DH28" s="190">
        <v>237</v>
      </c>
      <c r="DI28" s="190">
        <v>0</v>
      </c>
      <c r="DJ28" s="190">
        <v>0</v>
      </c>
      <c r="DK28" s="190">
        <v>0</v>
      </c>
      <c r="DL28" s="190">
        <v>0</v>
      </c>
      <c r="DM28" s="190">
        <v>0</v>
      </c>
      <c r="DN28" s="190">
        <v>0</v>
      </c>
      <c r="DO28" s="190">
        <v>0</v>
      </c>
      <c r="DP28" s="190">
        <v>0</v>
      </c>
      <c r="DQ28" s="190">
        <v>0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1787</v>
      </c>
      <c r="C29" s="190">
        <v>278</v>
      </c>
      <c r="D29" s="190">
        <v>1757</v>
      </c>
      <c r="E29" s="190">
        <v>1116</v>
      </c>
      <c r="F29" s="190">
        <v>5</v>
      </c>
      <c r="G29" s="190">
        <v>82</v>
      </c>
      <c r="H29" s="190">
        <v>87</v>
      </c>
      <c r="I29" s="190">
        <v>0</v>
      </c>
      <c r="J29" s="190">
        <v>529</v>
      </c>
      <c r="K29" s="190">
        <v>529</v>
      </c>
      <c r="L29" s="190">
        <v>0</v>
      </c>
      <c r="M29" s="190">
        <v>225</v>
      </c>
      <c r="N29" s="190">
        <v>225</v>
      </c>
      <c r="O29" s="190">
        <v>0</v>
      </c>
      <c r="P29" s="190">
        <v>304</v>
      </c>
      <c r="Q29" s="190">
        <v>304</v>
      </c>
      <c r="R29" s="190">
        <v>0</v>
      </c>
      <c r="S29" s="190">
        <v>33</v>
      </c>
      <c r="T29" s="190">
        <v>33</v>
      </c>
      <c r="U29" s="190">
        <v>0</v>
      </c>
      <c r="V29" s="190">
        <v>112</v>
      </c>
      <c r="W29" s="190">
        <v>112</v>
      </c>
      <c r="X29" s="190">
        <v>59</v>
      </c>
      <c r="Y29" s="190">
        <v>1697</v>
      </c>
      <c r="Z29" s="190">
        <v>1756</v>
      </c>
      <c r="AA29" s="190">
        <v>33</v>
      </c>
      <c r="AB29" s="190">
        <v>691</v>
      </c>
      <c r="AC29" s="190">
        <v>724</v>
      </c>
      <c r="AD29" s="190">
        <v>31</v>
      </c>
      <c r="AE29" s="190">
        <v>667</v>
      </c>
      <c r="AF29" s="190">
        <v>698</v>
      </c>
      <c r="AG29" s="190">
        <v>0</v>
      </c>
      <c r="AH29" s="190">
        <v>13</v>
      </c>
      <c r="AI29" s="190">
        <v>13</v>
      </c>
      <c r="AJ29" s="190">
        <v>2</v>
      </c>
      <c r="AK29" s="190">
        <v>11</v>
      </c>
      <c r="AL29" s="190">
        <v>13</v>
      </c>
      <c r="AM29" s="190">
        <v>26</v>
      </c>
      <c r="AN29" s="190">
        <v>1006</v>
      </c>
      <c r="AO29" s="190">
        <v>1032</v>
      </c>
      <c r="AP29" s="190">
        <v>3500</v>
      </c>
      <c r="AQ29" s="190">
        <v>18608</v>
      </c>
      <c r="AR29" s="190">
        <v>22108</v>
      </c>
      <c r="AS29" s="190">
        <v>3500</v>
      </c>
      <c r="AT29" s="190">
        <v>18608</v>
      </c>
      <c r="AU29" s="190">
        <v>22108</v>
      </c>
      <c r="AV29" s="190">
        <v>0</v>
      </c>
      <c r="AW29" s="190">
        <v>0</v>
      </c>
      <c r="AX29" s="190">
        <v>0</v>
      </c>
      <c r="AY29" s="190">
        <v>214</v>
      </c>
      <c r="AZ29" s="190">
        <v>1774</v>
      </c>
      <c r="BA29" s="190">
        <v>1988</v>
      </c>
      <c r="BB29" s="190">
        <v>68</v>
      </c>
      <c r="BC29" s="190">
        <v>0</v>
      </c>
      <c r="BD29" s="190">
        <v>0</v>
      </c>
      <c r="BE29" s="190">
        <v>1043</v>
      </c>
      <c r="BF29" s="190">
        <v>3</v>
      </c>
      <c r="BG29" s="190">
        <v>2</v>
      </c>
      <c r="BH29" s="190">
        <v>68</v>
      </c>
      <c r="BI29" s="190">
        <v>1048</v>
      </c>
      <c r="BJ29" s="190">
        <v>1116</v>
      </c>
      <c r="BK29" s="190">
        <v>54</v>
      </c>
      <c r="BL29" s="190">
        <v>-54</v>
      </c>
      <c r="BM29" s="190">
        <v>0</v>
      </c>
      <c r="BN29" s="190">
        <v>8</v>
      </c>
      <c r="BO29" s="190">
        <v>34</v>
      </c>
      <c r="BP29" s="190">
        <v>42</v>
      </c>
      <c r="BQ29" s="190">
        <v>22</v>
      </c>
      <c r="BR29" s="190">
        <v>244</v>
      </c>
      <c r="BS29" s="190">
        <v>266</v>
      </c>
      <c r="BT29" s="190">
        <v>62</v>
      </c>
      <c r="BU29" s="190">
        <v>502</v>
      </c>
      <c r="BV29" s="190">
        <v>564</v>
      </c>
      <c r="BW29" s="190">
        <v>3714</v>
      </c>
      <c r="BX29" s="190">
        <v>20382</v>
      </c>
      <c r="BY29" s="190">
        <v>24096</v>
      </c>
      <c r="BZ29" s="190">
        <v>3695</v>
      </c>
      <c r="CA29" s="190">
        <v>20287</v>
      </c>
      <c r="CB29" s="190">
        <v>23982</v>
      </c>
      <c r="CC29" s="190">
        <v>55706</v>
      </c>
      <c r="CD29" s="190">
        <v>3</v>
      </c>
      <c r="CE29" s="190">
        <v>111</v>
      </c>
      <c r="CF29" s="190">
        <v>18</v>
      </c>
      <c r="CG29" s="190">
        <v>85</v>
      </c>
      <c r="CH29" s="190">
        <v>103</v>
      </c>
      <c r="CI29" s="190">
        <v>11</v>
      </c>
      <c r="CJ29" s="190">
        <v>1</v>
      </c>
      <c r="CK29" s="190">
        <v>1</v>
      </c>
      <c r="CL29" s="190">
        <v>10</v>
      </c>
      <c r="CM29" s="190">
        <v>11</v>
      </c>
      <c r="CN29" s="190">
        <v>134</v>
      </c>
      <c r="CO29" s="190">
        <v>1571</v>
      </c>
      <c r="CP29" s="190">
        <v>1705</v>
      </c>
      <c r="CQ29" s="190">
        <v>0</v>
      </c>
      <c r="CR29" s="190">
        <v>30</v>
      </c>
      <c r="CS29" s="190">
        <v>30</v>
      </c>
      <c r="CT29" s="190">
        <v>3580</v>
      </c>
      <c r="CU29" s="190">
        <v>18811</v>
      </c>
      <c r="CV29" s="190">
        <v>22391</v>
      </c>
      <c r="CW29" s="190">
        <v>190</v>
      </c>
      <c r="CX29" s="190">
        <v>1031</v>
      </c>
      <c r="CY29" s="190">
        <v>1221</v>
      </c>
      <c r="CZ29" s="190">
        <v>189</v>
      </c>
      <c r="DA29" s="190">
        <v>1</v>
      </c>
      <c r="DB29" s="190">
        <v>0</v>
      </c>
      <c r="DC29" s="190">
        <v>1012</v>
      </c>
      <c r="DD29" s="190">
        <v>7</v>
      </c>
      <c r="DE29" s="190">
        <v>0</v>
      </c>
      <c r="DF29" s="190">
        <v>190</v>
      </c>
      <c r="DG29" s="190">
        <v>1019</v>
      </c>
      <c r="DH29" s="190">
        <v>1209</v>
      </c>
      <c r="DI29" s="190">
        <v>0</v>
      </c>
      <c r="DJ29" s="190">
        <v>0</v>
      </c>
      <c r="DK29" s="190">
        <v>0</v>
      </c>
      <c r="DL29" s="190">
        <v>12</v>
      </c>
      <c r="DM29" s="190">
        <v>0</v>
      </c>
      <c r="DN29" s="190">
        <v>0</v>
      </c>
      <c r="DO29" s="190">
        <v>0</v>
      </c>
      <c r="DP29" s="190">
        <v>12</v>
      </c>
      <c r="DQ29" s="190">
        <v>12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63</v>
      </c>
      <c r="C30" s="190">
        <v>7</v>
      </c>
      <c r="D30" s="190">
        <v>60</v>
      </c>
      <c r="E30" s="190">
        <v>44</v>
      </c>
      <c r="F30" s="190">
        <v>0</v>
      </c>
      <c r="G30" s="190">
        <v>1</v>
      </c>
      <c r="H30" s="190">
        <v>1</v>
      </c>
      <c r="I30" s="190">
        <v>0</v>
      </c>
      <c r="J30" s="190">
        <v>16</v>
      </c>
      <c r="K30" s="190">
        <v>16</v>
      </c>
      <c r="L30" s="190">
        <v>0</v>
      </c>
      <c r="M30" s="190">
        <v>7</v>
      </c>
      <c r="N30" s="190">
        <v>7</v>
      </c>
      <c r="O30" s="190">
        <v>0</v>
      </c>
      <c r="P30" s="190">
        <v>9</v>
      </c>
      <c r="Q30" s="190">
        <v>9</v>
      </c>
      <c r="R30" s="190">
        <v>0</v>
      </c>
      <c r="S30" s="190">
        <v>2</v>
      </c>
      <c r="T30" s="190">
        <v>2</v>
      </c>
      <c r="U30" s="190">
        <v>0</v>
      </c>
      <c r="V30" s="190">
        <v>0</v>
      </c>
      <c r="W30" s="190">
        <v>0</v>
      </c>
      <c r="X30" s="190">
        <v>2</v>
      </c>
      <c r="Y30" s="190">
        <v>58</v>
      </c>
      <c r="Z30" s="190">
        <v>60</v>
      </c>
      <c r="AA30" s="190">
        <v>2</v>
      </c>
      <c r="AB30" s="190">
        <v>35</v>
      </c>
      <c r="AC30" s="190">
        <v>37</v>
      </c>
      <c r="AD30" s="190">
        <v>1</v>
      </c>
      <c r="AE30" s="190">
        <v>33</v>
      </c>
      <c r="AF30" s="190">
        <v>34</v>
      </c>
      <c r="AG30" s="190">
        <v>1</v>
      </c>
      <c r="AH30" s="190">
        <v>2</v>
      </c>
      <c r="AI30" s="190">
        <v>3</v>
      </c>
      <c r="AJ30" s="190">
        <v>0</v>
      </c>
      <c r="AK30" s="190">
        <v>0</v>
      </c>
      <c r="AL30" s="190">
        <v>0</v>
      </c>
      <c r="AM30" s="190">
        <v>0</v>
      </c>
      <c r="AN30" s="190">
        <v>23</v>
      </c>
      <c r="AO30" s="190">
        <v>23</v>
      </c>
      <c r="AP30" s="190">
        <v>67</v>
      </c>
      <c r="AQ30" s="190">
        <v>421</v>
      </c>
      <c r="AR30" s="190">
        <v>488</v>
      </c>
      <c r="AS30" s="190">
        <v>67</v>
      </c>
      <c r="AT30" s="190">
        <v>421</v>
      </c>
      <c r="AU30" s="190">
        <v>488</v>
      </c>
      <c r="AV30" s="190">
        <v>0</v>
      </c>
      <c r="AW30" s="190">
        <v>0</v>
      </c>
      <c r="AX30" s="190">
        <v>0</v>
      </c>
      <c r="AY30" s="190">
        <v>8</v>
      </c>
      <c r="AZ30" s="190">
        <v>67</v>
      </c>
      <c r="BA30" s="190">
        <v>75</v>
      </c>
      <c r="BB30" s="190">
        <v>1</v>
      </c>
      <c r="BC30" s="190">
        <v>0</v>
      </c>
      <c r="BD30" s="190">
        <v>0</v>
      </c>
      <c r="BE30" s="190">
        <v>43</v>
      </c>
      <c r="BF30" s="190">
        <v>0</v>
      </c>
      <c r="BG30" s="190">
        <v>0</v>
      </c>
      <c r="BH30" s="190">
        <v>1</v>
      </c>
      <c r="BI30" s="190">
        <v>43</v>
      </c>
      <c r="BJ30" s="190">
        <v>44</v>
      </c>
      <c r="BK30" s="190">
        <v>0</v>
      </c>
      <c r="BL30" s="190">
        <v>0</v>
      </c>
      <c r="BM30" s="190">
        <v>0</v>
      </c>
      <c r="BN30" s="190">
        <v>2</v>
      </c>
      <c r="BO30" s="190">
        <v>2</v>
      </c>
      <c r="BP30" s="190">
        <v>4</v>
      </c>
      <c r="BQ30" s="190">
        <v>0</v>
      </c>
      <c r="BR30" s="190">
        <v>1</v>
      </c>
      <c r="BS30" s="190">
        <v>1</v>
      </c>
      <c r="BT30" s="190">
        <v>5</v>
      </c>
      <c r="BU30" s="190">
        <v>21</v>
      </c>
      <c r="BV30" s="190">
        <v>26</v>
      </c>
      <c r="BW30" s="190">
        <v>75</v>
      </c>
      <c r="BX30" s="190">
        <v>488</v>
      </c>
      <c r="BY30" s="190">
        <v>563</v>
      </c>
      <c r="BZ30" s="190">
        <v>74</v>
      </c>
      <c r="CA30" s="190">
        <v>487</v>
      </c>
      <c r="CB30" s="190">
        <v>561</v>
      </c>
      <c r="CC30" s="190">
        <v>1188</v>
      </c>
      <c r="CD30" s="190">
        <v>0</v>
      </c>
      <c r="CE30" s="190">
        <v>1</v>
      </c>
      <c r="CF30" s="190">
        <v>1</v>
      </c>
      <c r="CG30" s="190">
        <v>0</v>
      </c>
      <c r="CH30" s="190">
        <v>1</v>
      </c>
      <c r="CI30" s="190">
        <v>2</v>
      </c>
      <c r="CJ30" s="190">
        <v>0</v>
      </c>
      <c r="CK30" s="190">
        <v>0</v>
      </c>
      <c r="CL30" s="190">
        <v>1</v>
      </c>
      <c r="CM30" s="190">
        <v>1</v>
      </c>
      <c r="CN30" s="190">
        <v>3</v>
      </c>
      <c r="CO30" s="190">
        <v>51</v>
      </c>
      <c r="CP30" s="190">
        <v>54</v>
      </c>
      <c r="CQ30" s="190">
        <v>0</v>
      </c>
      <c r="CR30" s="190">
        <v>1</v>
      </c>
      <c r="CS30" s="190">
        <v>1</v>
      </c>
      <c r="CT30" s="190">
        <v>72</v>
      </c>
      <c r="CU30" s="190">
        <v>437</v>
      </c>
      <c r="CV30" s="190">
        <v>509</v>
      </c>
      <c r="CW30" s="190">
        <v>5</v>
      </c>
      <c r="CX30" s="190">
        <v>26</v>
      </c>
      <c r="CY30" s="190">
        <v>31</v>
      </c>
      <c r="CZ30" s="190">
        <v>4</v>
      </c>
      <c r="DA30" s="190">
        <v>1</v>
      </c>
      <c r="DB30" s="190">
        <v>0</v>
      </c>
      <c r="DC30" s="190">
        <v>26</v>
      </c>
      <c r="DD30" s="190">
        <v>0</v>
      </c>
      <c r="DE30" s="190">
        <v>0</v>
      </c>
      <c r="DF30" s="190">
        <v>5</v>
      </c>
      <c r="DG30" s="190">
        <v>26</v>
      </c>
      <c r="DH30" s="190">
        <v>31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37</v>
      </c>
      <c r="C31" s="190">
        <v>11</v>
      </c>
      <c r="D31" s="190">
        <v>32</v>
      </c>
      <c r="E31" s="190">
        <v>20</v>
      </c>
      <c r="F31" s="190">
        <v>0</v>
      </c>
      <c r="G31" s="190">
        <v>0</v>
      </c>
      <c r="H31" s="190">
        <v>0</v>
      </c>
      <c r="I31" s="190">
        <v>0</v>
      </c>
      <c r="J31" s="190">
        <v>11</v>
      </c>
      <c r="K31" s="190">
        <v>11</v>
      </c>
      <c r="L31" s="190">
        <v>0</v>
      </c>
      <c r="M31" s="190">
        <v>5</v>
      </c>
      <c r="N31" s="190">
        <v>5</v>
      </c>
      <c r="O31" s="190">
        <v>0</v>
      </c>
      <c r="P31" s="190">
        <v>6</v>
      </c>
      <c r="Q31" s="190">
        <v>6</v>
      </c>
      <c r="R31" s="190">
        <v>0</v>
      </c>
      <c r="S31" s="190">
        <v>0</v>
      </c>
      <c r="T31" s="190">
        <v>0</v>
      </c>
      <c r="U31" s="190">
        <v>0</v>
      </c>
      <c r="V31" s="190">
        <v>1</v>
      </c>
      <c r="W31" s="190">
        <v>1</v>
      </c>
      <c r="X31" s="190">
        <v>0</v>
      </c>
      <c r="Y31" s="190">
        <v>32</v>
      </c>
      <c r="Z31" s="190">
        <v>32</v>
      </c>
      <c r="AA31" s="190">
        <v>0</v>
      </c>
      <c r="AB31" s="190">
        <v>11</v>
      </c>
      <c r="AC31" s="190">
        <v>11</v>
      </c>
      <c r="AD31" s="190">
        <v>0</v>
      </c>
      <c r="AE31" s="190">
        <v>10</v>
      </c>
      <c r="AF31" s="190">
        <v>10</v>
      </c>
      <c r="AG31" s="190">
        <v>0</v>
      </c>
      <c r="AH31" s="190">
        <v>1</v>
      </c>
      <c r="AI31" s="190">
        <v>1</v>
      </c>
      <c r="AJ31" s="190">
        <v>0</v>
      </c>
      <c r="AK31" s="190">
        <v>0</v>
      </c>
      <c r="AL31" s="190">
        <v>0</v>
      </c>
      <c r="AM31" s="190">
        <v>0</v>
      </c>
      <c r="AN31" s="190">
        <v>21</v>
      </c>
      <c r="AO31" s="190">
        <v>21</v>
      </c>
      <c r="AP31" s="190">
        <v>12</v>
      </c>
      <c r="AQ31" s="190">
        <v>429</v>
      </c>
      <c r="AR31" s="190">
        <v>441</v>
      </c>
      <c r="AS31" s="190">
        <v>12</v>
      </c>
      <c r="AT31" s="190">
        <v>429</v>
      </c>
      <c r="AU31" s="190">
        <v>441</v>
      </c>
      <c r="AV31" s="190">
        <v>0</v>
      </c>
      <c r="AW31" s="190">
        <v>0</v>
      </c>
      <c r="AX31" s="190">
        <v>0</v>
      </c>
      <c r="AY31" s="190">
        <v>0</v>
      </c>
      <c r="AZ31" s="190">
        <v>30</v>
      </c>
      <c r="BA31" s="190">
        <v>30</v>
      </c>
      <c r="BB31" s="190">
        <v>0</v>
      </c>
      <c r="BC31" s="190">
        <v>0</v>
      </c>
      <c r="BD31" s="190">
        <v>0</v>
      </c>
      <c r="BE31" s="190">
        <v>20</v>
      </c>
      <c r="BF31" s="190">
        <v>0</v>
      </c>
      <c r="BG31" s="190">
        <v>0</v>
      </c>
      <c r="BH31" s="190">
        <v>0</v>
      </c>
      <c r="BI31" s="190">
        <v>20</v>
      </c>
      <c r="BJ31" s="190">
        <v>20</v>
      </c>
      <c r="BK31" s="190">
        <v>0</v>
      </c>
      <c r="BL31" s="190">
        <v>0</v>
      </c>
      <c r="BM31" s="190">
        <v>0</v>
      </c>
      <c r="BN31" s="190">
        <v>0</v>
      </c>
      <c r="BO31" s="190">
        <v>2</v>
      </c>
      <c r="BP31" s="190">
        <v>2</v>
      </c>
      <c r="BQ31" s="190">
        <v>0</v>
      </c>
      <c r="BR31" s="190">
        <v>0</v>
      </c>
      <c r="BS31" s="190">
        <v>0</v>
      </c>
      <c r="BT31" s="190">
        <v>0</v>
      </c>
      <c r="BU31" s="190">
        <v>8</v>
      </c>
      <c r="BV31" s="190">
        <v>8</v>
      </c>
      <c r="BW31" s="190">
        <v>12</v>
      </c>
      <c r="BX31" s="190">
        <v>459</v>
      </c>
      <c r="BY31" s="190">
        <v>471</v>
      </c>
      <c r="BZ31" s="190">
        <v>12</v>
      </c>
      <c r="CA31" s="190">
        <v>456</v>
      </c>
      <c r="CB31" s="190">
        <v>468</v>
      </c>
      <c r="CC31" s="190">
        <v>779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2</v>
      </c>
      <c r="CO31" s="190">
        <v>41</v>
      </c>
      <c r="CP31" s="190">
        <v>43</v>
      </c>
      <c r="CQ31" s="190">
        <v>0</v>
      </c>
      <c r="CR31" s="190">
        <v>0</v>
      </c>
      <c r="CS31" s="190">
        <v>0</v>
      </c>
      <c r="CT31" s="190">
        <v>10</v>
      </c>
      <c r="CU31" s="190">
        <v>418</v>
      </c>
      <c r="CV31" s="190">
        <v>428</v>
      </c>
      <c r="CW31" s="190">
        <v>0</v>
      </c>
      <c r="CX31" s="190">
        <v>14</v>
      </c>
      <c r="CY31" s="190">
        <v>14</v>
      </c>
      <c r="CZ31" s="190">
        <v>0</v>
      </c>
      <c r="DA31" s="190">
        <v>0</v>
      </c>
      <c r="DB31" s="190">
        <v>0</v>
      </c>
      <c r="DC31" s="190">
        <v>14</v>
      </c>
      <c r="DD31" s="190">
        <v>0</v>
      </c>
      <c r="DE31" s="190">
        <v>0</v>
      </c>
      <c r="DF31" s="190">
        <v>0</v>
      </c>
      <c r="DG31" s="190">
        <v>14</v>
      </c>
      <c r="DH31" s="190">
        <v>14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2449</v>
      </c>
      <c r="C32" s="190">
        <v>391</v>
      </c>
      <c r="D32" s="190">
        <v>2715</v>
      </c>
      <c r="E32" s="190">
        <v>1898</v>
      </c>
      <c r="F32" s="190">
        <v>3</v>
      </c>
      <c r="G32" s="190">
        <v>40</v>
      </c>
      <c r="H32" s="190">
        <v>43</v>
      </c>
      <c r="I32" s="190">
        <v>0</v>
      </c>
      <c r="J32" s="190">
        <v>742</v>
      </c>
      <c r="K32" s="190">
        <v>742</v>
      </c>
      <c r="L32" s="190">
        <v>0</v>
      </c>
      <c r="M32" s="190">
        <v>413</v>
      </c>
      <c r="N32" s="190">
        <v>413</v>
      </c>
      <c r="O32" s="190">
        <v>0</v>
      </c>
      <c r="P32" s="190">
        <v>329</v>
      </c>
      <c r="Q32" s="190">
        <v>329</v>
      </c>
      <c r="R32" s="190">
        <v>0</v>
      </c>
      <c r="S32" s="190">
        <v>6</v>
      </c>
      <c r="T32" s="190">
        <v>6</v>
      </c>
      <c r="U32" s="190">
        <v>0</v>
      </c>
      <c r="V32" s="190">
        <v>75</v>
      </c>
      <c r="W32" s="190">
        <v>75</v>
      </c>
      <c r="X32" s="190">
        <v>42</v>
      </c>
      <c r="Y32" s="190">
        <v>2673</v>
      </c>
      <c r="Z32" s="190">
        <v>2715</v>
      </c>
      <c r="AA32" s="190">
        <v>25</v>
      </c>
      <c r="AB32" s="190">
        <v>882</v>
      </c>
      <c r="AC32" s="190">
        <v>907</v>
      </c>
      <c r="AD32" s="190">
        <v>25</v>
      </c>
      <c r="AE32" s="190">
        <v>844</v>
      </c>
      <c r="AF32" s="190">
        <v>869</v>
      </c>
      <c r="AG32" s="190">
        <v>0</v>
      </c>
      <c r="AH32" s="190">
        <v>19</v>
      </c>
      <c r="AI32" s="190">
        <v>19</v>
      </c>
      <c r="AJ32" s="190">
        <v>0</v>
      </c>
      <c r="AK32" s="190">
        <v>19</v>
      </c>
      <c r="AL32" s="190">
        <v>19</v>
      </c>
      <c r="AM32" s="190">
        <v>17</v>
      </c>
      <c r="AN32" s="190">
        <v>1791</v>
      </c>
      <c r="AO32" s="190">
        <v>1808</v>
      </c>
      <c r="AP32" s="190">
        <v>2362</v>
      </c>
      <c r="AQ32" s="190">
        <v>17896</v>
      </c>
      <c r="AR32" s="190">
        <v>20258</v>
      </c>
      <c r="AS32" s="190">
        <v>2359</v>
      </c>
      <c r="AT32" s="190">
        <v>17871</v>
      </c>
      <c r="AU32" s="190">
        <v>20230</v>
      </c>
      <c r="AV32" s="190">
        <v>3</v>
      </c>
      <c r="AW32" s="190">
        <v>25</v>
      </c>
      <c r="AX32" s="190">
        <v>28</v>
      </c>
      <c r="AY32" s="190">
        <v>462</v>
      </c>
      <c r="AZ32" s="190">
        <v>2503</v>
      </c>
      <c r="BA32" s="190">
        <v>2965</v>
      </c>
      <c r="BB32" s="190">
        <v>96</v>
      </c>
      <c r="BC32" s="190">
        <v>0</v>
      </c>
      <c r="BD32" s="190">
        <v>0</v>
      </c>
      <c r="BE32" s="190">
        <v>1772</v>
      </c>
      <c r="BF32" s="190">
        <v>28</v>
      </c>
      <c r="BG32" s="190">
        <v>2</v>
      </c>
      <c r="BH32" s="190">
        <v>96</v>
      </c>
      <c r="BI32" s="190">
        <v>1802</v>
      </c>
      <c r="BJ32" s="190">
        <v>1898</v>
      </c>
      <c r="BK32" s="190">
        <v>290</v>
      </c>
      <c r="BL32" s="190">
        <v>-290</v>
      </c>
      <c r="BM32" s="190">
        <v>0</v>
      </c>
      <c r="BN32" s="190">
        <v>6</v>
      </c>
      <c r="BO32" s="190">
        <v>17</v>
      </c>
      <c r="BP32" s="190">
        <v>23</v>
      </c>
      <c r="BQ32" s="190">
        <v>12</v>
      </c>
      <c r="BR32" s="190">
        <v>100</v>
      </c>
      <c r="BS32" s="190">
        <v>112</v>
      </c>
      <c r="BT32" s="190">
        <v>58</v>
      </c>
      <c r="BU32" s="190">
        <v>874</v>
      </c>
      <c r="BV32" s="190">
        <v>932</v>
      </c>
      <c r="BW32" s="190">
        <v>2824</v>
      </c>
      <c r="BX32" s="190">
        <v>20399</v>
      </c>
      <c r="BY32" s="190">
        <v>23223</v>
      </c>
      <c r="BZ32" s="190">
        <v>2792</v>
      </c>
      <c r="CA32" s="190">
        <v>20113</v>
      </c>
      <c r="CB32" s="190">
        <v>22905</v>
      </c>
      <c r="CC32" s="190">
        <v>51538</v>
      </c>
      <c r="CD32" s="190">
        <v>14</v>
      </c>
      <c r="CE32" s="190">
        <v>312</v>
      </c>
      <c r="CF32" s="190">
        <v>31</v>
      </c>
      <c r="CG32" s="190">
        <v>256</v>
      </c>
      <c r="CH32" s="190">
        <v>287</v>
      </c>
      <c r="CI32" s="190">
        <v>35</v>
      </c>
      <c r="CJ32" s="190">
        <v>7</v>
      </c>
      <c r="CK32" s="190">
        <v>1</v>
      </c>
      <c r="CL32" s="190">
        <v>30</v>
      </c>
      <c r="CM32" s="190">
        <v>31</v>
      </c>
      <c r="CN32" s="190">
        <v>99</v>
      </c>
      <c r="CO32" s="190">
        <v>1616</v>
      </c>
      <c r="CP32" s="190">
        <v>1715</v>
      </c>
      <c r="CQ32" s="190">
        <v>0</v>
      </c>
      <c r="CR32" s="190">
        <v>1</v>
      </c>
      <c r="CS32" s="190">
        <v>1</v>
      </c>
      <c r="CT32" s="190">
        <v>2725</v>
      </c>
      <c r="CU32" s="190">
        <v>18783</v>
      </c>
      <c r="CV32" s="190">
        <v>21508</v>
      </c>
      <c r="CW32" s="190">
        <v>118</v>
      </c>
      <c r="CX32" s="190">
        <v>966</v>
      </c>
      <c r="CY32" s="190">
        <v>1084</v>
      </c>
      <c r="CZ32" s="190">
        <v>117</v>
      </c>
      <c r="DA32" s="190">
        <v>1</v>
      </c>
      <c r="DB32" s="190">
        <v>0</v>
      </c>
      <c r="DC32" s="190">
        <v>944</v>
      </c>
      <c r="DD32" s="190">
        <v>8</v>
      </c>
      <c r="DE32" s="190">
        <v>2</v>
      </c>
      <c r="DF32" s="190">
        <v>118</v>
      </c>
      <c r="DG32" s="190">
        <v>954</v>
      </c>
      <c r="DH32" s="190">
        <v>1072</v>
      </c>
      <c r="DI32" s="190">
        <v>0</v>
      </c>
      <c r="DJ32" s="190">
        <v>0</v>
      </c>
      <c r="DK32" s="190">
        <v>0</v>
      </c>
      <c r="DL32" s="190">
        <v>12</v>
      </c>
      <c r="DM32" s="190">
        <v>0</v>
      </c>
      <c r="DN32" s="190">
        <v>0</v>
      </c>
      <c r="DO32" s="190">
        <v>0</v>
      </c>
      <c r="DP32" s="190">
        <v>12</v>
      </c>
      <c r="DQ32" s="190">
        <v>12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318</v>
      </c>
      <c r="C33" s="190">
        <v>93</v>
      </c>
      <c r="D33" s="190">
        <v>293</v>
      </c>
      <c r="E33" s="190">
        <v>167</v>
      </c>
      <c r="F33" s="190">
        <v>0</v>
      </c>
      <c r="G33" s="190">
        <v>4</v>
      </c>
      <c r="H33" s="190">
        <v>4</v>
      </c>
      <c r="I33" s="190">
        <v>0</v>
      </c>
      <c r="J33" s="190">
        <v>105</v>
      </c>
      <c r="K33" s="190">
        <v>105</v>
      </c>
      <c r="L33" s="190">
        <v>0</v>
      </c>
      <c r="M33" s="190">
        <v>33</v>
      </c>
      <c r="N33" s="190">
        <v>33</v>
      </c>
      <c r="O33" s="190">
        <v>0</v>
      </c>
      <c r="P33" s="190">
        <v>72</v>
      </c>
      <c r="Q33" s="190">
        <v>72</v>
      </c>
      <c r="R33" s="190">
        <v>0</v>
      </c>
      <c r="S33" s="190">
        <v>2</v>
      </c>
      <c r="T33" s="190">
        <v>2</v>
      </c>
      <c r="U33" s="190">
        <v>0</v>
      </c>
      <c r="V33" s="190">
        <v>21</v>
      </c>
      <c r="W33" s="190">
        <v>21</v>
      </c>
      <c r="X33" s="190">
        <v>3</v>
      </c>
      <c r="Y33" s="190">
        <v>290</v>
      </c>
      <c r="Z33" s="190">
        <v>293</v>
      </c>
      <c r="AA33" s="190">
        <v>2</v>
      </c>
      <c r="AB33" s="190">
        <v>102</v>
      </c>
      <c r="AC33" s="190">
        <v>104</v>
      </c>
      <c r="AD33" s="190">
        <v>2</v>
      </c>
      <c r="AE33" s="190">
        <v>90</v>
      </c>
      <c r="AF33" s="190">
        <v>92</v>
      </c>
      <c r="AG33" s="190">
        <v>0</v>
      </c>
      <c r="AH33" s="190">
        <v>6</v>
      </c>
      <c r="AI33" s="190">
        <v>6</v>
      </c>
      <c r="AJ33" s="190">
        <v>0</v>
      </c>
      <c r="AK33" s="190">
        <v>6</v>
      </c>
      <c r="AL33" s="190">
        <v>6</v>
      </c>
      <c r="AM33" s="190">
        <v>1</v>
      </c>
      <c r="AN33" s="190">
        <v>188</v>
      </c>
      <c r="AO33" s="190">
        <v>189</v>
      </c>
      <c r="AP33" s="190">
        <v>291</v>
      </c>
      <c r="AQ33" s="190">
        <v>2816</v>
      </c>
      <c r="AR33" s="190">
        <v>3107</v>
      </c>
      <c r="AS33" s="190">
        <v>291</v>
      </c>
      <c r="AT33" s="190">
        <v>2816</v>
      </c>
      <c r="AU33" s="190">
        <v>3107</v>
      </c>
      <c r="AV33" s="190">
        <v>0</v>
      </c>
      <c r="AW33" s="190">
        <v>0</v>
      </c>
      <c r="AX33" s="190">
        <v>0</v>
      </c>
      <c r="AY33" s="190">
        <v>20</v>
      </c>
      <c r="AZ33" s="190">
        <v>301</v>
      </c>
      <c r="BA33" s="190">
        <v>321</v>
      </c>
      <c r="BB33" s="190">
        <v>3</v>
      </c>
      <c r="BC33" s="190">
        <v>0</v>
      </c>
      <c r="BD33" s="190">
        <v>0</v>
      </c>
      <c r="BE33" s="190">
        <v>163</v>
      </c>
      <c r="BF33" s="190">
        <v>1</v>
      </c>
      <c r="BG33" s="190">
        <v>0</v>
      </c>
      <c r="BH33" s="190">
        <v>3</v>
      </c>
      <c r="BI33" s="190">
        <v>164</v>
      </c>
      <c r="BJ33" s="190">
        <v>167</v>
      </c>
      <c r="BK33" s="190">
        <v>5</v>
      </c>
      <c r="BL33" s="190">
        <v>-5</v>
      </c>
      <c r="BM33" s="190">
        <v>0</v>
      </c>
      <c r="BN33" s="190">
        <v>1</v>
      </c>
      <c r="BO33" s="190">
        <v>13</v>
      </c>
      <c r="BP33" s="190">
        <v>14</v>
      </c>
      <c r="BQ33" s="190">
        <v>5</v>
      </c>
      <c r="BR33" s="190">
        <v>23</v>
      </c>
      <c r="BS33" s="190">
        <v>28</v>
      </c>
      <c r="BT33" s="190">
        <v>6</v>
      </c>
      <c r="BU33" s="190">
        <v>106</v>
      </c>
      <c r="BV33" s="190">
        <v>112</v>
      </c>
      <c r="BW33" s="190">
        <v>311</v>
      </c>
      <c r="BX33" s="190">
        <v>3117</v>
      </c>
      <c r="BY33" s="190">
        <v>3428</v>
      </c>
      <c r="BZ33" s="190">
        <v>301</v>
      </c>
      <c r="CA33" s="190">
        <v>3069</v>
      </c>
      <c r="CB33" s="190">
        <v>3370</v>
      </c>
      <c r="CC33" s="190">
        <v>6892</v>
      </c>
      <c r="CD33" s="190">
        <v>2</v>
      </c>
      <c r="CE33" s="190">
        <v>58</v>
      </c>
      <c r="CF33" s="190">
        <v>10</v>
      </c>
      <c r="CG33" s="190">
        <v>43</v>
      </c>
      <c r="CH33" s="190">
        <v>53</v>
      </c>
      <c r="CI33" s="190">
        <v>5</v>
      </c>
      <c r="CJ33" s="190">
        <v>0</v>
      </c>
      <c r="CK33" s="190">
        <v>0</v>
      </c>
      <c r="CL33" s="190">
        <v>5</v>
      </c>
      <c r="CM33" s="190">
        <v>5</v>
      </c>
      <c r="CN33" s="190">
        <v>17</v>
      </c>
      <c r="CO33" s="190">
        <v>309</v>
      </c>
      <c r="CP33" s="190">
        <v>326</v>
      </c>
      <c r="CQ33" s="190">
        <v>0</v>
      </c>
      <c r="CR33" s="190">
        <v>0</v>
      </c>
      <c r="CS33" s="190">
        <v>0</v>
      </c>
      <c r="CT33" s="190">
        <v>294</v>
      </c>
      <c r="CU33" s="190">
        <v>2808</v>
      </c>
      <c r="CV33" s="190">
        <v>3102</v>
      </c>
      <c r="CW33" s="190">
        <v>13</v>
      </c>
      <c r="CX33" s="190">
        <v>133</v>
      </c>
      <c r="CY33" s="190">
        <v>146</v>
      </c>
      <c r="CZ33" s="190">
        <v>13</v>
      </c>
      <c r="DA33" s="190">
        <v>0</v>
      </c>
      <c r="DB33" s="190">
        <v>0</v>
      </c>
      <c r="DC33" s="190">
        <v>131</v>
      </c>
      <c r="DD33" s="190">
        <v>2</v>
      </c>
      <c r="DE33" s="190">
        <v>0</v>
      </c>
      <c r="DF33" s="190">
        <v>13</v>
      </c>
      <c r="DG33" s="190">
        <v>133</v>
      </c>
      <c r="DH33" s="190">
        <v>146</v>
      </c>
      <c r="DI33" s="190">
        <v>0</v>
      </c>
      <c r="DJ33" s="190">
        <v>0</v>
      </c>
      <c r="DK33" s="190">
        <v>0</v>
      </c>
      <c r="DL33" s="190">
        <v>0</v>
      </c>
      <c r="DM33" s="190">
        <v>0</v>
      </c>
      <c r="DN33" s="190">
        <v>0</v>
      </c>
      <c r="DO33" s="190">
        <v>0</v>
      </c>
      <c r="DP33" s="190">
        <v>0</v>
      </c>
      <c r="DQ33" s="190">
        <v>0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372</v>
      </c>
      <c r="C34" s="190">
        <v>94</v>
      </c>
      <c r="D34" s="190">
        <v>310</v>
      </c>
      <c r="E34" s="190">
        <v>189</v>
      </c>
      <c r="F34" s="190">
        <v>0</v>
      </c>
      <c r="G34" s="190">
        <v>22</v>
      </c>
      <c r="H34" s="190">
        <v>22</v>
      </c>
      <c r="I34" s="190">
        <v>0</v>
      </c>
      <c r="J34" s="190">
        <v>104</v>
      </c>
      <c r="K34" s="190">
        <v>104</v>
      </c>
      <c r="L34" s="190">
        <v>0</v>
      </c>
      <c r="M34" s="190">
        <v>37</v>
      </c>
      <c r="N34" s="190">
        <v>37</v>
      </c>
      <c r="O34" s="190">
        <v>0</v>
      </c>
      <c r="P34" s="190">
        <v>67</v>
      </c>
      <c r="Q34" s="190">
        <v>67</v>
      </c>
      <c r="R34" s="190">
        <v>0</v>
      </c>
      <c r="S34" s="190">
        <v>5</v>
      </c>
      <c r="T34" s="190">
        <v>5</v>
      </c>
      <c r="U34" s="190">
        <v>0</v>
      </c>
      <c r="V34" s="190">
        <v>17</v>
      </c>
      <c r="W34" s="190">
        <v>17</v>
      </c>
      <c r="X34" s="190">
        <v>3</v>
      </c>
      <c r="Y34" s="190">
        <v>307</v>
      </c>
      <c r="Z34" s="190">
        <v>310</v>
      </c>
      <c r="AA34" s="190">
        <v>0</v>
      </c>
      <c r="AB34" s="190">
        <v>134</v>
      </c>
      <c r="AC34" s="190">
        <v>134</v>
      </c>
      <c r="AD34" s="190">
        <v>0</v>
      </c>
      <c r="AE34" s="190">
        <v>94</v>
      </c>
      <c r="AF34" s="190">
        <v>94</v>
      </c>
      <c r="AG34" s="190">
        <v>0</v>
      </c>
      <c r="AH34" s="190">
        <v>22</v>
      </c>
      <c r="AI34" s="190">
        <v>22</v>
      </c>
      <c r="AJ34" s="190">
        <v>0</v>
      </c>
      <c r="AK34" s="190">
        <v>18</v>
      </c>
      <c r="AL34" s="190">
        <v>18</v>
      </c>
      <c r="AM34" s="190">
        <v>3</v>
      </c>
      <c r="AN34" s="190">
        <v>173</v>
      </c>
      <c r="AO34" s="190">
        <v>176</v>
      </c>
      <c r="AP34" s="190">
        <v>221</v>
      </c>
      <c r="AQ34" s="190">
        <v>3729</v>
      </c>
      <c r="AR34" s="190">
        <v>3950</v>
      </c>
      <c r="AS34" s="190">
        <v>221</v>
      </c>
      <c r="AT34" s="190">
        <v>3729</v>
      </c>
      <c r="AU34" s="190">
        <v>3950</v>
      </c>
      <c r="AV34" s="190">
        <v>0</v>
      </c>
      <c r="AW34" s="190">
        <v>0</v>
      </c>
      <c r="AX34" s="190">
        <v>0</v>
      </c>
      <c r="AY34" s="190">
        <v>24</v>
      </c>
      <c r="AZ34" s="190">
        <v>301</v>
      </c>
      <c r="BA34" s="190">
        <v>325</v>
      </c>
      <c r="BB34" s="190">
        <v>3</v>
      </c>
      <c r="BC34" s="190">
        <v>0</v>
      </c>
      <c r="BD34" s="190">
        <v>0</v>
      </c>
      <c r="BE34" s="190">
        <v>186</v>
      </c>
      <c r="BF34" s="190">
        <v>0</v>
      </c>
      <c r="BG34" s="190">
        <v>0</v>
      </c>
      <c r="BH34" s="190">
        <v>3</v>
      </c>
      <c r="BI34" s="190">
        <v>186</v>
      </c>
      <c r="BJ34" s="190">
        <v>189</v>
      </c>
      <c r="BK34" s="190">
        <v>6</v>
      </c>
      <c r="BL34" s="190">
        <v>-6</v>
      </c>
      <c r="BM34" s="190">
        <v>0</v>
      </c>
      <c r="BN34" s="190">
        <v>2</v>
      </c>
      <c r="BO34" s="190">
        <v>11</v>
      </c>
      <c r="BP34" s="190">
        <v>13</v>
      </c>
      <c r="BQ34" s="190">
        <v>1</v>
      </c>
      <c r="BR34" s="190">
        <v>30</v>
      </c>
      <c r="BS34" s="190">
        <v>31</v>
      </c>
      <c r="BT34" s="190">
        <v>12</v>
      </c>
      <c r="BU34" s="190">
        <v>80</v>
      </c>
      <c r="BV34" s="190">
        <v>92</v>
      </c>
      <c r="BW34" s="190">
        <v>245</v>
      </c>
      <c r="BX34" s="190">
        <v>4030</v>
      </c>
      <c r="BY34" s="190">
        <v>4275</v>
      </c>
      <c r="BZ34" s="190">
        <v>244</v>
      </c>
      <c r="CA34" s="190">
        <v>4022</v>
      </c>
      <c r="CB34" s="190">
        <v>4266</v>
      </c>
      <c r="CC34" s="190">
        <v>7406</v>
      </c>
      <c r="CD34" s="190">
        <v>0</v>
      </c>
      <c r="CE34" s="190">
        <v>10</v>
      </c>
      <c r="CF34" s="190">
        <v>1</v>
      </c>
      <c r="CG34" s="190">
        <v>8</v>
      </c>
      <c r="CH34" s="190">
        <v>9</v>
      </c>
      <c r="CI34" s="190">
        <v>0</v>
      </c>
      <c r="CJ34" s="190">
        <v>0</v>
      </c>
      <c r="CK34" s="190">
        <v>0</v>
      </c>
      <c r="CL34" s="190">
        <v>0</v>
      </c>
      <c r="CM34" s="190">
        <v>0</v>
      </c>
      <c r="CN34" s="190">
        <v>13</v>
      </c>
      <c r="CO34" s="190">
        <v>412</v>
      </c>
      <c r="CP34" s="190">
        <v>425</v>
      </c>
      <c r="CQ34" s="190">
        <v>0</v>
      </c>
      <c r="CR34" s="190">
        <v>0</v>
      </c>
      <c r="CS34" s="190">
        <v>0</v>
      </c>
      <c r="CT34" s="190">
        <v>232</v>
      </c>
      <c r="CU34" s="190">
        <v>3618</v>
      </c>
      <c r="CV34" s="190">
        <v>3850</v>
      </c>
      <c r="CW34" s="190">
        <v>22</v>
      </c>
      <c r="CX34" s="190">
        <v>134</v>
      </c>
      <c r="CY34" s="190">
        <v>156</v>
      </c>
      <c r="CZ34" s="190">
        <v>22</v>
      </c>
      <c r="DA34" s="190">
        <v>0</v>
      </c>
      <c r="DB34" s="190">
        <v>0</v>
      </c>
      <c r="DC34" s="190">
        <v>132</v>
      </c>
      <c r="DD34" s="190">
        <v>0</v>
      </c>
      <c r="DE34" s="190">
        <v>0</v>
      </c>
      <c r="DF34" s="190">
        <v>22</v>
      </c>
      <c r="DG34" s="190">
        <v>132</v>
      </c>
      <c r="DH34" s="190">
        <v>154</v>
      </c>
      <c r="DI34" s="190">
        <v>0</v>
      </c>
      <c r="DJ34" s="190">
        <v>0</v>
      </c>
      <c r="DK34" s="190">
        <v>0</v>
      </c>
      <c r="DL34" s="190">
        <v>2</v>
      </c>
      <c r="DM34" s="190">
        <v>0</v>
      </c>
      <c r="DN34" s="190">
        <v>0</v>
      </c>
      <c r="DO34" s="190">
        <v>0</v>
      </c>
      <c r="DP34" s="190">
        <v>2</v>
      </c>
      <c r="DQ34" s="190">
        <v>2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7723</v>
      </c>
      <c r="C35" s="190">
        <v>2036</v>
      </c>
      <c r="D35" s="190">
        <v>6972</v>
      </c>
      <c r="E35" s="190">
        <v>4913</v>
      </c>
      <c r="F35" s="190">
        <v>0</v>
      </c>
      <c r="G35" s="190">
        <v>67</v>
      </c>
      <c r="H35" s="190">
        <v>67</v>
      </c>
      <c r="I35" s="190">
        <v>0</v>
      </c>
      <c r="J35" s="190">
        <v>1771</v>
      </c>
      <c r="K35" s="190">
        <v>1771</v>
      </c>
      <c r="L35" s="190">
        <v>0</v>
      </c>
      <c r="M35" s="190">
        <v>900</v>
      </c>
      <c r="N35" s="190">
        <v>900</v>
      </c>
      <c r="O35" s="190">
        <v>0</v>
      </c>
      <c r="P35" s="190">
        <v>871</v>
      </c>
      <c r="Q35" s="190">
        <v>871</v>
      </c>
      <c r="R35" s="190">
        <v>0</v>
      </c>
      <c r="S35" s="190">
        <v>163</v>
      </c>
      <c r="T35" s="190">
        <v>163</v>
      </c>
      <c r="U35" s="190">
        <v>0</v>
      </c>
      <c r="V35" s="190">
        <v>288</v>
      </c>
      <c r="W35" s="190">
        <v>288</v>
      </c>
      <c r="X35" s="190">
        <v>113</v>
      </c>
      <c r="Y35" s="190">
        <v>5744</v>
      </c>
      <c r="Z35" s="190">
        <v>5857</v>
      </c>
      <c r="AA35" s="190">
        <v>56</v>
      </c>
      <c r="AB35" s="190">
        <v>2164</v>
      </c>
      <c r="AC35" s="190">
        <v>2220</v>
      </c>
      <c r="AD35" s="190">
        <v>55</v>
      </c>
      <c r="AE35" s="190">
        <v>2142</v>
      </c>
      <c r="AF35" s="190">
        <v>2197</v>
      </c>
      <c r="AG35" s="190">
        <v>1</v>
      </c>
      <c r="AH35" s="190">
        <v>18</v>
      </c>
      <c r="AI35" s="190">
        <v>19</v>
      </c>
      <c r="AJ35" s="190">
        <v>0</v>
      </c>
      <c r="AK35" s="190">
        <v>4</v>
      </c>
      <c r="AL35" s="190">
        <v>4</v>
      </c>
      <c r="AM35" s="190">
        <v>57</v>
      </c>
      <c r="AN35" s="190">
        <v>3580</v>
      </c>
      <c r="AO35" s="190">
        <v>3637</v>
      </c>
      <c r="AP35" s="190">
        <v>9880</v>
      </c>
      <c r="AQ35" s="190">
        <v>100617</v>
      </c>
      <c r="AR35" s="190">
        <v>110497</v>
      </c>
      <c r="AS35" s="190">
        <v>9864</v>
      </c>
      <c r="AT35" s="190">
        <v>100893</v>
      </c>
      <c r="AU35" s="190">
        <v>110757</v>
      </c>
      <c r="AV35" s="190">
        <v>16</v>
      </c>
      <c r="AW35" s="190">
        <v>-276</v>
      </c>
      <c r="AX35" s="190">
        <v>-260</v>
      </c>
      <c r="AY35" s="190">
        <v>458</v>
      </c>
      <c r="AZ35" s="190">
        <v>9331</v>
      </c>
      <c r="BA35" s="190">
        <v>9789</v>
      </c>
      <c r="BB35" s="190">
        <v>245</v>
      </c>
      <c r="BC35" s="190">
        <v>8</v>
      </c>
      <c r="BD35" s="190">
        <v>0</v>
      </c>
      <c r="BE35" s="190">
        <v>4530</v>
      </c>
      <c r="BF35" s="190">
        <v>69</v>
      </c>
      <c r="BG35" s="190">
        <v>61</v>
      </c>
      <c r="BH35" s="190">
        <v>253</v>
      </c>
      <c r="BI35" s="190">
        <v>4660</v>
      </c>
      <c r="BJ35" s="190">
        <v>4913</v>
      </c>
      <c r="BK35" s="190">
        <v>-168</v>
      </c>
      <c r="BL35" s="190">
        <v>168</v>
      </c>
      <c r="BM35" s="190">
        <v>0</v>
      </c>
      <c r="BN35" s="190">
        <v>8</v>
      </c>
      <c r="BO35" s="190">
        <v>67</v>
      </c>
      <c r="BP35" s="190">
        <v>75</v>
      </c>
      <c r="BQ35" s="190">
        <v>57</v>
      </c>
      <c r="BR35" s="190">
        <v>987</v>
      </c>
      <c r="BS35" s="190">
        <v>1044</v>
      </c>
      <c r="BT35" s="190">
        <v>308</v>
      </c>
      <c r="BU35" s="190">
        <v>3449</v>
      </c>
      <c r="BV35" s="190">
        <v>3757</v>
      </c>
      <c r="BW35" s="190">
        <v>10338</v>
      </c>
      <c r="BX35" s="190">
        <v>109948</v>
      </c>
      <c r="BY35" s="190">
        <v>120286</v>
      </c>
      <c r="BZ35" s="190">
        <v>10135</v>
      </c>
      <c r="CA35" s="190">
        <v>106766</v>
      </c>
      <c r="CB35" s="190">
        <v>116901</v>
      </c>
      <c r="CC35" s="190">
        <v>246316</v>
      </c>
      <c r="CD35" s="190">
        <v>275</v>
      </c>
      <c r="CE35" s="190">
        <v>2959</v>
      </c>
      <c r="CF35" s="190">
        <v>199</v>
      </c>
      <c r="CG35" s="190">
        <v>2064</v>
      </c>
      <c r="CH35" s="190">
        <v>2263</v>
      </c>
      <c r="CI35" s="190">
        <v>1547</v>
      </c>
      <c r="CJ35" s="190">
        <v>11</v>
      </c>
      <c r="CK35" s="190">
        <v>4</v>
      </c>
      <c r="CL35" s="190">
        <v>1118</v>
      </c>
      <c r="CM35" s="190">
        <v>1122</v>
      </c>
      <c r="CN35" s="190">
        <v>512</v>
      </c>
      <c r="CO35" s="190">
        <v>9509</v>
      </c>
      <c r="CP35" s="190">
        <v>10021</v>
      </c>
      <c r="CQ35" s="190">
        <v>0</v>
      </c>
      <c r="CR35" s="190">
        <v>4</v>
      </c>
      <c r="CS35" s="190">
        <v>4</v>
      </c>
      <c r="CT35" s="190">
        <v>9826</v>
      </c>
      <c r="CU35" s="190">
        <v>100439</v>
      </c>
      <c r="CV35" s="190">
        <v>110265</v>
      </c>
      <c r="CW35" s="190">
        <v>663</v>
      </c>
      <c r="CX35" s="190">
        <v>6120</v>
      </c>
      <c r="CY35" s="190">
        <v>6783</v>
      </c>
      <c r="CZ35" s="190">
        <v>637</v>
      </c>
      <c r="DA35" s="190">
        <v>17</v>
      </c>
      <c r="DB35" s="190">
        <v>0</v>
      </c>
      <c r="DC35" s="190">
        <v>4862</v>
      </c>
      <c r="DD35" s="190">
        <v>96</v>
      </c>
      <c r="DE35" s="190">
        <v>20</v>
      </c>
      <c r="DF35" s="190">
        <v>654</v>
      </c>
      <c r="DG35" s="190">
        <v>4978</v>
      </c>
      <c r="DH35" s="190">
        <v>5632</v>
      </c>
      <c r="DI35" s="190">
        <v>9</v>
      </c>
      <c r="DJ35" s="190">
        <v>0</v>
      </c>
      <c r="DK35" s="190">
        <v>0</v>
      </c>
      <c r="DL35" s="190">
        <v>1110</v>
      </c>
      <c r="DM35" s="190">
        <v>20</v>
      </c>
      <c r="DN35" s="190">
        <v>12</v>
      </c>
      <c r="DO35" s="190">
        <v>9</v>
      </c>
      <c r="DP35" s="190">
        <v>1142</v>
      </c>
      <c r="DQ35" s="190">
        <v>1151</v>
      </c>
      <c r="DR35" s="190">
        <v>1</v>
      </c>
      <c r="DS35" s="190">
        <v>1</v>
      </c>
      <c r="DT35" s="191">
        <v>2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710</v>
      </c>
      <c r="C36" s="190">
        <v>310</v>
      </c>
      <c r="D36" s="190">
        <v>514</v>
      </c>
      <c r="E36" s="190">
        <v>272</v>
      </c>
      <c r="F36" s="190">
        <v>0</v>
      </c>
      <c r="G36" s="190">
        <v>0</v>
      </c>
      <c r="H36" s="190">
        <v>0</v>
      </c>
      <c r="I36" s="190">
        <v>0</v>
      </c>
      <c r="J36" s="190">
        <v>206</v>
      </c>
      <c r="K36" s="190">
        <v>206</v>
      </c>
      <c r="L36" s="190">
        <v>0</v>
      </c>
      <c r="M36" s="190">
        <v>51</v>
      </c>
      <c r="N36" s="190">
        <v>51</v>
      </c>
      <c r="O36" s="190">
        <v>0</v>
      </c>
      <c r="P36" s="190">
        <v>155</v>
      </c>
      <c r="Q36" s="190">
        <v>155</v>
      </c>
      <c r="R36" s="190">
        <v>0</v>
      </c>
      <c r="S36" s="190">
        <v>22</v>
      </c>
      <c r="T36" s="190">
        <v>22</v>
      </c>
      <c r="U36" s="190">
        <v>0</v>
      </c>
      <c r="V36" s="190">
        <v>36</v>
      </c>
      <c r="W36" s="190">
        <v>36</v>
      </c>
      <c r="X36" s="190">
        <v>0</v>
      </c>
      <c r="Y36" s="190">
        <v>433</v>
      </c>
      <c r="Z36" s="190">
        <v>433</v>
      </c>
      <c r="AA36" s="190">
        <v>0</v>
      </c>
      <c r="AB36" s="190">
        <v>215</v>
      </c>
      <c r="AC36" s="190">
        <v>215</v>
      </c>
      <c r="AD36" s="190">
        <v>0</v>
      </c>
      <c r="AE36" s="190">
        <v>202</v>
      </c>
      <c r="AF36" s="190">
        <v>202</v>
      </c>
      <c r="AG36" s="190">
        <v>0</v>
      </c>
      <c r="AH36" s="190">
        <v>9</v>
      </c>
      <c r="AI36" s="190">
        <v>9</v>
      </c>
      <c r="AJ36" s="190">
        <v>0</v>
      </c>
      <c r="AK36" s="190">
        <v>4</v>
      </c>
      <c r="AL36" s="190">
        <v>4</v>
      </c>
      <c r="AM36" s="190">
        <v>0</v>
      </c>
      <c r="AN36" s="190">
        <v>218</v>
      </c>
      <c r="AO36" s="190">
        <v>218</v>
      </c>
      <c r="AP36" s="190">
        <v>635</v>
      </c>
      <c r="AQ36" s="190">
        <v>7646</v>
      </c>
      <c r="AR36" s="190">
        <v>8281</v>
      </c>
      <c r="AS36" s="190">
        <v>632</v>
      </c>
      <c r="AT36" s="190">
        <v>7465</v>
      </c>
      <c r="AU36" s="190">
        <v>8097</v>
      </c>
      <c r="AV36" s="190">
        <v>3</v>
      </c>
      <c r="AW36" s="190">
        <v>181</v>
      </c>
      <c r="AX36" s="190">
        <v>184</v>
      </c>
      <c r="AY36" s="190">
        <v>45</v>
      </c>
      <c r="AZ36" s="190">
        <v>561</v>
      </c>
      <c r="BA36" s="190">
        <v>606</v>
      </c>
      <c r="BB36" s="190">
        <v>15</v>
      </c>
      <c r="BC36" s="190">
        <v>0</v>
      </c>
      <c r="BD36" s="190">
        <v>0</v>
      </c>
      <c r="BE36" s="190">
        <v>256</v>
      </c>
      <c r="BF36" s="190">
        <v>1</v>
      </c>
      <c r="BG36" s="190">
        <v>0</v>
      </c>
      <c r="BH36" s="190">
        <v>15</v>
      </c>
      <c r="BI36" s="190">
        <v>257</v>
      </c>
      <c r="BJ36" s="190">
        <v>272</v>
      </c>
      <c r="BK36" s="190">
        <v>-9</v>
      </c>
      <c r="BL36" s="190">
        <v>9</v>
      </c>
      <c r="BM36" s="190">
        <v>0</v>
      </c>
      <c r="BN36" s="190">
        <v>3</v>
      </c>
      <c r="BO36" s="190">
        <v>34</v>
      </c>
      <c r="BP36" s="190">
        <v>37</v>
      </c>
      <c r="BQ36" s="190">
        <v>16</v>
      </c>
      <c r="BR36" s="190">
        <v>80</v>
      </c>
      <c r="BS36" s="190">
        <v>96</v>
      </c>
      <c r="BT36" s="190">
        <v>20</v>
      </c>
      <c r="BU36" s="190">
        <v>181</v>
      </c>
      <c r="BV36" s="190">
        <v>201</v>
      </c>
      <c r="BW36" s="190">
        <v>680</v>
      </c>
      <c r="BX36" s="190">
        <v>8207</v>
      </c>
      <c r="BY36" s="190">
        <v>8887</v>
      </c>
      <c r="BZ36" s="190">
        <v>670</v>
      </c>
      <c r="CA36" s="190">
        <v>8134</v>
      </c>
      <c r="CB36" s="190">
        <v>8804</v>
      </c>
      <c r="CC36" s="190">
        <v>16415</v>
      </c>
      <c r="CD36" s="190">
        <v>7</v>
      </c>
      <c r="CE36" s="190">
        <v>67</v>
      </c>
      <c r="CF36" s="190">
        <v>8</v>
      </c>
      <c r="CG36" s="190">
        <v>44</v>
      </c>
      <c r="CH36" s="190">
        <v>52</v>
      </c>
      <c r="CI36" s="190">
        <v>43</v>
      </c>
      <c r="CJ36" s="190">
        <v>9</v>
      </c>
      <c r="CK36" s="190">
        <v>2</v>
      </c>
      <c r="CL36" s="190">
        <v>29</v>
      </c>
      <c r="CM36" s="190">
        <v>31</v>
      </c>
      <c r="CN36" s="190">
        <v>43</v>
      </c>
      <c r="CO36" s="190">
        <v>865</v>
      </c>
      <c r="CP36" s="190">
        <v>908</v>
      </c>
      <c r="CQ36" s="190">
        <v>0</v>
      </c>
      <c r="CR36" s="190">
        <v>14</v>
      </c>
      <c r="CS36" s="190">
        <v>14</v>
      </c>
      <c r="CT36" s="190">
        <v>637</v>
      </c>
      <c r="CU36" s="190">
        <v>7342</v>
      </c>
      <c r="CV36" s="190">
        <v>7979</v>
      </c>
      <c r="CW36" s="190">
        <v>49</v>
      </c>
      <c r="CX36" s="190">
        <v>360</v>
      </c>
      <c r="CY36" s="190">
        <v>409</v>
      </c>
      <c r="CZ36" s="190">
        <v>47</v>
      </c>
      <c r="DA36" s="190">
        <v>2</v>
      </c>
      <c r="DB36" s="190">
        <v>0</v>
      </c>
      <c r="DC36" s="190">
        <v>356</v>
      </c>
      <c r="DD36" s="190">
        <v>3</v>
      </c>
      <c r="DE36" s="190">
        <v>1</v>
      </c>
      <c r="DF36" s="190">
        <v>49</v>
      </c>
      <c r="DG36" s="190">
        <v>360</v>
      </c>
      <c r="DH36" s="190">
        <v>409</v>
      </c>
      <c r="DI36" s="190">
        <v>0</v>
      </c>
      <c r="DJ36" s="190">
        <v>0</v>
      </c>
      <c r="DK36" s="190">
        <v>0</v>
      </c>
      <c r="DL36" s="190">
        <v>0</v>
      </c>
      <c r="DM36" s="190">
        <v>0</v>
      </c>
      <c r="DN36" s="190">
        <v>0</v>
      </c>
      <c r="DO36" s="190">
        <v>0</v>
      </c>
      <c r="DP36" s="190">
        <v>0</v>
      </c>
      <c r="DQ36" s="190">
        <v>0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101</v>
      </c>
      <c r="C37" s="190">
        <v>24</v>
      </c>
      <c r="D37" s="190">
        <v>105</v>
      </c>
      <c r="E37" s="190">
        <v>60</v>
      </c>
      <c r="F37" s="190">
        <v>0</v>
      </c>
      <c r="G37" s="190">
        <v>0</v>
      </c>
      <c r="H37" s="190">
        <v>0</v>
      </c>
      <c r="I37" s="190">
        <v>0</v>
      </c>
      <c r="J37" s="190">
        <v>42</v>
      </c>
      <c r="K37" s="190">
        <v>42</v>
      </c>
      <c r="L37" s="190">
        <v>0</v>
      </c>
      <c r="M37" s="190">
        <v>13</v>
      </c>
      <c r="N37" s="190">
        <v>13</v>
      </c>
      <c r="O37" s="190">
        <v>0</v>
      </c>
      <c r="P37" s="190">
        <v>29</v>
      </c>
      <c r="Q37" s="190">
        <v>29</v>
      </c>
      <c r="R37" s="190">
        <v>0</v>
      </c>
      <c r="S37" s="190">
        <v>1</v>
      </c>
      <c r="T37" s="190">
        <v>1</v>
      </c>
      <c r="U37" s="190">
        <v>0</v>
      </c>
      <c r="V37" s="190">
        <v>3</v>
      </c>
      <c r="W37" s="190">
        <v>3</v>
      </c>
      <c r="X37" s="190">
        <v>1</v>
      </c>
      <c r="Y37" s="190">
        <v>104</v>
      </c>
      <c r="Z37" s="190">
        <v>105</v>
      </c>
      <c r="AA37" s="190">
        <v>1</v>
      </c>
      <c r="AB37" s="190">
        <v>44</v>
      </c>
      <c r="AC37" s="190">
        <v>45</v>
      </c>
      <c r="AD37" s="190">
        <v>1</v>
      </c>
      <c r="AE37" s="190">
        <v>37</v>
      </c>
      <c r="AF37" s="190">
        <v>38</v>
      </c>
      <c r="AG37" s="190">
        <v>0</v>
      </c>
      <c r="AH37" s="190">
        <v>2</v>
      </c>
      <c r="AI37" s="190">
        <v>2</v>
      </c>
      <c r="AJ37" s="190">
        <v>0</v>
      </c>
      <c r="AK37" s="190">
        <v>5</v>
      </c>
      <c r="AL37" s="190">
        <v>5</v>
      </c>
      <c r="AM37" s="190">
        <v>0</v>
      </c>
      <c r="AN37" s="190">
        <v>60</v>
      </c>
      <c r="AO37" s="190">
        <v>60</v>
      </c>
      <c r="AP37" s="190">
        <v>77</v>
      </c>
      <c r="AQ37" s="190">
        <v>993</v>
      </c>
      <c r="AR37" s="190">
        <v>1070</v>
      </c>
      <c r="AS37" s="190">
        <v>77</v>
      </c>
      <c r="AT37" s="190">
        <v>993</v>
      </c>
      <c r="AU37" s="190">
        <v>1070</v>
      </c>
      <c r="AV37" s="190">
        <v>0</v>
      </c>
      <c r="AW37" s="190">
        <v>0</v>
      </c>
      <c r="AX37" s="190">
        <v>0</v>
      </c>
      <c r="AY37" s="190">
        <v>8</v>
      </c>
      <c r="AZ37" s="190">
        <v>109</v>
      </c>
      <c r="BA37" s="190">
        <v>117</v>
      </c>
      <c r="BB37" s="190">
        <v>1</v>
      </c>
      <c r="BC37" s="190">
        <v>0</v>
      </c>
      <c r="BD37" s="190">
        <v>0</v>
      </c>
      <c r="BE37" s="190">
        <v>59</v>
      </c>
      <c r="BF37" s="190">
        <v>0</v>
      </c>
      <c r="BG37" s="190">
        <v>0</v>
      </c>
      <c r="BH37" s="190">
        <v>1</v>
      </c>
      <c r="BI37" s="190">
        <v>59</v>
      </c>
      <c r="BJ37" s="190">
        <v>60</v>
      </c>
      <c r="BK37" s="190">
        <v>4</v>
      </c>
      <c r="BL37" s="190">
        <v>-4</v>
      </c>
      <c r="BM37" s="190">
        <v>0</v>
      </c>
      <c r="BN37" s="190">
        <v>0</v>
      </c>
      <c r="BO37" s="190">
        <v>3</v>
      </c>
      <c r="BP37" s="190">
        <v>3</v>
      </c>
      <c r="BQ37" s="190">
        <v>2</v>
      </c>
      <c r="BR37" s="190">
        <v>20</v>
      </c>
      <c r="BS37" s="190">
        <v>22</v>
      </c>
      <c r="BT37" s="190">
        <v>1</v>
      </c>
      <c r="BU37" s="190">
        <v>31</v>
      </c>
      <c r="BV37" s="190">
        <v>32</v>
      </c>
      <c r="BW37" s="190">
        <v>85</v>
      </c>
      <c r="BX37" s="190">
        <v>1102</v>
      </c>
      <c r="BY37" s="190">
        <v>1187</v>
      </c>
      <c r="BZ37" s="190">
        <v>85</v>
      </c>
      <c r="CA37" s="190">
        <v>1101</v>
      </c>
      <c r="CB37" s="190">
        <v>1186</v>
      </c>
      <c r="CC37" s="190">
        <v>2142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3</v>
      </c>
      <c r="CO37" s="190">
        <v>128</v>
      </c>
      <c r="CP37" s="190">
        <v>131</v>
      </c>
      <c r="CQ37" s="190">
        <v>0</v>
      </c>
      <c r="CR37" s="190">
        <v>0</v>
      </c>
      <c r="CS37" s="190">
        <v>0</v>
      </c>
      <c r="CT37" s="190">
        <v>82</v>
      </c>
      <c r="CU37" s="190">
        <v>974</v>
      </c>
      <c r="CV37" s="190">
        <v>1056</v>
      </c>
      <c r="CW37" s="190">
        <v>4</v>
      </c>
      <c r="CX37" s="190">
        <v>51</v>
      </c>
      <c r="CY37" s="190">
        <v>55</v>
      </c>
      <c r="CZ37" s="190">
        <v>4</v>
      </c>
      <c r="DA37" s="190">
        <v>0</v>
      </c>
      <c r="DB37" s="190">
        <v>0</v>
      </c>
      <c r="DC37" s="190">
        <v>51</v>
      </c>
      <c r="DD37" s="190">
        <v>0</v>
      </c>
      <c r="DE37" s="190">
        <v>0</v>
      </c>
      <c r="DF37" s="190">
        <v>4</v>
      </c>
      <c r="DG37" s="190">
        <v>51</v>
      </c>
      <c r="DH37" s="190">
        <v>55</v>
      </c>
      <c r="DI37" s="190">
        <v>0</v>
      </c>
      <c r="DJ37" s="190">
        <v>0</v>
      </c>
      <c r="DK37" s="190">
        <v>0</v>
      </c>
      <c r="DL37" s="190">
        <v>0</v>
      </c>
      <c r="DM37" s="190">
        <v>0</v>
      </c>
      <c r="DN37" s="190">
        <v>0</v>
      </c>
      <c r="DO37" s="190">
        <v>0</v>
      </c>
      <c r="DP37" s="190">
        <v>0</v>
      </c>
      <c r="DQ37" s="190">
        <v>0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11249</v>
      </c>
      <c r="C38" s="190">
        <v>3126</v>
      </c>
      <c r="D38" s="190">
        <v>10173</v>
      </c>
      <c r="E38" s="190">
        <v>6312</v>
      </c>
      <c r="F38" s="190">
        <v>4</v>
      </c>
      <c r="G38" s="190">
        <v>37</v>
      </c>
      <c r="H38" s="190">
        <v>41</v>
      </c>
      <c r="I38" s="190">
        <v>1</v>
      </c>
      <c r="J38" s="190">
        <v>3520</v>
      </c>
      <c r="K38" s="190">
        <v>3521</v>
      </c>
      <c r="L38" s="190">
        <v>1</v>
      </c>
      <c r="M38" s="190">
        <v>1370</v>
      </c>
      <c r="N38" s="190">
        <v>1371</v>
      </c>
      <c r="O38" s="190">
        <v>0</v>
      </c>
      <c r="P38" s="190">
        <v>2150</v>
      </c>
      <c r="Q38" s="190">
        <v>2150</v>
      </c>
      <c r="R38" s="190">
        <v>0</v>
      </c>
      <c r="S38" s="190">
        <v>18</v>
      </c>
      <c r="T38" s="190">
        <v>18</v>
      </c>
      <c r="U38" s="190">
        <v>0</v>
      </c>
      <c r="V38" s="190">
        <v>340</v>
      </c>
      <c r="W38" s="190">
        <v>340</v>
      </c>
      <c r="X38" s="190">
        <v>314</v>
      </c>
      <c r="Y38" s="190">
        <v>9858</v>
      </c>
      <c r="Z38" s="190">
        <v>10172</v>
      </c>
      <c r="AA38" s="190">
        <v>218</v>
      </c>
      <c r="AB38" s="190">
        <v>4351</v>
      </c>
      <c r="AC38" s="190">
        <v>4569</v>
      </c>
      <c r="AD38" s="190">
        <v>209</v>
      </c>
      <c r="AE38" s="190">
        <v>4082</v>
      </c>
      <c r="AF38" s="190">
        <v>4291</v>
      </c>
      <c r="AG38" s="190">
        <v>5</v>
      </c>
      <c r="AH38" s="190">
        <v>150</v>
      </c>
      <c r="AI38" s="190">
        <v>155</v>
      </c>
      <c r="AJ38" s="190">
        <v>4</v>
      </c>
      <c r="AK38" s="190">
        <v>119</v>
      </c>
      <c r="AL38" s="190">
        <v>123</v>
      </c>
      <c r="AM38" s="190">
        <v>96</v>
      </c>
      <c r="AN38" s="190">
        <v>5507</v>
      </c>
      <c r="AO38" s="190">
        <v>5603</v>
      </c>
      <c r="AP38" s="190">
        <v>14370</v>
      </c>
      <c r="AQ38" s="190">
        <v>102014</v>
      </c>
      <c r="AR38" s="190">
        <v>116384</v>
      </c>
      <c r="AS38" s="190">
        <v>14371</v>
      </c>
      <c r="AT38" s="190">
        <v>102015</v>
      </c>
      <c r="AU38" s="190">
        <v>116386</v>
      </c>
      <c r="AV38" s="190">
        <v>-1</v>
      </c>
      <c r="AW38" s="190">
        <v>-1</v>
      </c>
      <c r="AX38" s="190">
        <v>-2</v>
      </c>
      <c r="AY38" s="190">
        <v>616</v>
      </c>
      <c r="AZ38" s="190">
        <v>10191</v>
      </c>
      <c r="BA38" s="190">
        <v>10807</v>
      </c>
      <c r="BB38" s="190">
        <v>324</v>
      </c>
      <c r="BC38" s="190">
        <v>4</v>
      </c>
      <c r="BD38" s="190">
        <v>2</v>
      </c>
      <c r="BE38" s="190">
        <v>5926</v>
      </c>
      <c r="BF38" s="190">
        <v>43</v>
      </c>
      <c r="BG38" s="190">
        <v>13</v>
      </c>
      <c r="BH38" s="190">
        <v>330</v>
      </c>
      <c r="BI38" s="190">
        <v>5982</v>
      </c>
      <c r="BJ38" s="190">
        <v>6312</v>
      </c>
      <c r="BK38" s="190">
        <v>-151</v>
      </c>
      <c r="BL38" s="190">
        <v>151</v>
      </c>
      <c r="BM38" s="190">
        <v>0</v>
      </c>
      <c r="BN38" s="190">
        <v>20</v>
      </c>
      <c r="BO38" s="190">
        <v>156</v>
      </c>
      <c r="BP38" s="190">
        <v>176</v>
      </c>
      <c r="BQ38" s="190">
        <v>105</v>
      </c>
      <c r="BR38" s="190">
        <v>1711</v>
      </c>
      <c r="BS38" s="190">
        <v>1816</v>
      </c>
      <c r="BT38" s="190">
        <v>312</v>
      </c>
      <c r="BU38" s="190">
        <v>2191</v>
      </c>
      <c r="BV38" s="190">
        <v>2503</v>
      </c>
      <c r="BW38" s="190">
        <v>14986</v>
      </c>
      <c r="BX38" s="190">
        <v>112205</v>
      </c>
      <c r="BY38" s="190">
        <v>127191</v>
      </c>
      <c r="BZ38" s="190">
        <v>14872</v>
      </c>
      <c r="CA38" s="190">
        <v>111191</v>
      </c>
      <c r="CB38" s="190">
        <v>126063</v>
      </c>
      <c r="CC38" s="190">
        <v>280321</v>
      </c>
      <c r="CD38" s="190">
        <v>116</v>
      </c>
      <c r="CE38" s="190">
        <v>930</v>
      </c>
      <c r="CF38" s="190">
        <v>104</v>
      </c>
      <c r="CG38" s="190">
        <v>826</v>
      </c>
      <c r="CH38" s="190">
        <v>930</v>
      </c>
      <c r="CI38" s="190">
        <v>226</v>
      </c>
      <c r="CJ38" s="190">
        <v>30</v>
      </c>
      <c r="CK38" s="190">
        <v>10</v>
      </c>
      <c r="CL38" s="190">
        <v>188</v>
      </c>
      <c r="CM38" s="190">
        <v>198</v>
      </c>
      <c r="CN38" s="190">
        <v>746</v>
      </c>
      <c r="CO38" s="190">
        <v>10638</v>
      </c>
      <c r="CP38" s="190">
        <v>11384</v>
      </c>
      <c r="CQ38" s="190">
        <v>0</v>
      </c>
      <c r="CR38" s="190">
        <v>84</v>
      </c>
      <c r="CS38" s="190">
        <v>84</v>
      </c>
      <c r="CT38" s="190">
        <v>14240</v>
      </c>
      <c r="CU38" s="190">
        <v>101567</v>
      </c>
      <c r="CV38" s="190">
        <v>115807</v>
      </c>
      <c r="CW38" s="190">
        <v>801</v>
      </c>
      <c r="CX38" s="190">
        <v>4395</v>
      </c>
      <c r="CY38" s="190">
        <v>5196</v>
      </c>
      <c r="CZ38" s="190">
        <v>797</v>
      </c>
      <c r="DA38" s="190">
        <v>4</v>
      </c>
      <c r="DB38" s="190">
        <v>0</v>
      </c>
      <c r="DC38" s="190">
        <v>4305</v>
      </c>
      <c r="DD38" s="190">
        <v>36</v>
      </c>
      <c r="DE38" s="190">
        <v>0</v>
      </c>
      <c r="DF38" s="190">
        <v>801</v>
      </c>
      <c r="DG38" s="190">
        <v>4341</v>
      </c>
      <c r="DH38" s="190">
        <v>5142</v>
      </c>
      <c r="DI38" s="190">
        <v>0</v>
      </c>
      <c r="DJ38" s="190">
        <v>0</v>
      </c>
      <c r="DK38" s="190">
        <v>0</v>
      </c>
      <c r="DL38" s="190">
        <v>54</v>
      </c>
      <c r="DM38" s="190">
        <v>0</v>
      </c>
      <c r="DN38" s="190">
        <v>0</v>
      </c>
      <c r="DO38" s="190">
        <v>0</v>
      </c>
      <c r="DP38" s="190">
        <v>54</v>
      </c>
      <c r="DQ38" s="190">
        <v>54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7744</v>
      </c>
      <c r="C39" s="190">
        <v>2420</v>
      </c>
      <c r="D39" s="190">
        <v>6376</v>
      </c>
      <c r="E39" s="190">
        <v>4091</v>
      </c>
      <c r="F39" s="190">
        <v>4</v>
      </c>
      <c r="G39" s="190">
        <v>53</v>
      </c>
      <c r="H39" s="190">
        <v>57</v>
      </c>
      <c r="I39" s="190">
        <v>3</v>
      </c>
      <c r="J39" s="190">
        <v>2094</v>
      </c>
      <c r="K39" s="190">
        <v>2097</v>
      </c>
      <c r="L39" s="190">
        <v>1</v>
      </c>
      <c r="M39" s="190">
        <v>731</v>
      </c>
      <c r="N39" s="190">
        <v>732</v>
      </c>
      <c r="O39" s="190">
        <v>2</v>
      </c>
      <c r="P39" s="190">
        <v>1363</v>
      </c>
      <c r="Q39" s="190">
        <v>1365</v>
      </c>
      <c r="R39" s="190">
        <v>0</v>
      </c>
      <c r="S39" s="190">
        <v>103</v>
      </c>
      <c r="T39" s="190">
        <v>103</v>
      </c>
      <c r="U39" s="190">
        <v>0</v>
      </c>
      <c r="V39" s="190">
        <v>188</v>
      </c>
      <c r="W39" s="190">
        <v>188</v>
      </c>
      <c r="X39" s="190">
        <v>282</v>
      </c>
      <c r="Y39" s="190">
        <v>6094</v>
      </c>
      <c r="Z39" s="190">
        <v>6376</v>
      </c>
      <c r="AA39" s="190">
        <v>145</v>
      </c>
      <c r="AB39" s="190">
        <v>1956</v>
      </c>
      <c r="AC39" s="190">
        <v>2101</v>
      </c>
      <c r="AD39" s="190">
        <v>145</v>
      </c>
      <c r="AE39" s="190">
        <v>1942</v>
      </c>
      <c r="AF39" s="190">
        <v>2087</v>
      </c>
      <c r="AG39" s="190">
        <v>0</v>
      </c>
      <c r="AH39" s="190">
        <v>12</v>
      </c>
      <c r="AI39" s="190">
        <v>12</v>
      </c>
      <c r="AJ39" s="190">
        <v>0</v>
      </c>
      <c r="AK39" s="190">
        <v>2</v>
      </c>
      <c r="AL39" s="190">
        <v>2</v>
      </c>
      <c r="AM39" s="190">
        <v>137</v>
      </c>
      <c r="AN39" s="190">
        <v>4138</v>
      </c>
      <c r="AO39" s="190">
        <v>4275</v>
      </c>
      <c r="AP39" s="190">
        <v>13330</v>
      </c>
      <c r="AQ39" s="190">
        <v>77517</v>
      </c>
      <c r="AR39" s="190">
        <v>90847</v>
      </c>
      <c r="AS39" s="190">
        <v>13232</v>
      </c>
      <c r="AT39" s="190">
        <v>77089</v>
      </c>
      <c r="AU39" s="190">
        <v>90321</v>
      </c>
      <c r="AV39" s="190">
        <v>98</v>
      </c>
      <c r="AW39" s="190">
        <v>428</v>
      </c>
      <c r="AX39" s="190">
        <v>526</v>
      </c>
      <c r="AY39" s="190">
        <v>940</v>
      </c>
      <c r="AZ39" s="190">
        <v>8010</v>
      </c>
      <c r="BA39" s="190">
        <v>8950</v>
      </c>
      <c r="BB39" s="190">
        <v>413</v>
      </c>
      <c r="BC39" s="190">
        <v>8</v>
      </c>
      <c r="BD39" s="190">
        <v>0</v>
      </c>
      <c r="BE39" s="190">
        <v>3584</v>
      </c>
      <c r="BF39" s="190">
        <v>48</v>
      </c>
      <c r="BG39" s="190">
        <v>38</v>
      </c>
      <c r="BH39" s="190">
        <v>421</v>
      </c>
      <c r="BI39" s="190">
        <v>3670</v>
      </c>
      <c r="BJ39" s="190">
        <v>4091</v>
      </c>
      <c r="BK39" s="190">
        <v>-131</v>
      </c>
      <c r="BL39" s="190">
        <v>131</v>
      </c>
      <c r="BM39" s="190">
        <v>0</v>
      </c>
      <c r="BN39" s="190">
        <v>19</v>
      </c>
      <c r="BO39" s="190">
        <v>84</v>
      </c>
      <c r="BP39" s="190">
        <v>103</v>
      </c>
      <c r="BQ39" s="190">
        <v>64</v>
      </c>
      <c r="BR39" s="190">
        <v>685</v>
      </c>
      <c r="BS39" s="190">
        <v>749</v>
      </c>
      <c r="BT39" s="190">
        <v>567</v>
      </c>
      <c r="BU39" s="190">
        <v>3440</v>
      </c>
      <c r="BV39" s="190">
        <v>4007</v>
      </c>
      <c r="BW39" s="190">
        <v>14270</v>
      </c>
      <c r="BX39" s="190">
        <v>85527</v>
      </c>
      <c r="BY39" s="190">
        <v>99797</v>
      </c>
      <c r="BZ39" s="190">
        <v>13675</v>
      </c>
      <c r="CA39" s="190">
        <v>83495</v>
      </c>
      <c r="CB39" s="190">
        <v>97170</v>
      </c>
      <c r="CC39" s="190">
        <v>208815</v>
      </c>
      <c r="CD39" s="190">
        <v>137</v>
      </c>
      <c r="CE39" s="190">
        <v>2651</v>
      </c>
      <c r="CF39" s="190">
        <v>586</v>
      </c>
      <c r="CG39" s="190">
        <v>1462</v>
      </c>
      <c r="CH39" s="190">
        <v>2048</v>
      </c>
      <c r="CI39" s="190">
        <v>765</v>
      </c>
      <c r="CJ39" s="190">
        <v>27</v>
      </c>
      <c r="CK39" s="190">
        <v>9</v>
      </c>
      <c r="CL39" s="190">
        <v>570</v>
      </c>
      <c r="CM39" s="190">
        <v>579</v>
      </c>
      <c r="CN39" s="190">
        <v>857</v>
      </c>
      <c r="CO39" s="190">
        <v>8097</v>
      </c>
      <c r="CP39" s="190">
        <v>8954</v>
      </c>
      <c r="CQ39" s="190">
        <v>0</v>
      </c>
      <c r="CR39" s="190">
        <v>17</v>
      </c>
      <c r="CS39" s="190">
        <v>17</v>
      </c>
      <c r="CT39" s="190">
        <v>13413</v>
      </c>
      <c r="CU39" s="190">
        <v>77430</v>
      </c>
      <c r="CV39" s="190">
        <v>90843</v>
      </c>
      <c r="CW39" s="190">
        <v>880</v>
      </c>
      <c r="CX39" s="190">
        <v>4182</v>
      </c>
      <c r="CY39" s="190">
        <v>5062</v>
      </c>
      <c r="CZ39" s="190">
        <v>835</v>
      </c>
      <c r="DA39" s="190">
        <v>28</v>
      </c>
      <c r="DB39" s="190">
        <v>0</v>
      </c>
      <c r="DC39" s="190">
        <v>3825</v>
      </c>
      <c r="DD39" s="190">
        <v>69</v>
      </c>
      <c r="DE39" s="190">
        <v>10</v>
      </c>
      <c r="DF39" s="190">
        <v>863</v>
      </c>
      <c r="DG39" s="190">
        <v>3904</v>
      </c>
      <c r="DH39" s="190">
        <v>4767</v>
      </c>
      <c r="DI39" s="190">
        <v>15</v>
      </c>
      <c r="DJ39" s="190">
        <v>2</v>
      </c>
      <c r="DK39" s="190">
        <v>0</v>
      </c>
      <c r="DL39" s="190">
        <v>269</v>
      </c>
      <c r="DM39" s="190">
        <v>4</v>
      </c>
      <c r="DN39" s="190">
        <v>5</v>
      </c>
      <c r="DO39" s="190">
        <v>17</v>
      </c>
      <c r="DP39" s="190">
        <v>278</v>
      </c>
      <c r="DQ39" s="190">
        <v>295</v>
      </c>
      <c r="DR39" s="190">
        <v>0</v>
      </c>
      <c r="DS39" s="190">
        <v>1</v>
      </c>
      <c r="DT39" s="191">
        <v>1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192</v>
      </c>
      <c r="C40" s="190">
        <v>53</v>
      </c>
      <c r="D40" s="190">
        <v>146</v>
      </c>
      <c r="E40" s="190">
        <v>93</v>
      </c>
      <c r="F40" s="190">
        <v>1</v>
      </c>
      <c r="G40" s="190">
        <v>9</v>
      </c>
      <c r="H40" s="190">
        <v>10</v>
      </c>
      <c r="I40" s="190">
        <v>1</v>
      </c>
      <c r="J40" s="190">
        <v>41</v>
      </c>
      <c r="K40" s="190">
        <v>42</v>
      </c>
      <c r="L40" s="190">
        <v>1</v>
      </c>
      <c r="M40" s="190">
        <v>11</v>
      </c>
      <c r="N40" s="190">
        <v>12</v>
      </c>
      <c r="O40" s="190">
        <v>0</v>
      </c>
      <c r="P40" s="190">
        <v>30</v>
      </c>
      <c r="Q40" s="190">
        <v>30</v>
      </c>
      <c r="R40" s="190">
        <v>0</v>
      </c>
      <c r="S40" s="190">
        <v>1</v>
      </c>
      <c r="T40" s="190">
        <v>1</v>
      </c>
      <c r="U40" s="190">
        <v>0</v>
      </c>
      <c r="V40" s="190">
        <v>11</v>
      </c>
      <c r="W40" s="190">
        <v>11</v>
      </c>
      <c r="X40" s="190">
        <v>5</v>
      </c>
      <c r="Y40" s="190">
        <v>140</v>
      </c>
      <c r="Z40" s="190">
        <v>145</v>
      </c>
      <c r="AA40" s="190">
        <v>3</v>
      </c>
      <c r="AB40" s="190">
        <v>59</v>
      </c>
      <c r="AC40" s="190">
        <v>62</v>
      </c>
      <c r="AD40" s="190">
        <v>3</v>
      </c>
      <c r="AE40" s="190">
        <v>55</v>
      </c>
      <c r="AF40" s="190">
        <v>58</v>
      </c>
      <c r="AG40" s="190">
        <v>0</v>
      </c>
      <c r="AH40" s="190">
        <v>3</v>
      </c>
      <c r="AI40" s="190">
        <v>3</v>
      </c>
      <c r="AJ40" s="190">
        <v>0</v>
      </c>
      <c r="AK40" s="190">
        <v>1</v>
      </c>
      <c r="AL40" s="190">
        <v>1</v>
      </c>
      <c r="AM40" s="190">
        <v>2</v>
      </c>
      <c r="AN40" s="190">
        <v>81</v>
      </c>
      <c r="AO40" s="190">
        <v>83</v>
      </c>
      <c r="AP40" s="190">
        <v>236</v>
      </c>
      <c r="AQ40" s="190">
        <v>1911</v>
      </c>
      <c r="AR40" s="190">
        <v>2147</v>
      </c>
      <c r="AS40" s="190">
        <v>236</v>
      </c>
      <c r="AT40" s="190">
        <v>1911</v>
      </c>
      <c r="AU40" s="190">
        <v>2147</v>
      </c>
      <c r="AV40" s="190">
        <v>0</v>
      </c>
      <c r="AW40" s="190">
        <v>0</v>
      </c>
      <c r="AX40" s="190">
        <v>0</v>
      </c>
      <c r="AY40" s="190">
        <v>23</v>
      </c>
      <c r="AZ40" s="190">
        <v>190</v>
      </c>
      <c r="BA40" s="190">
        <v>213</v>
      </c>
      <c r="BB40" s="190">
        <v>8</v>
      </c>
      <c r="BC40" s="190">
        <v>0</v>
      </c>
      <c r="BD40" s="190">
        <v>0</v>
      </c>
      <c r="BE40" s="190">
        <v>85</v>
      </c>
      <c r="BF40" s="190">
        <v>0</v>
      </c>
      <c r="BG40" s="190">
        <v>0</v>
      </c>
      <c r="BH40" s="190">
        <v>8</v>
      </c>
      <c r="BI40" s="190">
        <v>85</v>
      </c>
      <c r="BJ40" s="190">
        <v>93</v>
      </c>
      <c r="BK40" s="190">
        <v>4</v>
      </c>
      <c r="BL40" s="190">
        <v>-4</v>
      </c>
      <c r="BM40" s="190">
        <v>0</v>
      </c>
      <c r="BN40" s="190">
        <v>1</v>
      </c>
      <c r="BO40" s="190">
        <v>7</v>
      </c>
      <c r="BP40" s="190">
        <v>8</v>
      </c>
      <c r="BQ40" s="190">
        <v>3</v>
      </c>
      <c r="BR40" s="190">
        <v>20</v>
      </c>
      <c r="BS40" s="190">
        <v>23</v>
      </c>
      <c r="BT40" s="190">
        <v>7</v>
      </c>
      <c r="BU40" s="190">
        <v>82</v>
      </c>
      <c r="BV40" s="190">
        <v>89</v>
      </c>
      <c r="BW40" s="190">
        <v>259</v>
      </c>
      <c r="BX40" s="190">
        <v>2101</v>
      </c>
      <c r="BY40" s="190">
        <v>2360</v>
      </c>
      <c r="BZ40" s="190">
        <v>258</v>
      </c>
      <c r="CA40" s="190">
        <v>2081</v>
      </c>
      <c r="CB40" s="190">
        <v>2339</v>
      </c>
      <c r="CC40" s="190">
        <v>5260</v>
      </c>
      <c r="CD40" s="190">
        <v>3</v>
      </c>
      <c r="CE40" s="190">
        <v>19</v>
      </c>
      <c r="CF40" s="190">
        <v>1</v>
      </c>
      <c r="CG40" s="190">
        <v>19</v>
      </c>
      <c r="CH40" s="190">
        <v>20</v>
      </c>
      <c r="CI40" s="190">
        <v>1</v>
      </c>
      <c r="CJ40" s="190">
        <v>0</v>
      </c>
      <c r="CK40" s="190">
        <v>0</v>
      </c>
      <c r="CL40" s="190">
        <v>1</v>
      </c>
      <c r="CM40" s="190">
        <v>1</v>
      </c>
      <c r="CN40" s="190">
        <v>9</v>
      </c>
      <c r="CO40" s="190">
        <v>224</v>
      </c>
      <c r="CP40" s="190">
        <v>233</v>
      </c>
      <c r="CQ40" s="190">
        <v>0</v>
      </c>
      <c r="CR40" s="190">
        <v>0</v>
      </c>
      <c r="CS40" s="190">
        <v>0</v>
      </c>
      <c r="CT40" s="190">
        <v>250</v>
      </c>
      <c r="CU40" s="190">
        <v>1877</v>
      </c>
      <c r="CV40" s="190">
        <v>2127</v>
      </c>
      <c r="CW40" s="190">
        <v>14</v>
      </c>
      <c r="CX40" s="190">
        <v>114</v>
      </c>
      <c r="CY40" s="190">
        <v>128</v>
      </c>
      <c r="CZ40" s="190">
        <v>14</v>
      </c>
      <c r="DA40" s="190">
        <v>0</v>
      </c>
      <c r="DB40" s="190">
        <v>0</v>
      </c>
      <c r="DC40" s="190">
        <v>110</v>
      </c>
      <c r="DD40" s="190">
        <v>1</v>
      </c>
      <c r="DE40" s="190">
        <v>0</v>
      </c>
      <c r="DF40" s="190">
        <v>14</v>
      </c>
      <c r="DG40" s="190">
        <v>111</v>
      </c>
      <c r="DH40" s="190">
        <v>125</v>
      </c>
      <c r="DI40" s="190">
        <v>0</v>
      </c>
      <c r="DJ40" s="190">
        <v>0</v>
      </c>
      <c r="DK40" s="190">
        <v>0</v>
      </c>
      <c r="DL40" s="190">
        <v>3</v>
      </c>
      <c r="DM40" s="190">
        <v>0</v>
      </c>
      <c r="DN40" s="190">
        <v>0</v>
      </c>
      <c r="DO40" s="190">
        <v>0</v>
      </c>
      <c r="DP40" s="190">
        <v>3</v>
      </c>
      <c r="DQ40" s="190">
        <v>3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13957</v>
      </c>
      <c r="C41" s="190">
        <v>3779</v>
      </c>
      <c r="D41" s="190">
        <v>12512</v>
      </c>
      <c r="E41" s="190">
        <v>9146</v>
      </c>
      <c r="F41" s="190">
        <v>7</v>
      </c>
      <c r="G41" s="190">
        <v>53</v>
      </c>
      <c r="H41" s="190">
        <v>60</v>
      </c>
      <c r="I41" s="190">
        <v>5</v>
      </c>
      <c r="J41" s="190">
        <v>3006</v>
      </c>
      <c r="K41" s="190">
        <v>3011</v>
      </c>
      <c r="L41" s="190">
        <v>5</v>
      </c>
      <c r="M41" s="190">
        <v>1336</v>
      </c>
      <c r="N41" s="190">
        <v>1341</v>
      </c>
      <c r="O41" s="190">
        <v>0</v>
      </c>
      <c r="P41" s="190">
        <v>1670</v>
      </c>
      <c r="Q41" s="190">
        <v>1670</v>
      </c>
      <c r="R41" s="190">
        <v>1</v>
      </c>
      <c r="S41" s="190">
        <v>30</v>
      </c>
      <c r="T41" s="190">
        <v>31</v>
      </c>
      <c r="U41" s="190">
        <v>0</v>
      </c>
      <c r="V41" s="190">
        <v>355</v>
      </c>
      <c r="W41" s="190">
        <v>355</v>
      </c>
      <c r="X41" s="190">
        <v>413</v>
      </c>
      <c r="Y41" s="190">
        <v>12097</v>
      </c>
      <c r="Z41" s="190">
        <v>12510</v>
      </c>
      <c r="AA41" s="190">
        <v>285</v>
      </c>
      <c r="AB41" s="190">
        <v>6247</v>
      </c>
      <c r="AC41" s="190">
        <v>6532</v>
      </c>
      <c r="AD41" s="190">
        <v>260</v>
      </c>
      <c r="AE41" s="190">
        <v>5872</v>
      </c>
      <c r="AF41" s="190">
        <v>6132</v>
      </c>
      <c r="AG41" s="190">
        <v>20</v>
      </c>
      <c r="AH41" s="190">
        <v>252</v>
      </c>
      <c r="AI41" s="190">
        <v>272</v>
      </c>
      <c r="AJ41" s="190">
        <v>5</v>
      </c>
      <c r="AK41" s="190">
        <v>123</v>
      </c>
      <c r="AL41" s="190">
        <v>128</v>
      </c>
      <c r="AM41" s="190">
        <v>128</v>
      </c>
      <c r="AN41" s="190">
        <v>5850</v>
      </c>
      <c r="AO41" s="190">
        <v>5978</v>
      </c>
      <c r="AP41" s="190">
        <v>22882</v>
      </c>
      <c r="AQ41" s="190">
        <v>135324</v>
      </c>
      <c r="AR41" s="190">
        <v>158206</v>
      </c>
      <c r="AS41" s="190">
        <v>22882</v>
      </c>
      <c r="AT41" s="190">
        <v>135325</v>
      </c>
      <c r="AU41" s="190">
        <v>158207</v>
      </c>
      <c r="AV41" s="190">
        <v>0</v>
      </c>
      <c r="AW41" s="190">
        <v>-1</v>
      </c>
      <c r="AX41" s="190">
        <v>-1</v>
      </c>
      <c r="AY41" s="190">
        <v>1271</v>
      </c>
      <c r="AZ41" s="190">
        <v>13860</v>
      </c>
      <c r="BA41" s="190">
        <v>15131</v>
      </c>
      <c r="BB41" s="190">
        <v>468</v>
      </c>
      <c r="BC41" s="190">
        <v>2</v>
      </c>
      <c r="BD41" s="190">
        <v>0</v>
      </c>
      <c r="BE41" s="190">
        <v>8585</v>
      </c>
      <c r="BF41" s="190">
        <v>60</v>
      </c>
      <c r="BG41" s="190">
        <v>31</v>
      </c>
      <c r="BH41" s="190">
        <v>470</v>
      </c>
      <c r="BI41" s="190">
        <v>8676</v>
      </c>
      <c r="BJ41" s="190">
        <v>9146</v>
      </c>
      <c r="BK41" s="190">
        <v>-59</v>
      </c>
      <c r="BL41" s="190">
        <v>59</v>
      </c>
      <c r="BM41" s="190">
        <v>0</v>
      </c>
      <c r="BN41" s="190">
        <v>63</v>
      </c>
      <c r="BO41" s="190">
        <v>202</v>
      </c>
      <c r="BP41" s="190">
        <v>265</v>
      </c>
      <c r="BQ41" s="190">
        <v>91</v>
      </c>
      <c r="BR41" s="190">
        <v>1272</v>
      </c>
      <c r="BS41" s="190">
        <v>1363</v>
      </c>
      <c r="BT41" s="190">
        <v>706</v>
      </c>
      <c r="BU41" s="190">
        <v>3651</v>
      </c>
      <c r="BV41" s="190">
        <v>4357</v>
      </c>
      <c r="BW41" s="190">
        <v>24153</v>
      </c>
      <c r="BX41" s="190">
        <v>149184</v>
      </c>
      <c r="BY41" s="190">
        <v>173337</v>
      </c>
      <c r="BZ41" s="190">
        <v>23990</v>
      </c>
      <c r="CA41" s="190">
        <v>147905</v>
      </c>
      <c r="CB41" s="190">
        <v>171895</v>
      </c>
      <c r="CC41" s="190">
        <v>376219</v>
      </c>
      <c r="CD41" s="190">
        <v>111</v>
      </c>
      <c r="CE41" s="190">
        <v>1160</v>
      </c>
      <c r="CF41" s="190">
        <v>155</v>
      </c>
      <c r="CG41" s="190">
        <v>919</v>
      </c>
      <c r="CH41" s="190">
        <v>1074</v>
      </c>
      <c r="CI41" s="190">
        <v>429</v>
      </c>
      <c r="CJ41" s="190">
        <v>51</v>
      </c>
      <c r="CK41" s="190">
        <v>8</v>
      </c>
      <c r="CL41" s="190">
        <v>360</v>
      </c>
      <c r="CM41" s="190">
        <v>368</v>
      </c>
      <c r="CN41" s="190">
        <v>1457</v>
      </c>
      <c r="CO41" s="190">
        <v>13535</v>
      </c>
      <c r="CP41" s="190">
        <v>14992</v>
      </c>
      <c r="CQ41" s="190">
        <v>0</v>
      </c>
      <c r="CR41" s="190">
        <v>31</v>
      </c>
      <c r="CS41" s="190">
        <v>31</v>
      </c>
      <c r="CT41" s="190">
        <v>22696</v>
      </c>
      <c r="CU41" s="190">
        <v>135649</v>
      </c>
      <c r="CV41" s="190">
        <v>158345</v>
      </c>
      <c r="CW41" s="190">
        <v>1495</v>
      </c>
      <c r="CX41" s="190">
        <v>6626</v>
      </c>
      <c r="CY41" s="190">
        <v>8121</v>
      </c>
      <c r="CZ41" s="190">
        <v>1485</v>
      </c>
      <c r="DA41" s="190">
        <v>8</v>
      </c>
      <c r="DB41" s="190">
        <v>0</v>
      </c>
      <c r="DC41" s="190">
        <v>6515</v>
      </c>
      <c r="DD41" s="190">
        <v>36</v>
      </c>
      <c r="DE41" s="190">
        <v>16</v>
      </c>
      <c r="DF41" s="190">
        <v>1493</v>
      </c>
      <c r="DG41" s="190">
        <v>6567</v>
      </c>
      <c r="DH41" s="190">
        <v>8060</v>
      </c>
      <c r="DI41" s="190">
        <v>2</v>
      </c>
      <c r="DJ41" s="190">
        <v>0</v>
      </c>
      <c r="DK41" s="190">
        <v>0</v>
      </c>
      <c r="DL41" s="190">
        <v>58</v>
      </c>
      <c r="DM41" s="190">
        <v>1</v>
      </c>
      <c r="DN41" s="190">
        <v>0</v>
      </c>
      <c r="DO41" s="190">
        <v>2</v>
      </c>
      <c r="DP41" s="190">
        <v>59</v>
      </c>
      <c r="DQ41" s="190">
        <v>61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12220</v>
      </c>
      <c r="C42" s="190">
        <v>4502</v>
      </c>
      <c r="D42" s="190">
        <v>9691</v>
      </c>
      <c r="E42" s="190">
        <v>5421</v>
      </c>
      <c r="F42" s="190">
        <v>5</v>
      </c>
      <c r="G42" s="190">
        <v>119</v>
      </c>
      <c r="H42" s="190">
        <v>124</v>
      </c>
      <c r="I42" s="190">
        <v>9</v>
      </c>
      <c r="J42" s="190">
        <v>3841</v>
      </c>
      <c r="K42" s="190">
        <v>3850</v>
      </c>
      <c r="L42" s="190">
        <v>9</v>
      </c>
      <c r="M42" s="190">
        <v>3836</v>
      </c>
      <c r="N42" s="190">
        <v>3845</v>
      </c>
      <c r="O42" s="190">
        <v>0</v>
      </c>
      <c r="P42" s="190">
        <v>5</v>
      </c>
      <c r="Q42" s="190">
        <v>5</v>
      </c>
      <c r="R42" s="190">
        <v>1</v>
      </c>
      <c r="S42" s="190">
        <v>433</v>
      </c>
      <c r="T42" s="190">
        <v>434</v>
      </c>
      <c r="U42" s="190">
        <v>0</v>
      </c>
      <c r="V42" s="190">
        <v>420</v>
      </c>
      <c r="W42" s="190">
        <v>420</v>
      </c>
      <c r="X42" s="190">
        <v>159</v>
      </c>
      <c r="Y42" s="190">
        <v>7369</v>
      </c>
      <c r="Z42" s="190">
        <v>7528</v>
      </c>
      <c r="AA42" s="190">
        <v>89</v>
      </c>
      <c r="AB42" s="190">
        <v>2557</v>
      </c>
      <c r="AC42" s="190">
        <v>2646</v>
      </c>
      <c r="AD42" s="190">
        <v>88</v>
      </c>
      <c r="AE42" s="190">
        <v>2488</v>
      </c>
      <c r="AF42" s="190">
        <v>2576</v>
      </c>
      <c r="AG42" s="190">
        <v>1</v>
      </c>
      <c r="AH42" s="190">
        <v>56</v>
      </c>
      <c r="AI42" s="190">
        <v>57</v>
      </c>
      <c r="AJ42" s="190">
        <v>0</v>
      </c>
      <c r="AK42" s="190">
        <v>13</v>
      </c>
      <c r="AL42" s="190">
        <v>13</v>
      </c>
      <c r="AM42" s="190">
        <v>70</v>
      </c>
      <c r="AN42" s="190">
        <v>4812</v>
      </c>
      <c r="AO42" s="190">
        <v>4882</v>
      </c>
      <c r="AP42" s="190">
        <v>11938</v>
      </c>
      <c r="AQ42" s="190">
        <v>114535</v>
      </c>
      <c r="AR42" s="190">
        <v>126473</v>
      </c>
      <c r="AS42" s="190">
        <v>11920</v>
      </c>
      <c r="AT42" s="190">
        <v>113778</v>
      </c>
      <c r="AU42" s="190">
        <v>125698</v>
      </c>
      <c r="AV42" s="190">
        <v>18</v>
      </c>
      <c r="AW42" s="190">
        <v>757</v>
      </c>
      <c r="AX42" s="190">
        <v>775</v>
      </c>
      <c r="AY42" s="190">
        <v>784</v>
      </c>
      <c r="AZ42" s="190">
        <v>9556</v>
      </c>
      <c r="BA42" s="190">
        <v>10340</v>
      </c>
      <c r="BB42" s="190">
        <v>194</v>
      </c>
      <c r="BC42" s="190">
        <v>2</v>
      </c>
      <c r="BD42" s="190">
        <v>1</v>
      </c>
      <c r="BE42" s="190">
        <v>5098</v>
      </c>
      <c r="BF42" s="190">
        <v>91</v>
      </c>
      <c r="BG42" s="190">
        <v>35</v>
      </c>
      <c r="BH42" s="190">
        <v>197</v>
      </c>
      <c r="BI42" s="190">
        <v>5224</v>
      </c>
      <c r="BJ42" s="190">
        <v>5421</v>
      </c>
      <c r="BK42" s="190">
        <v>78</v>
      </c>
      <c r="BL42" s="190">
        <v>-78</v>
      </c>
      <c r="BM42" s="190">
        <v>0</v>
      </c>
      <c r="BN42" s="190">
        <v>7</v>
      </c>
      <c r="BO42" s="190">
        <v>83</v>
      </c>
      <c r="BP42" s="190">
        <v>90</v>
      </c>
      <c r="BQ42" s="190">
        <v>13</v>
      </c>
      <c r="BR42" s="190">
        <v>260</v>
      </c>
      <c r="BS42" s="190">
        <v>273</v>
      </c>
      <c r="BT42" s="190">
        <v>489</v>
      </c>
      <c r="BU42" s="190">
        <v>4067</v>
      </c>
      <c r="BV42" s="190">
        <v>4556</v>
      </c>
      <c r="BW42" s="190">
        <v>12722</v>
      </c>
      <c r="BX42" s="190">
        <v>124091</v>
      </c>
      <c r="BY42" s="190">
        <v>136813</v>
      </c>
      <c r="BZ42" s="190">
        <v>12418</v>
      </c>
      <c r="CA42" s="190">
        <v>121622</v>
      </c>
      <c r="CB42" s="190">
        <v>134040</v>
      </c>
      <c r="CC42" s="190">
        <v>277499</v>
      </c>
      <c r="CD42" s="190">
        <v>271</v>
      </c>
      <c r="CE42" s="190">
        <v>2480</v>
      </c>
      <c r="CF42" s="190">
        <v>298</v>
      </c>
      <c r="CG42" s="190">
        <v>1729</v>
      </c>
      <c r="CH42" s="190">
        <v>2027</v>
      </c>
      <c r="CI42" s="190">
        <v>907</v>
      </c>
      <c r="CJ42" s="190">
        <v>51</v>
      </c>
      <c r="CK42" s="190">
        <v>6</v>
      </c>
      <c r="CL42" s="190">
        <v>740</v>
      </c>
      <c r="CM42" s="190">
        <v>746</v>
      </c>
      <c r="CN42" s="190">
        <v>841</v>
      </c>
      <c r="CO42" s="190">
        <v>11875</v>
      </c>
      <c r="CP42" s="190">
        <v>12716</v>
      </c>
      <c r="CQ42" s="190">
        <v>0</v>
      </c>
      <c r="CR42" s="190">
        <v>9</v>
      </c>
      <c r="CS42" s="190">
        <v>9</v>
      </c>
      <c r="CT42" s="190">
        <v>11881</v>
      </c>
      <c r="CU42" s="190">
        <v>112216</v>
      </c>
      <c r="CV42" s="190">
        <v>124097</v>
      </c>
      <c r="CW42" s="190">
        <v>811</v>
      </c>
      <c r="CX42" s="190">
        <v>5711</v>
      </c>
      <c r="CY42" s="190">
        <v>6522</v>
      </c>
      <c r="CZ42" s="190">
        <v>744</v>
      </c>
      <c r="DA42" s="190">
        <v>15</v>
      </c>
      <c r="DB42" s="190">
        <v>0</v>
      </c>
      <c r="DC42" s="190">
        <v>5023</v>
      </c>
      <c r="DD42" s="190">
        <v>80</v>
      </c>
      <c r="DE42" s="190">
        <v>28</v>
      </c>
      <c r="DF42" s="190">
        <v>759</v>
      </c>
      <c r="DG42" s="190">
        <v>5131</v>
      </c>
      <c r="DH42" s="190">
        <v>5890</v>
      </c>
      <c r="DI42" s="190">
        <v>52</v>
      </c>
      <c r="DJ42" s="190">
        <v>0</v>
      </c>
      <c r="DK42" s="190">
        <v>0</v>
      </c>
      <c r="DL42" s="190">
        <v>566</v>
      </c>
      <c r="DM42" s="190">
        <v>10</v>
      </c>
      <c r="DN42" s="190">
        <v>4</v>
      </c>
      <c r="DO42" s="190">
        <v>52</v>
      </c>
      <c r="DP42" s="190">
        <v>580</v>
      </c>
      <c r="DQ42" s="190">
        <v>632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2935</v>
      </c>
      <c r="C43" s="190">
        <v>905</v>
      </c>
      <c r="D43" s="190">
        <v>2291</v>
      </c>
      <c r="E43" s="190">
        <v>1464</v>
      </c>
      <c r="F43" s="190">
        <v>1</v>
      </c>
      <c r="G43" s="190">
        <v>26</v>
      </c>
      <c r="H43" s="190">
        <v>27</v>
      </c>
      <c r="I43" s="190">
        <v>2</v>
      </c>
      <c r="J43" s="190">
        <v>739</v>
      </c>
      <c r="K43" s="190">
        <v>741</v>
      </c>
      <c r="L43" s="190">
        <v>0</v>
      </c>
      <c r="M43" s="190">
        <v>248</v>
      </c>
      <c r="N43" s="190">
        <v>248</v>
      </c>
      <c r="O43" s="190">
        <v>2</v>
      </c>
      <c r="P43" s="190">
        <v>491</v>
      </c>
      <c r="Q43" s="190">
        <v>493</v>
      </c>
      <c r="R43" s="190">
        <v>0</v>
      </c>
      <c r="S43" s="190">
        <v>40</v>
      </c>
      <c r="T43" s="190">
        <v>40</v>
      </c>
      <c r="U43" s="190">
        <v>0</v>
      </c>
      <c r="V43" s="190">
        <v>86</v>
      </c>
      <c r="W43" s="190">
        <v>86</v>
      </c>
      <c r="X43" s="190">
        <v>49</v>
      </c>
      <c r="Y43" s="190">
        <v>1775</v>
      </c>
      <c r="Z43" s="190">
        <v>1824</v>
      </c>
      <c r="AA43" s="190">
        <v>32</v>
      </c>
      <c r="AB43" s="190">
        <v>770</v>
      </c>
      <c r="AC43" s="190">
        <v>802</v>
      </c>
      <c r="AD43" s="190">
        <v>31</v>
      </c>
      <c r="AE43" s="190">
        <v>717</v>
      </c>
      <c r="AF43" s="190">
        <v>748</v>
      </c>
      <c r="AG43" s="190">
        <v>1</v>
      </c>
      <c r="AH43" s="190">
        <v>37</v>
      </c>
      <c r="AI43" s="190">
        <v>38</v>
      </c>
      <c r="AJ43" s="190">
        <v>0</v>
      </c>
      <c r="AK43" s="190">
        <v>16</v>
      </c>
      <c r="AL43" s="190">
        <v>16</v>
      </c>
      <c r="AM43" s="190">
        <v>17</v>
      </c>
      <c r="AN43" s="190">
        <v>1005</v>
      </c>
      <c r="AO43" s="190">
        <v>1022</v>
      </c>
      <c r="AP43" s="190">
        <v>2027</v>
      </c>
      <c r="AQ43" s="190">
        <v>29120</v>
      </c>
      <c r="AR43" s="190">
        <v>31147</v>
      </c>
      <c r="AS43" s="190">
        <v>2023</v>
      </c>
      <c r="AT43" s="190">
        <v>29123</v>
      </c>
      <c r="AU43" s="190">
        <v>31146</v>
      </c>
      <c r="AV43" s="190">
        <v>4</v>
      </c>
      <c r="AW43" s="190">
        <v>-3</v>
      </c>
      <c r="AX43" s="190">
        <v>1</v>
      </c>
      <c r="AY43" s="190">
        <v>122</v>
      </c>
      <c r="AZ43" s="190">
        <v>2718</v>
      </c>
      <c r="BA43" s="190">
        <v>2840</v>
      </c>
      <c r="BB43" s="190">
        <v>48</v>
      </c>
      <c r="BC43" s="190">
        <v>1</v>
      </c>
      <c r="BD43" s="190">
        <v>0</v>
      </c>
      <c r="BE43" s="190">
        <v>1328</v>
      </c>
      <c r="BF43" s="190">
        <v>34</v>
      </c>
      <c r="BG43" s="190">
        <v>53</v>
      </c>
      <c r="BH43" s="190">
        <v>49</v>
      </c>
      <c r="BI43" s="190">
        <v>1415</v>
      </c>
      <c r="BJ43" s="190">
        <v>1464</v>
      </c>
      <c r="BK43" s="190">
        <v>-49</v>
      </c>
      <c r="BL43" s="190">
        <v>49</v>
      </c>
      <c r="BM43" s="190">
        <v>0</v>
      </c>
      <c r="BN43" s="190">
        <v>7</v>
      </c>
      <c r="BO43" s="190">
        <v>52</v>
      </c>
      <c r="BP43" s="190">
        <v>59</v>
      </c>
      <c r="BQ43" s="190">
        <v>27</v>
      </c>
      <c r="BR43" s="190">
        <v>303</v>
      </c>
      <c r="BS43" s="190">
        <v>330</v>
      </c>
      <c r="BT43" s="190">
        <v>88</v>
      </c>
      <c r="BU43" s="190">
        <v>899</v>
      </c>
      <c r="BV43" s="190">
        <v>987</v>
      </c>
      <c r="BW43" s="190">
        <v>2149</v>
      </c>
      <c r="BX43" s="190">
        <v>31838</v>
      </c>
      <c r="BY43" s="190">
        <v>33987</v>
      </c>
      <c r="BZ43" s="190">
        <v>2022</v>
      </c>
      <c r="CA43" s="190">
        <v>30090</v>
      </c>
      <c r="CB43" s="190">
        <v>32112</v>
      </c>
      <c r="CC43" s="190">
        <v>50553</v>
      </c>
      <c r="CD43" s="190">
        <v>105</v>
      </c>
      <c r="CE43" s="190">
        <v>1198</v>
      </c>
      <c r="CF43" s="190">
        <v>119</v>
      </c>
      <c r="CG43" s="190">
        <v>831</v>
      </c>
      <c r="CH43" s="190">
        <v>950</v>
      </c>
      <c r="CI43" s="190">
        <v>1239</v>
      </c>
      <c r="CJ43" s="190">
        <v>59</v>
      </c>
      <c r="CK43" s="190">
        <v>8</v>
      </c>
      <c r="CL43" s="190">
        <v>917</v>
      </c>
      <c r="CM43" s="190">
        <v>925</v>
      </c>
      <c r="CN43" s="190">
        <v>140</v>
      </c>
      <c r="CO43" s="190">
        <v>2821</v>
      </c>
      <c r="CP43" s="190">
        <v>2961</v>
      </c>
      <c r="CQ43" s="190">
        <v>0</v>
      </c>
      <c r="CR43" s="190">
        <v>2</v>
      </c>
      <c r="CS43" s="190">
        <v>2</v>
      </c>
      <c r="CT43" s="190">
        <v>2009</v>
      </c>
      <c r="CU43" s="190">
        <v>29017</v>
      </c>
      <c r="CV43" s="190">
        <v>31026</v>
      </c>
      <c r="CW43" s="190">
        <v>130</v>
      </c>
      <c r="CX43" s="190">
        <v>1225</v>
      </c>
      <c r="CY43" s="190">
        <v>1355</v>
      </c>
      <c r="CZ43" s="190">
        <v>117</v>
      </c>
      <c r="DA43" s="190">
        <v>10</v>
      </c>
      <c r="DB43" s="190">
        <v>2</v>
      </c>
      <c r="DC43" s="190">
        <v>1129</v>
      </c>
      <c r="DD43" s="190">
        <v>36</v>
      </c>
      <c r="DE43" s="190">
        <v>29</v>
      </c>
      <c r="DF43" s="190">
        <v>129</v>
      </c>
      <c r="DG43" s="190">
        <v>1194</v>
      </c>
      <c r="DH43" s="190">
        <v>1323</v>
      </c>
      <c r="DI43" s="190">
        <v>1</v>
      </c>
      <c r="DJ43" s="190">
        <v>0</v>
      </c>
      <c r="DK43" s="190">
        <v>0</v>
      </c>
      <c r="DL43" s="190">
        <v>30</v>
      </c>
      <c r="DM43" s="190">
        <v>1</v>
      </c>
      <c r="DN43" s="190">
        <v>0</v>
      </c>
      <c r="DO43" s="190">
        <v>1</v>
      </c>
      <c r="DP43" s="190">
        <v>31</v>
      </c>
      <c r="DQ43" s="190">
        <v>32</v>
      </c>
      <c r="DR43" s="190">
        <v>1</v>
      </c>
      <c r="DS43" s="190">
        <v>3</v>
      </c>
      <c r="DT43" s="191">
        <v>4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3633</v>
      </c>
      <c r="C44" s="190">
        <v>1292</v>
      </c>
      <c r="D44" s="190">
        <v>3289</v>
      </c>
      <c r="E44" s="190">
        <v>2171</v>
      </c>
      <c r="F44" s="190">
        <v>4</v>
      </c>
      <c r="G44" s="190">
        <v>63</v>
      </c>
      <c r="H44" s="190">
        <v>67</v>
      </c>
      <c r="I44" s="190">
        <v>2</v>
      </c>
      <c r="J44" s="190">
        <v>973</v>
      </c>
      <c r="K44" s="190">
        <v>975</v>
      </c>
      <c r="L44" s="190">
        <v>2</v>
      </c>
      <c r="M44" s="190">
        <v>498</v>
      </c>
      <c r="N44" s="190">
        <v>500</v>
      </c>
      <c r="O44" s="190">
        <v>0</v>
      </c>
      <c r="P44" s="190">
        <v>475</v>
      </c>
      <c r="Q44" s="190">
        <v>475</v>
      </c>
      <c r="R44" s="190">
        <v>0</v>
      </c>
      <c r="S44" s="190">
        <v>25</v>
      </c>
      <c r="T44" s="190">
        <v>25</v>
      </c>
      <c r="U44" s="190">
        <v>0</v>
      </c>
      <c r="V44" s="190">
        <v>143</v>
      </c>
      <c r="W44" s="190">
        <v>143</v>
      </c>
      <c r="X44" s="190">
        <v>102</v>
      </c>
      <c r="Y44" s="190">
        <v>3183</v>
      </c>
      <c r="Z44" s="190">
        <v>3285</v>
      </c>
      <c r="AA44" s="190">
        <v>73</v>
      </c>
      <c r="AB44" s="190">
        <v>1384</v>
      </c>
      <c r="AC44" s="190">
        <v>1457</v>
      </c>
      <c r="AD44" s="190">
        <v>67</v>
      </c>
      <c r="AE44" s="190">
        <v>1276</v>
      </c>
      <c r="AF44" s="190">
        <v>1343</v>
      </c>
      <c r="AG44" s="190">
        <v>1</v>
      </c>
      <c r="AH44" s="190">
        <v>54</v>
      </c>
      <c r="AI44" s="190">
        <v>55</v>
      </c>
      <c r="AJ44" s="190">
        <v>5</v>
      </c>
      <c r="AK44" s="190">
        <v>54</v>
      </c>
      <c r="AL44" s="190">
        <v>59</v>
      </c>
      <c r="AM44" s="190">
        <v>29</v>
      </c>
      <c r="AN44" s="190">
        <v>1799</v>
      </c>
      <c r="AO44" s="190">
        <v>1828</v>
      </c>
      <c r="AP44" s="190">
        <v>6536</v>
      </c>
      <c r="AQ44" s="190">
        <v>39757</v>
      </c>
      <c r="AR44" s="190">
        <v>46293</v>
      </c>
      <c r="AS44" s="190">
        <v>6536</v>
      </c>
      <c r="AT44" s="190">
        <v>39757</v>
      </c>
      <c r="AU44" s="190">
        <v>46293</v>
      </c>
      <c r="AV44" s="190">
        <v>0</v>
      </c>
      <c r="AW44" s="190">
        <v>0</v>
      </c>
      <c r="AX44" s="190">
        <v>0</v>
      </c>
      <c r="AY44" s="190">
        <v>324</v>
      </c>
      <c r="AZ44" s="190">
        <v>3597</v>
      </c>
      <c r="BA44" s="190">
        <v>3921</v>
      </c>
      <c r="BB44" s="190">
        <v>122</v>
      </c>
      <c r="BC44" s="190">
        <v>2</v>
      </c>
      <c r="BD44" s="190">
        <v>0</v>
      </c>
      <c r="BE44" s="190">
        <v>2018</v>
      </c>
      <c r="BF44" s="190">
        <v>19</v>
      </c>
      <c r="BG44" s="190">
        <v>10</v>
      </c>
      <c r="BH44" s="190">
        <v>124</v>
      </c>
      <c r="BI44" s="190">
        <v>2047</v>
      </c>
      <c r="BJ44" s="190">
        <v>2171</v>
      </c>
      <c r="BK44" s="190">
        <v>-21</v>
      </c>
      <c r="BL44" s="190">
        <v>21</v>
      </c>
      <c r="BM44" s="190">
        <v>0</v>
      </c>
      <c r="BN44" s="190">
        <v>26</v>
      </c>
      <c r="BO44" s="190">
        <v>89</v>
      </c>
      <c r="BP44" s="190">
        <v>115</v>
      </c>
      <c r="BQ44" s="190">
        <v>60</v>
      </c>
      <c r="BR44" s="190">
        <v>559</v>
      </c>
      <c r="BS44" s="190">
        <v>619</v>
      </c>
      <c r="BT44" s="190">
        <v>135</v>
      </c>
      <c r="BU44" s="190">
        <v>881</v>
      </c>
      <c r="BV44" s="190">
        <v>1016</v>
      </c>
      <c r="BW44" s="190">
        <v>6860</v>
      </c>
      <c r="BX44" s="190">
        <v>43354</v>
      </c>
      <c r="BY44" s="190">
        <v>50214</v>
      </c>
      <c r="BZ44" s="190">
        <v>6803</v>
      </c>
      <c r="CA44" s="190">
        <v>42760</v>
      </c>
      <c r="CB44" s="190">
        <v>49563</v>
      </c>
      <c r="CC44" s="190">
        <v>111541</v>
      </c>
      <c r="CD44" s="190">
        <v>42</v>
      </c>
      <c r="CE44" s="190">
        <v>565</v>
      </c>
      <c r="CF44" s="190">
        <v>56</v>
      </c>
      <c r="CG44" s="190">
        <v>439</v>
      </c>
      <c r="CH44" s="190">
        <v>495</v>
      </c>
      <c r="CI44" s="190">
        <v>200</v>
      </c>
      <c r="CJ44" s="190">
        <v>16</v>
      </c>
      <c r="CK44" s="190">
        <v>1</v>
      </c>
      <c r="CL44" s="190">
        <v>155</v>
      </c>
      <c r="CM44" s="190">
        <v>156</v>
      </c>
      <c r="CN44" s="190">
        <v>365</v>
      </c>
      <c r="CO44" s="190">
        <v>3676</v>
      </c>
      <c r="CP44" s="190">
        <v>4041</v>
      </c>
      <c r="CQ44" s="190">
        <v>1</v>
      </c>
      <c r="CR44" s="190">
        <v>0</v>
      </c>
      <c r="CS44" s="190">
        <v>1</v>
      </c>
      <c r="CT44" s="190">
        <v>6495</v>
      </c>
      <c r="CU44" s="190">
        <v>39678</v>
      </c>
      <c r="CV44" s="190">
        <v>46173</v>
      </c>
      <c r="CW44" s="190">
        <v>391</v>
      </c>
      <c r="CX44" s="190">
        <v>2106</v>
      </c>
      <c r="CY44" s="190">
        <v>2497</v>
      </c>
      <c r="CZ44" s="190">
        <v>389</v>
      </c>
      <c r="DA44" s="190">
        <v>2</v>
      </c>
      <c r="DB44" s="190">
        <v>0</v>
      </c>
      <c r="DC44" s="190">
        <v>2052</v>
      </c>
      <c r="DD44" s="190">
        <v>19</v>
      </c>
      <c r="DE44" s="190">
        <v>8</v>
      </c>
      <c r="DF44" s="190">
        <v>391</v>
      </c>
      <c r="DG44" s="190">
        <v>2079</v>
      </c>
      <c r="DH44" s="190">
        <v>2470</v>
      </c>
      <c r="DI44" s="190">
        <v>0</v>
      </c>
      <c r="DJ44" s="190">
        <v>0</v>
      </c>
      <c r="DK44" s="190">
        <v>0</v>
      </c>
      <c r="DL44" s="190">
        <v>27</v>
      </c>
      <c r="DM44" s="190">
        <v>0</v>
      </c>
      <c r="DN44" s="190">
        <v>0</v>
      </c>
      <c r="DO44" s="190">
        <v>0</v>
      </c>
      <c r="DP44" s="190">
        <v>27</v>
      </c>
      <c r="DQ44" s="190">
        <v>27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795</v>
      </c>
      <c r="C45" s="190">
        <v>161</v>
      </c>
      <c r="D45" s="190">
        <v>685</v>
      </c>
      <c r="E45" s="190">
        <v>388</v>
      </c>
      <c r="F45" s="190">
        <v>3</v>
      </c>
      <c r="G45" s="190">
        <v>12</v>
      </c>
      <c r="H45" s="190">
        <v>15</v>
      </c>
      <c r="I45" s="190">
        <v>0</v>
      </c>
      <c r="J45" s="190">
        <v>201</v>
      </c>
      <c r="K45" s="190">
        <v>201</v>
      </c>
      <c r="L45" s="190">
        <v>0</v>
      </c>
      <c r="M45" s="190">
        <v>48</v>
      </c>
      <c r="N45" s="190">
        <v>48</v>
      </c>
      <c r="O45" s="190">
        <v>0</v>
      </c>
      <c r="P45" s="190">
        <v>153</v>
      </c>
      <c r="Q45" s="190">
        <v>153</v>
      </c>
      <c r="R45" s="190">
        <v>0</v>
      </c>
      <c r="S45" s="190">
        <v>16</v>
      </c>
      <c r="T45" s="190">
        <v>16</v>
      </c>
      <c r="U45" s="190">
        <v>0</v>
      </c>
      <c r="V45" s="190">
        <v>96</v>
      </c>
      <c r="W45" s="190">
        <v>96</v>
      </c>
      <c r="X45" s="190">
        <v>12</v>
      </c>
      <c r="Y45" s="190">
        <v>373</v>
      </c>
      <c r="Z45" s="190">
        <v>385</v>
      </c>
      <c r="AA45" s="190">
        <v>5</v>
      </c>
      <c r="AB45" s="190">
        <v>249</v>
      </c>
      <c r="AC45" s="190">
        <v>254</v>
      </c>
      <c r="AD45" s="190">
        <v>4</v>
      </c>
      <c r="AE45" s="190">
        <v>245</v>
      </c>
      <c r="AF45" s="190">
        <v>249</v>
      </c>
      <c r="AG45" s="190">
        <v>1</v>
      </c>
      <c r="AH45" s="190">
        <v>4</v>
      </c>
      <c r="AI45" s="190">
        <v>5</v>
      </c>
      <c r="AJ45" s="190">
        <v>0</v>
      </c>
      <c r="AK45" s="190">
        <v>0</v>
      </c>
      <c r="AL45" s="190">
        <v>0</v>
      </c>
      <c r="AM45" s="190">
        <v>7</v>
      </c>
      <c r="AN45" s="190">
        <v>124</v>
      </c>
      <c r="AO45" s="190">
        <v>131</v>
      </c>
      <c r="AP45" s="190">
        <v>821</v>
      </c>
      <c r="AQ45" s="190">
        <v>7976</v>
      </c>
      <c r="AR45" s="190">
        <v>8797</v>
      </c>
      <c r="AS45" s="190">
        <v>821</v>
      </c>
      <c r="AT45" s="190">
        <v>7976</v>
      </c>
      <c r="AU45" s="190">
        <v>8797</v>
      </c>
      <c r="AV45" s="190">
        <v>0</v>
      </c>
      <c r="AW45" s="190">
        <v>0</v>
      </c>
      <c r="AX45" s="190">
        <v>0</v>
      </c>
      <c r="AY45" s="190">
        <v>53</v>
      </c>
      <c r="AZ45" s="190">
        <v>847</v>
      </c>
      <c r="BA45" s="190">
        <v>900</v>
      </c>
      <c r="BB45" s="190">
        <v>26</v>
      </c>
      <c r="BC45" s="190">
        <v>0</v>
      </c>
      <c r="BD45" s="190">
        <v>0</v>
      </c>
      <c r="BE45" s="190">
        <v>359</v>
      </c>
      <c r="BF45" s="190">
        <v>3</v>
      </c>
      <c r="BG45" s="190">
        <v>0</v>
      </c>
      <c r="BH45" s="190">
        <v>26</v>
      </c>
      <c r="BI45" s="190">
        <v>362</v>
      </c>
      <c r="BJ45" s="190">
        <v>388</v>
      </c>
      <c r="BK45" s="190">
        <v>3</v>
      </c>
      <c r="BL45" s="190">
        <v>-3</v>
      </c>
      <c r="BM45" s="190">
        <v>0</v>
      </c>
      <c r="BN45" s="190">
        <v>2</v>
      </c>
      <c r="BO45" s="190">
        <v>12</v>
      </c>
      <c r="BP45" s="190">
        <v>14</v>
      </c>
      <c r="BQ45" s="190">
        <v>7</v>
      </c>
      <c r="BR45" s="190">
        <v>122</v>
      </c>
      <c r="BS45" s="190">
        <v>129</v>
      </c>
      <c r="BT45" s="190">
        <v>15</v>
      </c>
      <c r="BU45" s="190">
        <v>354</v>
      </c>
      <c r="BV45" s="190">
        <v>369</v>
      </c>
      <c r="BW45" s="190">
        <v>874</v>
      </c>
      <c r="BX45" s="190">
        <v>8823</v>
      </c>
      <c r="BY45" s="190">
        <v>9697</v>
      </c>
      <c r="BZ45" s="190">
        <v>867</v>
      </c>
      <c r="CA45" s="190">
        <v>8779</v>
      </c>
      <c r="CB45" s="190">
        <v>9646</v>
      </c>
      <c r="CC45" s="190">
        <v>17318</v>
      </c>
      <c r="CD45" s="190">
        <v>0</v>
      </c>
      <c r="CE45" s="190">
        <v>53</v>
      </c>
      <c r="CF45" s="190">
        <v>7</v>
      </c>
      <c r="CG45" s="190">
        <v>37</v>
      </c>
      <c r="CH45" s="190">
        <v>44</v>
      </c>
      <c r="CI45" s="190">
        <v>6</v>
      </c>
      <c r="CJ45" s="190">
        <v>2</v>
      </c>
      <c r="CK45" s="190">
        <v>0</v>
      </c>
      <c r="CL45" s="190">
        <v>7</v>
      </c>
      <c r="CM45" s="190">
        <v>7</v>
      </c>
      <c r="CN45" s="190">
        <v>51</v>
      </c>
      <c r="CO45" s="190">
        <v>785</v>
      </c>
      <c r="CP45" s="190">
        <v>836</v>
      </c>
      <c r="CQ45" s="190">
        <v>0</v>
      </c>
      <c r="CR45" s="190">
        <v>3</v>
      </c>
      <c r="CS45" s="190">
        <v>3</v>
      </c>
      <c r="CT45" s="190">
        <v>823</v>
      </c>
      <c r="CU45" s="190">
        <v>8038</v>
      </c>
      <c r="CV45" s="190">
        <v>8861</v>
      </c>
      <c r="CW45" s="190">
        <v>44</v>
      </c>
      <c r="CX45" s="190">
        <v>428</v>
      </c>
      <c r="CY45" s="190">
        <v>472</v>
      </c>
      <c r="CZ45" s="190">
        <v>39</v>
      </c>
      <c r="DA45" s="190">
        <v>0</v>
      </c>
      <c r="DB45" s="190">
        <v>0</v>
      </c>
      <c r="DC45" s="190">
        <v>387</v>
      </c>
      <c r="DD45" s="190">
        <v>4</v>
      </c>
      <c r="DE45" s="190">
        <v>0</v>
      </c>
      <c r="DF45" s="190">
        <v>39</v>
      </c>
      <c r="DG45" s="190">
        <v>391</v>
      </c>
      <c r="DH45" s="190">
        <v>430</v>
      </c>
      <c r="DI45" s="190">
        <v>5</v>
      </c>
      <c r="DJ45" s="190">
        <v>0</v>
      </c>
      <c r="DK45" s="190">
        <v>0</v>
      </c>
      <c r="DL45" s="190">
        <v>37</v>
      </c>
      <c r="DM45" s="190">
        <v>0</v>
      </c>
      <c r="DN45" s="190">
        <v>0</v>
      </c>
      <c r="DO45" s="190">
        <v>5</v>
      </c>
      <c r="DP45" s="190">
        <v>37</v>
      </c>
      <c r="DQ45" s="190">
        <v>42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>
      <c r="A46" s="189" t="s">
        <v>311</v>
      </c>
      <c r="B46" s="190">
        <v>1178</v>
      </c>
      <c r="C46" s="190">
        <v>286</v>
      </c>
      <c r="D46" s="190">
        <v>999</v>
      </c>
      <c r="E46" s="190">
        <v>544</v>
      </c>
      <c r="F46" s="190">
        <v>2</v>
      </c>
      <c r="G46" s="190">
        <v>7</v>
      </c>
      <c r="H46" s="190">
        <v>9</v>
      </c>
      <c r="I46" s="190">
        <v>2</v>
      </c>
      <c r="J46" s="190">
        <v>370</v>
      </c>
      <c r="K46" s="190">
        <v>372</v>
      </c>
      <c r="L46" s="190">
        <v>2</v>
      </c>
      <c r="M46" s="190">
        <v>370</v>
      </c>
      <c r="N46" s="190">
        <v>372</v>
      </c>
      <c r="O46" s="190">
        <v>0</v>
      </c>
      <c r="P46" s="190">
        <v>0</v>
      </c>
      <c r="Q46" s="190">
        <v>0</v>
      </c>
      <c r="R46" s="190">
        <v>0</v>
      </c>
      <c r="S46" s="190">
        <v>29</v>
      </c>
      <c r="T46" s="190">
        <v>29</v>
      </c>
      <c r="U46" s="190">
        <v>0</v>
      </c>
      <c r="V46" s="190">
        <v>83</v>
      </c>
      <c r="W46" s="190">
        <v>83</v>
      </c>
      <c r="X46" s="190">
        <v>16</v>
      </c>
      <c r="Y46" s="190">
        <v>919</v>
      </c>
      <c r="Z46" s="190">
        <v>935</v>
      </c>
      <c r="AA46" s="190">
        <v>7</v>
      </c>
      <c r="AB46" s="190">
        <v>322</v>
      </c>
      <c r="AC46" s="190">
        <v>329</v>
      </c>
      <c r="AD46" s="190">
        <v>5</v>
      </c>
      <c r="AE46" s="190">
        <v>292</v>
      </c>
      <c r="AF46" s="190">
        <v>297</v>
      </c>
      <c r="AG46" s="190">
        <v>1</v>
      </c>
      <c r="AH46" s="190">
        <v>20</v>
      </c>
      <c r="AI46" s="190">
        <v>21</v>
      </c>
      <c r="AJ46" s="190">
        <v>1</v>
      </c>
      <c r="AK46" s="190">
        <v>10</v>
      </c>
      <c r="AL46" s="190">
        <v>11</v>
      </c>
      <c r="AM46" s="190">
        <v>9</v>
      </c>
      <c r="AN46" s="190">
        <v>597</v>
      </c>
      <c r="AO46" s="190">
        <v>606</v>
      </c>
      <c r="AP46" s="190">
        <v>728</v>
      </c>
      <c r="AQ46" s="190">
        <v>12231</v>
      </c>
      <c r="AR46" s="190">
        <v>12959</v>
      </c>
      <c r="AS46" s="190">
        <v>744</v>
      </c>
      <c r="AT46" s="190">
        <v>12258</v>
      </c>
      <c r="AU46" s="190">
        <v>13002</v>
      </c>
      <c r="AV46" s="190">
        <v>-16</v>
      </c>
      <c r="AW46" s="190">
        <v>-27</v>
      </c>
      <c r="AX46" s="190">
        <v>-43</v>
      </c>
      <c r="AY46" s="190">
        <v>59</v>
      </c>
      <c r="AZ46" s="190">
        <v>1181</v>
      </c>
      <c r="BA46" s="190">
        <v>1240</v>
      </c>
      <c r="BB46" s="190">
        <v>14</v>
      </c>
      <c r="BC46" s="190">
        <v>0</v>
      </c>
      <c r="BD46" s="190">
        <v>0</v>
      </c>
      <c r="BE46" s="190">
        <v>508</v>
      </c>
      <c r="BF46" s="190">
        <v>17</v>
      </c>
      <c r="BG46" s="190">
        <v>5</v>
      </c>
      <c r="BH46" s="190">
        <v>14</v>
      </c>
      <c r="BI46" s="190">
        <v>530</v>
      </c>
      <c r="BJ46" s="190">
        <v>544</v>
      </c>
      <c r="BK46" s="190">
        <v>2</v>
      </c>
      <c r="BL46" s="190">
        <v>-2</v>
      </c>
      <c r="BM46" s="190">
        <v>0</v>
      </c>
      <c r="BN46" s="190">
        <v>21</v>
      </c>
      <c r="BO46" s="190">
        <v>21</v>
      </c>
      <c r="BP46" s="190">
        <v>42</v>
      </c>
      <c r="BQ46" s="190">
        <v>0</v>
      </c>
      <c r="BR46" s="190">
        <v>148</v>
      </c>
      <c r="BS46" s="190">
        <v>148</v>
      </c>
      <c r="BT46" s="190">
        <v>22</v>
      </c>
      <c r="BU46" s="190">
        <v>484</v>
      </c>
      <c r="BV46" s="190">
        <v>506</v>
      </c>
      <c r="BW46" s="190">
        <v>787</v>
      </c>
      <c r="BX46" s="190">
        <v>13412</v>
      </c>
      <c r="BY46" s="190">
        <v>14199</v>
      </c>
      <c r="BZ46" s="190">
        <v>759</v>
      </c>
      <c r="CA46" s="190">
        <v>12855</v>
      </c>
      <c r="CB46" s="190">
        <v>13614</v>
      </c>
      <c r="CC46" s="190">
        <v>26953</v>
      </c>
      <c r="CD46" s="190">
        <v>38</v>
      </c>
      <c r="CE46" s="190">
        <v>536</v>
      </c>
      <c r="CF46" s="190">
        <v>28</v>
      </c>
      <c r="CG46" s="190">
        <v>407</v>
      </c>
      <c r="CH46" s="190">
        <v>435</v>
      </c>
      <c r="CI46" s="190">
        <v>188</v>
      </c>
      <c r="CJ46" s="190">
        <v>10</v>
      </c>
      <c r="CK46" s="190">
        <v>0</v>
      </c>
      <c r="CL46" s="190">
        <v>150</v>
      </c>
      <c r="CM46" s="190">
        <v>150</v>
      </c>
      <c r="CN46" s="190">
        <v>52</v>
      </c>
      <c r="CO46" s="190">
        <v>1173</v>
      </c>
      <c r="CP46" s="190">
        <v>1225</v>
      </c>
      <c r="CQ46" s="190">
        <v>0</v>
      </c>
      <c r="CR46" s="190">
        <v>0</v>
      </c>
      <c r="CS46" s="190">
        <v>0</v>
      </c>
      <c r="CT46" s="190">
        <v>735</v>
      </c>
      <c r="CU46" s="190">
        <v>12239</v>
      </c>
      <c r="CV46" s="190">
        <v>12974</v>
      </c>
      <c r="CW46" s="190">
        <v>58</v>
      </c>
      <c r="CX46" s="190">
        <v>694</v>
      </c>
      <c r="CY46" s="190">
        <v>752</v>
      </c>
      <c r="CZ46" s="190">
        <v>57</v>
      </c>
      <c r="DA46" s="190">
        <v>1</v>
      </c>
      <c r="DB46" s="190">
        <v>0</v>
      </c>
      <c r="DC46" s="190">
        <v>643</v>
      </c>
      <c r="DD46" s="190">
        <v>28</v>
      </c>
      <c r="DE46" s="190">
        <v>2</v>
      </c>
      <c r="DF46" s="190">
        <v>58</v>
      </c>
      <c r="DG46" s="190">
        <v>673</v>
      </c>
      <c r="DH46" s="190">
        <v>731</v>
      </c>
      <c r="DI46" s="190">
        <v>0</v>
      </c>
      <c r="DJ46" s="190">
        <v>0</v>
      </c>
      <c r="DK46" s="190">
        <v>0</v>
      </c>
      <c r="DL46" s="190">
        <v>16</v>
      </c>
      <c r="DM46" s="190">
        <v>5</v>
      </c>
      <c r="DN46" s="190">
        <v>0</v>
      </c>
      <c r="DO46" s="190">
        <v>0</v>
      </c>
      <c r="DP46" s="190">
        <v>21</v>
      </c>
      <c r="DQ46" s="190">
        <v>21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1996</v>
      </c>
      <c r="C47" s="190">
        <v>475</v>
      </c>
      <c r="D47" s="190">
        <v>1768</v>
      </c>
      <c r="E47" s="190">
        <v>1247</v>
      </c>
      <c r="F47" s="190">
        <v>27</v>
      </c>
      <c r="G47" s="190">
        <v>89</v>
      </c>
      <c r="H47" s="190">
        <v>116</v>
      </c>
      <c r="I47" s="190">
        <v>0</v>
      </c>
      <c r="J47" s="190">
        <v>456</v>
      </c>
      <c r="K47" s="190">
        <v>456</v>
      </c>
      <c r="L47" s="190">
        <v>0</v>
      </c>
      <c r="M47" s="190">
        <v>173</v>
      </c>
      <c r="N47" s="190">
        <v>173</v>
      </c>
      <c r="O47" s="190">
        <v>0</v>
      </c>
      <c r="P47" s="190">
        <v>283</v>
      </c>
      <c r="Q47" s="190">
        <v>283</v>
      </c>
      <c r="R47" s="190">
        <v>0</v>
      </c>
      <c r="S47" s="190">
        <v>44</v>
      </c>
      <c r="T47" s="190">
        <v>44</v>
      </c>
      <c r="U47" s="190">
        <v>0</v>
      </c>
      <c r="V47" s="190">
        <v>65</v>
      </c>
      <c r="W47" s="190">
        <v>65</v>
      </c>
      <c r="X47" s="190">
        <v>40</v>
      </c>
      <c r="Y47" s="190">
        <v>538</v>
      </c>
      <c r="Z47" s="190">
        <v>578</v>
      </c>
      <c r="AA47" s="190">
        <v>27</v>
      </c>
      <c r="AB47" s="190">
        <v>329</v>
      </c>
      <c r="AC47" s="190">
        <v>356</v>
      </c>
      <c r="AD47" s="190">
        <v>23</v>
      </c>
      <c r="AE47" s="190">
        <v>296</v>
      </c>
      <c r="AF47" s="190">
        <v>319</v>
      </c>
      <c r="AG47" s="190">
        <v>2</v>
      </c>
      <c r="AH47" s="190">
        <v>20</v>
      </c>
      <c r="AI47" s="190">
        <v>22</v>
      </c>
      <c r="AJ47" s="190">
        <v>2</v>
      </c>
      <c r="AK47" s="190">
        <v>13</v>
      </c>
      <c r="AL47" s="190">
        <v>15</v>
      </c>
      <c r="AM47" s="190">
        <v>13</v>
      </c>
      <c r="AN47" s="190">
        <v>209</v>
      </c>
      <c r="AO47" s="190">
        <v>222</v>
      </c>
      <c r="AP47" s="190">
        <v>2115</v>
      </c>
      <c r="AQ47" s="190">
        <v>14760</v>
      </c>
      <c r="AR47" s="190">
        <v>16875</v>
      </c>
      <c r="AS47" s="190">
        <v>2022</v>
      </c>
      <c r="AT47" s="190">
        <v>14737</v>
      </c>
      <c r="AU47" s="190">
        <v>16759</v>
      </c>
      <c r="AV47" s="190">
        <v>93</v>
      </c>
      <c r="AW47" s="190">
        <v>23</v>
      </c>
      <c r="AX47" s="190">
        <v>116</v>
      </c>
      <c r="AY47" s="190">
        <v>251</v>
      </c>
      <c r="AZ47" s="190">
        <v>1701</v>
      </c>
      <c r="BA47" s="190">
        <v>1952</v>
      </c>
      <c r="BB47" s="190">
        <v>100</v>
      </c>
      <c r="BC47" s="190">
        <v>1</v>
      </c>
      <c r="BD47" s="190">
        <v>0</v>
      </c>
      <c r="BE47" s="190">
        <v>1124</v>
      </c>
      <c r="BF47" s="190">
        <v>16</v>
      </c>
      <c r="BG47" s="190">
        <v>6</v>
      </c>
      <c r="BH47" s="190">
        <v>101</v>
      </c>
      <c r="BI47" s="190">
        <v>1146</v>
      </c>
      <c r="BJ47" s="190">
        <v>1247</v>
      </c>
      <c r="BK47" s="190">
        <v>67</v>
      </c>
      <c r="BL47" s="190">
        <v>-67</v>
      </c>
      <c r="BM47" s="190">
        <v>0</v>
      </c>
      <c r="BN47" s="190">
        <v>1</v>
      </c>
      <c r="BO47" s="190">
        <v>23</v>
      </c>
      <c r="BP47" s="190">
        <v>24</v>
      </c>
      <c r="BQ47" s="190">
        <v>10</v>
      </c>
      <c r="BR47" s="190">
        <v>156</v>
      </c>
      <c r="BS47" s="190">
        <v>166</v>
      </c>
      <c r="BT47" s="190">
        <v>72</v>
      </c>
      <c r="BU47" s="190">
        <v>443</v>
      </c>
      <c r="BV47" s="190">
        <v>515</v>
      </c>
      <c r="BW47" s="190">
        <v>2366</v>
      </c>
      <c r="BX47" s="190">
        <v>16461</v>
      </c>
      <c r="BY47" s="190">
        <v>18827</v>
      </c>
      <c r="BZ47" s="190">
        <v>2344</v>
      </c>
      <c r="CA47" s="190">
        <v>16254</v>
      </c>
      <c r="CB47" s="190">
        <v>18598</v>
      </c>
      <c r="CC47" s="190">
        <v>39105</v>
      </c>
      <c r="CD47" s="190">
        <v>24</v>
      </c>
      <c r="CE47" s="190">
        <v>146</v>
      </c>
      <c r="CF47" s="190">
        <v>22</v>
      </c>
      <c r="CG47" s="190">
        <v>141</v>
      </c>
      <c r="CH47" s="190">
        <v>163</v>
      </c>
      <c r="CI47" s="190">
        <v>0</v>
      </c>
      <c r="CJ47" s="190">
        <v>82</v>
      </c>
      <c r="CK47" s="190">
        <v>0</v>
      </c>
      <c r="CL47" s="190">
        <v>66</v>
      </c>
      <c r="CM47" s="190">
        <v>66</v>
      </c>
      <c r="CN47" s="190">
        <v>114</v>
      </c>
      <c r="CO47" s="190">
        <v>1403</v>
      </c>
      <c r="CP47" s="190">
        <v>1517</v>
      </c>
      <c r="CQ47" s="190">
        <v>0</v>
      </c>
      <c r="CR47" s="190">
        <v>0</v>
      </c>
      <c r="CS47" s="190">
        <v>0</v>
      </c>
      <c r="CT47" s="190">
        <v>2252</v>
      </c>
      <c r="CU47" s="190">
        <v>15058</v>
      </c>
      <c r="CV47" s="190">
        <v>17310</v>
      </c>
      <c r="CW47" s="190">
        <v>145</v>
      </c>
      <c r="CX47" s="190">
        <v>862</v>
      </c>
      <c r="CY47" s="190">
        <v>1007</v>
      </c>
      <c r="CZ47" s="190">
        <v>142</v>
      </c>
      <c r="DA47" s="190">
        <v>1</v>
      </c>
      <c r="DB47" s="190">
        <v>0</v>
      </c>
      <c r="DC47" s="190">
        <v>829</v>
      </c>
      <c r="DD47" s="190">
        <v>6</v>
      </c>
      <c r="DE47" s="190">
        <v>3</v>
      </c>
      <c r="DF47" s="190">
        <v>143</v>
      </c>
      <c r="DG47" s="190">
        <v>838</v>
      </c>
      <c r="DH47" s="190">
        <v>981</v>
      </c>
      <c r="DI47" s="190">
        <v>2</v>
      </c>
      <c r="DJ47" s="190">
        <v>0</v>
      </c>
      <c r="DK47" s="190">
        <v>0</v>
      </c>
      <c r="DL47" s="190">
        <v>24</v>
      </c>
      <c r="DM47" s="190">
        <v>0</v>
      </c>
      <c r="DN47" s="190">
        <v>0</v>
      </c>
      <c r="DO47" s="190">
        <v>2</v>
      </c>
      <c r="DP47" s="190">
        <v>24</v>
      </c>
      <c r="DQ47" s="190">
        <v>26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2966</v>
      </c>
      <c r="C48" s="190">
        <v>737</v>
      </c>
      <c r="D48" s="190">
        <v>2511</v>
      </c>
      <c r="E48" s="190">
        <v>1532</v>
      </c>
      <c r="F48" s="190">
        <v>2</v>
      </c>
      <c r="G48" s="190">
        <v>7</v>
      </c>
      <c r="H48" s="190">
        <v>9</v>
      </c>
      <c r="I48" s="190">
        <v>2</v>
      </c>
      <c r="J48" s="190">
        <v>723</v>
      </c>
      <c r="K48" s="190">
        <v>725</v>
      </c>
      <c r="L48" s="190">
        <v>0</v>
      </c>
      <c r="M48" s="190">
        <v>221</v>
      </c>
      <c r="N48" s="190">
        <v>221</v>
      </c>
      <c r="O48" s="190">
        <v>2</v>
      </c>
      <c r="P48" s="190">
        <v>502</v>
      </c>
      <c r="Q48" s="190">
        <v>504</v>
      </c>
      <c r="R48" s="190">
        <v>1</v>
      </c>
      <c r="S48" s="190">
        <v>13</v>
      </c>
      <c r="T48" s="190">
        <v>14</v>
      </c>
      <c r="U48" s="190">
        <v>0</v>
      </c>
      <c r="V48" s="190">
        <v>254</v>
      </c>
      <c r="W48" s="190">
        <v>254</v>
      </c>
      <c r="X48" s="190">
        <v>25</v>
      </c>
      <c r="Y48" s="190">
        <v>1449</v>
      </c>
      <c r="Z48" s="190">
        <v>1474</v>
      </c>
      <c r="AA48" s="190">
        <v>10</v>
      </c>
      <c r="AB48" s="190">
        <v>509</v>
      </c>
      <c r="AC48" s="190">
        <v>519</v>
      </c>
      <c r="AD48" s="190">
        <v>10</v>
      </c>
      <c r="AE48" s="190">
        <v>497</v>
      </c>
      <c r="AF48" s="190">
        <v>507</v>
      </c>
      <c r="AG48" s="190">
        <v>0</v>
      </c>
      <c r="AH48" s="190">
        <v>10</v>
      </c>
      <c r="AI48" s="190">
        <v>10</v>
      </c>
      <c r="AJ48" s="190">
        <v>0</v>
      </c>
      <c r="AK48" s="190">
        <v>2</v>
      </c>
      <c r="AL48" s="190">
        <v>2</v>
      </c>
      <c r="AM48" s="190">
        <v>15</v>
      </c>
      <c r="AN48" s="190">
        <v>940</v>
      </c>
      <c r="AO48" s="190">
        <v>955</v>
      </c>
      <c r="AP48" s="190">
        <v>3775</v>
      </c>
      <c r="AQ48" s="190">
        <v>42851</v>
      </c>
      <c r="AR48" s="190">
        <v>46626</v>
      </c>
      <c r="AS48" s="190">
        <v>3942</v>
      </c>
      <c r="AT48" s="190">
        <v>42595</v>
      </c>
      <c r="AU48" s="190">
        <v>46537</v>
      </c>
      <c r="AV48" s="190">
        <v>-167</v>
      </c>
      <c r="AW48" s="190">
        <v>256</v>
      </c>
      <c r="AX48" s="190">
        <v>89</v>
      </c>
      <c r="AY48" s="190">
        <v>365</v>
      </c>
      <c r="AZ48" s="190">
        <v>3260</v>
      </c>
      <c r="BA48" s="190">
        <v>3625</v>
      </c>
      <c r="BB48" s="190">
        <v>99</v>
      </c>
      <c r="BC48" s="190">
        <v>6</v>
      </c>
      <c r="BD48" s="190">
        <v>1</v>
      </c>
      <c r="BE48" s="190">
        <v>1364</v>
      </c>
      <c r="BF48" s="190">
        <v>27</v>
      </c>
      <c r="BG48" s="190">
        <v>35</v>
      </c>
      <c r="BH48" s="190">
        <v>106</v>
      </c>
      <c r="BI48" s="190">
        <v>1426</v>
      </c>
      <c r="BJ48" s="190">
        <v>1532</v>
      </c>
      <c r="BK48" s="190">
        <v>50</v>
      </c>
      <c r="BL48" s="190">
        <v>-50</v>
      </c>
      <c r="BM48" s="190">
        <v>0</v>
      </c>
      <c r="BN48" s="190">
        <v>2</v>
      </c>
      <c r="BO48" s="190">
        <v>45</v>
      </c>
      <c r="BP48" s="190">
        <v>47</v>
      </c>
      <c r="BQ48" s="190">
        <v>13</v>
      </c>
      <c r="BR48" s="190">
        <v>129</v>
      </c>
      <c r="BS48" s="190">
        <v>142</v>
      </c>
      <c r="BT48" s="190">
        <v>194</v>
      </c>
      <c r="BU48" s="190">
        <v>1710</v>
      </c>
      <c r="BV48" s="190">
        <v>1904</v>
      </c>
      <c r="BW48" s="190">
        <v>4140</v>
      </c>
      <c r="BX48" s="190">
        <v>46111</v>
      </c>
      <c r="BY48" s="190">
        <v>50251</v>
      </c>
      <c r="BZ48" s="190">
        <v>4039</v>
      </c>
      <c r="CA48" s="190">
        <v>44627</v>
      </c>
      <c r="CB48" s="190">
        <v>48666</v>
      </c>
      <c r="CC48" s="190">
        <v>96293</v>
      </c>
      <c r="CD48" s="190">
        <v>97</v>
      </c>
      <c r="CE48" s="190">
        <v>1101</v>
      </c>
      <c r="CF48" s="190">
        <v>98</v>
      </c>
      <c r="CG48" s="190">
        <v>826</v>
      </c>
      <c r="CH48" s="190">
        <v>924</v>
      </c>
      <c r="CI48" s="190">
        <v>911</v>
      </c>
      <c r="CJ48" s="190">
        <v>22</v>
      </c>
      <c r="CK48" s="190">
        <v>3</v>
      </c>
      <c r="CL48" s="190">
        <v>658</v>
      </c>
      <c r="CM48" s="190">
        <v>661</v>
      </c>
      <c r="CN48" s="190">
        <v>229</v>
      </c>
      <c r="CO48" s="190">
        <v>3852</v>
      </c>
      <c r="CP48" s="190">
        <v>4081</v>
      </c>
      <c r="CQ48" s="190">
        <v>0</v>
      </c>
      <c r="CR48" s="190">
        <v>1</v>
      </c>
      <c r="CS48" s="190">
        <v>1</v>
      </c>
      <c r="CT48" s="190">
        <v>3911</v>
      </c>
      <c r="CU48" s="190">
        <v>42259</v>
      </c>
      <c r="CV48" s="190">
        <v>46170</v>
      </c>
      <c r="CW48" s="190">
        <v>323</v>
      </c>
      <c r="CX48" s="190">
        <v>2875</v>
      </c>
      <c r="CY48" s="190">
        <v>3198</v>
      </c>
      <c r="CZ48" s="190">
        <v>308</v>
      </c>
      <c r="DA48" s="190">
        <v>3</v>
      </c>
      <c r="DB48" s="190">
        <v>0</v>
      </c>
      <c r="DC48" s="190">
        <v>2481</v>
      </c>
      <c r="DD48" s="190">
        <v>52</v>
      </c>
      <c r="DE48" s="190">
        <v>15</v>
      </c>
      <c r="DF48" s="190">
        <v>311</v>
      </c>
      <c r="DG48" s="190">
        <v>2548</v>
      </c>
      <c r="DH48" s="190">
        <v>2859</v>
      </c>
      <c r="DI48" s="190">
        <v>12</v>
      </c>
      <c r="DJ48" s="190">
        <v>0</v>
      </c>
      <c r="DK48" s="190">
        <v>0</v>
      </c>
      <c r="DL48" s="190">
        <v>317</v>
      </c>
      <c r="DM48" s="190">
        <v>7</v>
      </c>
      <c r="DN48" s="190">
        <v>3</v>
      </c>
      <c r="DO48" s="190">
        <v>12</v>
      </c>
      <c r="DP48" s="190">
        <v>327</v>
      </c>
      <c r="DQ48" s="190">
        <v>339</v>
      </c>
      <c r="DR48" s="190">
        <v>0</v>
      </c>
      <c r="DS48" s="190">
        <v>0</v>
      </c>
      <c r="DT48" s="191">
        <v>0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1122</v>
      </c>
      <c r="C49" s="190">
        <v>346</v>
      </c>
      <c r="D49" s="190">
        <v>926</v>
      </c>
      <c r="E49" s="190">
        <v>629</v>
      </c>
      <c r="F49" s="190">
        <v>0</v>
      </c>
      <c r="G49" s="190">
        <v>16</v>
      </c>
      <c r="H49" s="190">
        <v>16</v>
      </c>
      <c r="I49" s="190">
        <v>0</v>
      </c>
      <c r="J49" s="190">
        <v>240</v>
      </c>
      <c r="K49" s="190">
        <v>240</v>
      </c>
      <c r="L49" s="190">
        <v>0</v>
      </c>
      <c r="M49" s="190">
        <v>79</v>
      </c>
      <c r="N49" s="190">
        <v>79</v>
      </c>
      <c r="O49" s="190">
        <v>0</v>
      </c>
      <c r="P49" s="190">
        <v>161</v>
      </c>
      <c r="Q49" s="190">
        <v>161</v>
      </c>
      <c r="R49" s="190">
        <v>0</v>
      </c>
      <c r="S49" s="190">
        <v>28</v>
      </c>
      <c r="T49" s="190">
        <v>28</v>
      </c>
      <c r="U49" s="190">
        <v>0</v>
      </c>
      <c r="V49" s="190">
        <v>57</v>
      </c>
      <c r="W49" s="190">
        <v>57</v>
      </c>
      <c r="X49" s="190">
        <v>17</v>
      </c>
      <c r="Y49" s="190">
        <v>717</v>
      </c>
      <c r="Z49" s="190">
        <v>734</v>
      </c>
      <c r="AA49" s="190">
        <v>6</v>
      </c>
      <c r="AB49" s="190">
        <v>270</v>
      </c>
      <c r="AC49" s="190">
        <v>276</v>
      </c>
      <c r="AD49" s="190">
        <v>6</v>
      </c>
      <c r="AE49" s="190">
        <v>261</v>
      </c>
      <c r="AF49" s="190">
        <v>267</v>
      </c>
      <c r="AG49" s="190">
        <v>0</v>
      </c>
      <c r="AH49" s="190">
        <v>7</v>
      </c>
      <c r="AI49" s="190">
        <v>7</v>
      </c>
      <c r="AJ49" s="190">
        <v>0</v>
      </c>
      <c r="AK49" s="190">
        <v>2</v>
      </c>
      <c r="AL49" s="190">
        <v>2</v>
      </c>
      <c r="AM49" s="190">
        <v>11</v>
      </c>
      <c r="AN49" s="190">
        <v>447</v>
      </c>
      <c r="AO49" s="190">
        <v>458</v>
      </c>
      <c r="AP49" s="190">
        <v>1057</v>
      </c>
      <c r="AQ49" s="190">
        <v>12270</v>
      </c>
      <c r="AR49" s="190">
        <v>13327</v>
      </c>
      <c r="AS49" s="190">
        <v>1007</v>
      </c>
      <c r="AT49" s="190">
        <v>12263</v>
      </c>
      <c r="AU49" s="190">
        <v>13270</v>
      </c>
      <c r="AV49" s="190">
        <v>50</v>
      </c>
      <c r="AW49" s="190">
        <v>7</v>
      </c>
      <c r="AX49" s="190">
        <v>57</v>
      </c>
      <c r="AY49" s="190">
        <v>38</v>
      </c>
      <c r="AZ49" s="190">
        <v>1288</v>
      </c>
      <c r="BA49" s="190">
        <v>1326</v>
      </c>
      <c r="BB49" s="190">
        <v>23</v>
      </c>
      <c r="BC49" s="190">
        <v>0</v>
      </c>
      <c r="BD49" s="190">
        <v>0</v>
      </c>
      <c r="BE49" s="190">
        <v>604</v>
      </c>
      <c r="BF49" s="190">
        <v>2</v>
      </c>
      <c r="BG49" s="190">
        <v>0</v>
      </c>
      <c r="BH49" s="190">
        <v>23</v>
      </c>
      <c r="BI49" s="190">
        <v>606</v>
      </c>
      <c r="BJ49" s="190">
        <v>629</v>
      </c>
      <c r="BK49" s="190">
        <v>-27</v>
      </c>
      <c r="BL49" s="190">
        <v>27</v>
      </c>
      <c r="BM49" s="190">
        <v>0</v>
      </c>
      <c r="BN49" s="190">
        <v>1</v>
      </c>
      <c r="BO49" s="190">
        <v>9</v>
      </c>
      <c r="BP49" s="190">
        <v>10</v>
      </c>
      <c r="BQ49" s="190">
        <v>0</v>
      </c>
      <c r="BR49" s="190">
        <v>2</v>
      </c>
      <c r="BS49" s="190">
        <v>2</v>
      </c>
      <c r="BT49" s="190">
        <v>41</v>
      </c>
      <c r="BU49" s="190">
        <v>644</v>
      </c>
      <c r="BV49" s="190">
        <v>685</v>
      </c>
      <c r="BW49" s="190">
        <v>1095</v>
      </c>
      <c r="BX49" s="190">
        <v>13558</v>
      </c>
      <c r="BY49" s="190">
        <v>14653</v>
      </c>
      <c r="BZ49" s="190">
        <v>1090</v>
      </c>
      <c r="CA49" s="190">
        <v>13505</v>
      </c>
      <c r="CB49" s="190">
        <v>14595</v>
      </c>
      <c r="CC49" s="190">
        <v>26686</v>
      </c>
      <c r="CD49" s="190">
        <v>5</v>
      </c>
      <c r="CE49" s="190">
        <v>49</v>
      </c>
      <c r="CF49" s="190">
        <v>5</v>
      </c>
      <c r="CG49" s="190">
        <v>42</v>
      </c>
      <c r="CH49" s="190">
        <v>47</v>
      </c>
      <c r="CI49" s="190">
        <v>0</v>
      </c>
      <c r="CJ49" s="190">
        <v>15</v>
      </c>
      <c r="CK49" s="190">
        <v>0</v>
      </c>
      <c r="CL49" s="190">
        <v>11</v>
      </c>
      <c r="CM49" s="190">
        <v>11</v>
      </c>
      <c r="CN49" s="190">
        <v>68</v>
      </c>
      <c r="CO49" s="190">
        <v>1100</v>
      </c>
      <c r="CP49" s="190">
        <v>1168</v>
      </c>
      <c r="CQ49" s="190">
        <v>0</v>
      </c>
      <c r="CR49" s="190">
        <v>2</v>
      </c>
      <c r="CS49" s="190">
        <v>2</v>
      </c>
      <c r="CT49" s="190">
        <v>1027</v>
      </c>
      <c r="CU49" s="190">
        <v>12458</v>
      </c>
      <c r="CV49" s="190">
        <v>13485</v>
      </c>
      <c r="CW49" s="190">
        <v>56</v>
      </c>
      <c r="CX49" s="190">
        <v>678</v>
      </c>
      <c r="CY49" s="190">
        <v>734</v>
      </c>
      <c r="CZ49" s="190">
        <v>56</v>
      </c>
      <c r="DA49" s="190">
        <v>0</v>
      </c>
      <c r="DB49" s="190">
        <v>0</v>
      </c>
      <c r="DC49" s="190">
        <v>657</v>
      </c>
      <c r="DD49" s="190">
        <v>1</v>
      </c>
      <c r="DE49" s="190">
        <v>0</v>
      </c>
      <c r="DF49" s="190">
        <v>56</v>
      </c>
      <c r="DG49" s="190">
        <v>658</v>
      </c>
      <c r="DH49" s="190">
        <v>714</v>
      </c>
      <c r="DI49" s="190">
        <v>0</v>
      </c>
      <c r="DJ49" s="190">
        <v>0</v>
      </c>
      <c r="DK49" s="190">
        <v>0</v>
      </c>
      <c r="DL49" s="190">
        <v>20</v>
      </c>
      <c r="DM49" s="190">
        <v>0</v>
      </c>
      <c r="DN49" s="190">
        <v>0</v>
      </c>
      <c r="DO49" s="190">
        <v>0</v>
      </c>
      <c r="DP49" s="190">
        <v>20</v>
      </c>
      <c r="DQ49" s="190">
        <v>20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1289</v>
      </c>
      <c r="C50" s="190">
        <v>337</v>
      </c>
      <c r="D50" s="190">
        <v>1101</v>
      </c>
      <c r="E50" s="190">
        <v>616</v>
      </c>
      <c r="F50" s="190">
        <v>1</v>
      </c>
      <c r="G50" s="190">
        <v>28</v>
      </c>
      <c r="H50" s="190">
        <v>29</v>
      </c>
      <c r="I50" s="190">
        <v>0</v>
      </c>
      <c r="J50" s="190">
        <v>463</v>
      </c>
      <c r="K50" s="190">
        <v>463</v>
      </c>
      <c r="L50" s="190">
        <v>0</v>
      </c>
      <c r="M50" s="190">
        <v>135</v>
      </c>
      <c r="N50" s="190">
        <v>135</v>
      </c>
      <c r="O50" s="190">
        <v>0</v>
      </c>
      <c r="P50" s="190">
        <v>328</v>
      </c>
      <c r="Q50" s="190">
        <v>328</v>
      </c>
      <c r="R50" s="190">
        <v>0</v>
      </c>
      <c r="S50" s="190">
        <v>9</v>
      </c>
      <c r="T50" s="190">
        <v>9</v>
      </c>
      <c r="U50" s="190">
        <v>0</v>
      </c>
      <c r="V50" s="190">
        <v>22</v>
      </c>
      <c r="W50" s="190">
        <v>22</v>
      </c>
      <c r="X50" s="190">
        <v>18</v>
      </c>
      <c r="Y50" s="190">
        <v>1083</v>
      </c>
      <c r="Z50" s="190">
        <v>1101</v>
      </c>
      <c r="AA50" s="190">
        <v>9</v>
      </c>
      <c r="AB50" s="190">
        <v>462</v>
      </c>
      <c r="AC50" s="190">
        <v>471</v>
      </c>
      <c r="AD50" s="190">
        <v>8</v>
      </c>
      <c r="AE50" s="190">
        <v>441</v>
      </c>
      <c r="AF50" s="190">
        <v>449</v>
      </c>
      <c r="AG50" s="190">
        <v>1</v>
      </c>
      <c r="AH50" s="190">
        <v>11</v>
      </c>
      <c r="AI50" s="190">
        <v>12</v>
      </c>
      <c r="AJ50" s="190">
        <v>0</v>
      </c>
      <c r="AK50" s="190">
        <v>10</v>
      </c>
      <c r="AL50" s="190">
        <v>10</v>
      </c>
      <c r="AM50" s="190">
        <v>9</v>
      </c>
      <c r="AN50" s="190">
        <v>621</v>
      </c>
      <c r="AO50" s="190">
        <v>630</v>
      </c>
      <c r="AP50" s="190">
        <v>1151</v>
      </c>
      <c r="AQ50" s="190">
        <v>10416</v>
      </c>
      <c r="AR50" s="190">
        <v>11567</v>
      </c>
      <c r="AS50" s="190">
        <v>1151</v>
      </c>
      <c r="AT50" s="190">
        <v>10416</v>
      </c>
      <c r="AU50" s="190">
        <v>11567</v>
      </c>
      <c r="AV50" s="190">
        <v>0</v>
      </c>
      <c r="AW50" s="190">
        <v>0</v>
      </c>
      <c r="AX50" s="190">
        <v>0</v>
      </c>
      <c r="AY50" s="190">
        <v>86</v>
      </c>
      <c r="AZ50" s="190">
        <v>1111</v>
      </c>
      <c r="BA50" s="190">
        <v>1197</v>
      </c>
      <c r="BB50" s="190">
        <v>19</v>
      </c>
      <c r="BC50" s="190">
        <v>0</v>
      </c>
      <c r="BD50" s="190">
        <v>0</v>
      </c>
      <c r="BE50" s="190">
        <v>596</v>
      </c>
      <c r="BF50" s="190">
        <v>1</v>
      </c>
      <c r="BG50" s="190">
        <v>0</v>
      </c>
      <c r="BH50" s="190">
        <v>19</v>
      </c>
      <c r="BI50" s="190">
        <v>597</v>
      </c>
      <c r="BJ50" s="190">
        <v>616</v>
      </c>
      <c r="BK50" s="190">
        <v>11</v>
      </c>
      <c r="BL50" s="190">
        <v>-11</v>
      </c>
      <c r="BM50" s="190">
        <v>0</v>
      </c>
      <c r="BN50" s="190">
        <v>7</v>
      </c>
      <c r="BO50" s="190">
        <v>28</v>
      </c>
      <c r="BP50" s="190">
        <v>35</v>
      </c>
      <c r="BQ50" s="190">
        <v>15</v>
      </c>
      <c r="BR50" s="190">
        <v>172</v>
      </c>
      <c r="BS50" s="190">
        <v>187</v>
      </c>
      <c r="BT50" s="190">
        <v>34</v>
      </c>
      <c r="BU50" s="190">
        <v>325</v>
      </c>
      <c r="BV50" s="190">
        <v>359</v>
      </c>
      <c r="BW50" s="190">
        <v>1237</v>
      </c>
      <c r="BX50" s="190">
        <v>11527</v>
      </c>
      <c r="BY50" s="190">
        <v>12764</v>
      </c>
      <c r="BZ50" s="190">
        <v>1231</v>
      </c>
      <c r="CA50" s="190">
        <v>11484</v>
      </c>
      <c r="CB50" s="190">
        <v>12715</v>
      </c>
      <c r="CC50" s="190">
        <v>23974</v>
      </c>
      <c r="CD50" s="190">
        <v>2</v>
      </c>
      <c r="CE50" s="190">
        <v>31</v>
      </c>
      <c r="CF50" s="190">
        <v>6</v>
      </c>
      <c r="CG50" s="190">
        <v>25</v>
      </c>
      <c r="CH50" s="190">
        <v>31</v>
      </c>
      <c r="CI50" s="190">
        <v>20</v>
      </c>
      <c r="CJ50" s="190">
        <v>0</v>
      </c>
      <c r="CK50" s="190">
        <v>0</v>
      </c>
      <c r="CL50" s="190">
        <v>18</v>
      </c>
      <c r="CM50" s="190">
        <v>18</v>
      </c>
      <c r="CN50" s="190">
        <v>87</v>
      </c>
      <c r="CO50" s="190">
        <v>1130</v>
      </c>
      <c r="CP50" s="190">
        <v>1217</v>
      </c>
      <c r="CQ50" s="190">
        <v>0</v>
      </c>
      <c r="CR50" s="190">
        <v>7</v>
      </c>
      <c r="CS50" s="190">
        <v>7</v>
      </c>
      <c r="CT50" s="190">
        <v>1150</v>
      </c>
      <c r="CU50" s="190">
        <v>10397</v>
      </c>
      <c r="CV50" s="190">
        <v>11547</v>
      </c>
      <c r="CW50" s="190">
        <v>60</v>
      </c>
      <c r="CX50" s="190">
        <v>401</v>
      </c>
      <c r="CY50" s="190">
        <v>461</v>
      </c>
      <c r="CZ50" s="190">
        <v>60</v>
      </c>
      <c r="DA50" s="190">
        <v>0</v>
      </c>
      <c r="DB50" s="190">
        <v>0</v>
      </c>
      <c r="DC50" s="190">
        <v>387</v>
      </c>
      <c r="DD50" s="190">
        <v>1</v>
      </c>
      <c r="DE50" s="190">
        <v>0</v>
      </c>
      <c r="DF50" s="190">
        <v>60</v>
      </c>
      <c r="DG50" s="190">
        <v>388</v>
      </c>
      <c r="DH50" s="190">
        <v>448</v>
      </c>
      <c r="DI50" s="190">
        <v>0</v>
      </c>
      <c r="DJ50" s="190">
        <v>0</v>
      </c>
      <c r="DK50" s="190">
        <v>0</v>
      </c>
      <c r="DL50" s="190">
        <v>13</v>
      </c>
      <c r="DM50" s="190">
        <v>0</v>
      </c>
      <c r="DN50" s="190">
        <v>0</v>
      </c>
      <c r="DO50" s="190">
        <v>0</v>
      </c>
      <c r="DP50" s="190">
        <v>13</v>
      </c>
      <c r="DQ50" s="190">
        <v>13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7</v>
      </c>
      <c r="C51" s="190">
        <v>3</v>
      </c>
      <c r="D51" s="190">
        <v>8</v>
      </c>
      <c r="E51" s="190">
        <v>7</v>
      </c>
      <c r="F51" s="190">
        <v>0</v>
      </c>
      <c r="G51" s="190">
        <v>0</v>
      </c>
      <c r="H51" s="190">
        <v>0</v>
      </c>
      <c r="I51" s="190">
        <v>0</v>
      </c>
      <c r="J51" s="190">
        <v>1</v>
      </c>
      <c r="K51" s="190">
        <v>1</v>
      </c>
      <c r="L51" s="190">
        <v>0</v>
      </c>
      <c r="M51" s="190">
        <v>0</v>
      </c>
      <c r="N51" s="190">
        <v>0</v>
      </c>
      <c r="O51" s="190">
        <v>0</v>
      </c>
      <c r="P51" s="190">
        <v>1</v>
      </c>
      <c r="Q51" s="190">
        <v>1</v>
      </c>
      <c r="R51" s="190">
        <v>0</v>
      </c>
      <c r="S51" s="190">
        <v>0</v>
      </c>
      <c r="T51" s="190">
        <v>0</v>
      </c>
      <c r="U51" s="190">
        <v>0</v>
      </c>
      <c r="V51" s="190">
        <v>0</v>
      </c>
      <c r="W51" s="190">
        <v>0</v>
      </c>
      <c r="X51" s="190">
        <v>1</v>
      </c>
      <c r="Y51" s="190">
        <v>7</v>
      </c>
      <c r="Z51" s="190">
        <v>8</v>
      </c>
      <c r="AA51" s="190">
        <v>1</v>
      </c>
      <c r="AB51" s="190">
        <v>4</v>
      </c>
      <c r="AC51" s="190">
        <v>5</v>
      </c>
      <c r="AD51" s="190">
        <v>1</v>
      </c>
      <c r="AE51" s="190">
        <v>3</v>
      </c>
      <c r="AF51" s="190">
        <v>4</v>
      </c>
      <c r="AG51" s="190">
        <v>0</v>
      </c>
      <c r="AH51" s="190">
        <v>1</v>
      </c>
      <c r="AI51" s="190">
        <v>1</v>
      </c>
      <c r="AJ51" s="190">
        <v>0</v>
      </c>
      <c r="AK51" s="190">
        <v>0</v>
      </c>
      <c r="AL51" s="190">
        <v>0</v>
      </c>
      <c r="AM51" s="190">
        <v>0</v>
      </c>
      <c r="AN51" s="190">
        <v>3</v>
      </c>
      <c r="AO51" s="190">
        <v>3</v>
      </c>
      <c r="AP51" s="190">
        <v>13</v>
      </c>
      <c r="AQ51" s="190">
        <v>146</v>
      </c>
      <c r="AR51" s="190">
        <v>159</v>
      </c>
      <c r="AS51" s="190">
        <v>13</v>
      </c>
      <c r="AT51" s="190">
        <v>146</v>
      </c>
      <c r="AU51" s="190">
        <v>159</v>
      </c>
      <c r="AV51" s="190">
        <v>0</v>
      </c>
      <c r="AW51" s="190">
        <v>0</v>
      </c>
      <c r="AX51" s="190">
        <v>0</v>
      </c>
      <c r="AY51" s="190">
        <v>3</v>
      </c>
      <c r="AZ51" s="190">
        <v>6</v>
      </c>
      <c r="BA51" s="190">
        <v>9</v>
      </c>
      <c r="BB51" s="190">
        <v>1</v>
      </c>
      <c r="BC51" s="190">
        <v>0</v>
      </c>
      <c r="BD51" s="190">
        <v>0</v>
      </c>
      <c r="BE51" s="190">
        <v>6</v>
      </c>
      <c r="BF51" s="190">
        <v>0</v>
      </c>
      <c r="BG51" s="190">
        <v>0</v>
      </c>
      <c r="BH51" s="190">
        <v>1</v>
      </c>
      <c r="BI51" s="190">
        <v>6</v>
      </c>
      <c r="BJ51" s="190">
        <v>7</v>
      </c>
      <c r="BK51" s="190">
        <v>2</v>
      </c>
      <c r="BL51" s="190">
        <v>-2</v>
      </c>
      <c r="BM51" s="190">
        <v>0</v>
      </c>
      <c r="BN51" s="190">
        <v>0</v>
      </c>
      <c r="BO51" s="190">
        <v>1</v>
      </c>
      <c r="BP51" s="190">
        <v>1</v>
      </c>
      <c r="BQ51" s="190">
        <v>0</v>
      </c>
      <c r="BR51" s="190">
        <v>0</v>
      </c>
      <c r="BS51" s="190">
        <v>0</v>
      </c>
      <c r="BT51" s="190">
        <v>0</v>
      </c>
      <c r="BU51" s="190">
        <v>1</v>
      </c>
      <c r="BV51" s="190">
        <v>1</v>
      </c>
      <c r="BW51" s="190">
        <v>16</v>
      </c>
      <c r="BX51" s="190">
        <v>152</v>
      </c>
      <c r="BY51" s="190">
        <v>168</v>
      </c>
      <c r="BZ51" s="190">
        <v>16</v>
      </c>
      <c r="CA51" s="190">
        <v>152</v>
      </c>
      <c r="CB51" s="190">
        <v>168</v>
      </c>
      <c r="CC51" s="190">
        <v>296</v>
      </c>
      <c r="CD51" s="190">
        <v>0</v>
      </c>
      <c r="CE51" s="190">
        <v>0</v>
      </c>
      <c r="CF51" s="190">
        <v>0</v>
      </c>
      <c r="CG51" s="190">
        <v>0</v>
      </c>
      <c r="CH51" s="190">
        <v>0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0</v>
      </c>
      <c r="CO51" s="190">
        <v>7</v>
      </c>
      <c r="CP51" s="190">
        <v>7</v>
      </c>
      <c r="CQ51" s="190">
        <v>0</v>
      </c>
      <c r="CR51" s="190">
        <v>0</v>
      </c>
      <c r="CS51" s="190">
        <v>0</v>
      </c>
      <c r="CT51" s="190">
        <v>16</v>
      </c>
      <c r="CU51" s="190">
        <v>145</v>
      </c>
      <c r="CV51" s="190">
        <v>161</v>
      </c>
      <c r="CW51" s="190">
        <v>0</v>
      </c>
      <c r="CX51" s="190">
        <v>15</v>
      </c>
      <c r="CY51" s="190">
        <v>15</v>
      </c>
      <c r="CZ51" s="190">
        <v>0</v>
      </c>
      <c r="DA51" s="190">
        <v>0</v>
      </c>
      <c r="DB51" s="190">
        <v>0</v>
      </c>
      <c r="DC51" s="190">
        <v>15</v>
      </c>
      <c r="DD51" s="190">
        <v>0</v>
      </c>
      <c r="DE51" s="190">
        <v>0</v>
      </c>
      <c r="DF51" s="190">
        <v>0</v>
      </c>
      <c r="DG51" s="190">
        <v>15</v>
      </c>
      <c r="DH51" s="190">
        <v>15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254</v>
      </c>
      <c r="C52" s="190">
        <v>48</v>
      </c>
      <c r="D52" s="190">
        <v>242</v>
      </c>
      <c r="E52" s="190">
        <v>128</v>
      </c>
      <c r="F52" s="190">
        <v>1</v>
      </c>
      <c r="G52" s="190">
        <v>11</v>
      </c>
      <c r="H52" s="190">
        <v>12</v>
      </c>
      <c r="I52" s="190">
        <v>0</v>
      </c>
      <c r="J52" s="190">
        <v>103</v>
      </c>
      <c r="K52" s="190">
        <v>103</v>
      </c>
      <c r="L52" s="190">
        <v>0</v>
      </c>
      <c r="M52" s="190">
        <v>38</v>
      </c>
      <c r="N52" s="190">
        <v>38</v>
      </c>
      <c r="O52" s="190">
        <v>0</v>
      </c>
      <c r="P52" s="190">
        <v>65</v>
      </c>
      <c r="Q52" s="190">
        <v>65</v>
      </c>
      <c r="R52" s="190">
        <v>0</v>
      </c>
      <c r="S52" s="190">
        <v>5</v>
      </c>
      <c r="T52" s="190">
        <v>5</v>
      </c>
      <c r="U52" s="190">
        <v>0</v>
      </c>
      <c r="V52" s="190">
        <v>11</v>
      </c>
      <c r="W52" s="190">
        <v>11</v>
      </c>
      <c r="X52" s="190">
        <v>8</v>
      </c>
      <c r="Y52" s="190">
        <v>234</v>
      </c>
      <c r="Z52" s="190">
        <v>242</v>
      </c>
      <c r="AA52" s="190">
        <v>3</v>
      </c>
      <c r="AB52" s="190">
        <v>77</v>
      </c>
      <c r="AC52" s="190">
        <v>80</v>
      </c>
      <c r="AD52" s="190">
        <v>2</v>
      </c>
      <c r="AE52" s="190">
        <v>61</v>
      </c>
      <c r="AF52" s="190">
        <v>63</v>
      </c>
      <c r="AG52" s="190">
        <v>1</v>
      </c>
      <c r="AH52" s="190">
        <v>5</v>
      </c>
      <c r="AI52" s="190">
        <v>6</v>
      </c>
      <c r="AJ52" s="190">
        <v>0</v>
      </c>
      <c r="AK52" s="190">
        <v>11</v>
      </c>
      <c r="AL52" s="190">
        <v>11</v>
      </c>
      <c r="AM52" s="190">
        <v>5</v>
      </c>
      <c r="AN52" s="190">
        <v>157</v>
      </c>
      <c r="AO52" s="190">
        <v>162</v>
      </c>
      <c r="AP52" s="190">
        <v>340</v>
      </c>
      <c r="AQ52" s="190">
        <v>2536</v>
      </c>
      <c r="AR52" s="190">
        <v>2876</v>
      </c>
      <c r="AS52" s="190">
        <v>340</v>
      </c>
      <c r="AT52" s="190">
        <v>2536</v>
      </c>
      <c r="AU52" s="190">
        <v>2876</v>
      </c>
      <c r="AV52" s="190">
        <v>0</v>
      </c>
      <c r="AW52" s="190">
        <v>0</v>
      </c>
      <c r="AX52" s="190">
        <v>0</v>
      </c>
      <c r="AY52" s="190">
        <v>41</v>
      </c>
      <c r="AZ52" s="190">
        <v>252</v>
      </c>
      <c r="BA52" s="190">
        <v>293</v>
      </c>
      <c r="BB52" s="190">
        <v>13</v>
      </c>
      <c r="BC52" s="190">
        <v>0</v>
      </c>
      <c r="BD52" s="190">
        <v>0</v>
      </c>
      <c r="BE52" s="190">
        <v>113</v>
      </c>
      <c r="BF52" s="190">
        <v>2</v>
      </c>
      <c r="BG52" s="190">
        <v>0</v>
      </c>
      <c r="BH52" s="190">
        <v>13</v>
      </c>
      <c r="BI52" s="190">
        <v>115</v>
      </c>
      <c r="BJ52" s="190">
        <v>128</v>
      </c>
      <c r="BK52" s="190">
        <v>7</v>
      </c>
      <c r="BL52" s="190">
        <v>-7</v>
      </c>
      <c r="BM52" s="190">
        <v>0</v>
      </c>
      <c r="BN52" s="190">
        <v>3</v>
      </c>
      <c r="BO52" s="190">
        <v>9</v>
      </c>
      <c r="BP52" s="190">
        <v>12</v>
      </c>
      <c r="BQ52" s="190">
        <v>1</v>
      </c>
      <c r="BR52" s="190">
        <v>22</v>
      </c>
      <c r="BS52" s="190">
        <v>23</v>
      </c>
      <c r="BT52" s="190">
        <v>17</v>
      </c>
      <c r="BU52" s="190">
        <v>113</v>
      </c>
      <c r="BV52" s="190">
        <v>130</v>
      </c>
      <c r="BW52" s="190">
        <v>381</v>
      </c>
      <c r="BX52" s="190">
        <v>2788</v>
      </c>
      <c r="BY52" s="190">
        <v>3169</v>
      </c>
      <c r="BZ52" s="190">
        <v>380</v>
      </c>
      <c r="CA52" s="190">
        <v>2779</v>
      </c>
      <c r="CB52" s="190">
        <v>3159</v>
      </c>
      <c r="CC52" s="190">
        <v>6666</v>
      </c>
      <c r="CD52" s="190">
        <v>0</v>
      </c>
      <c r="CE52" s="190">
        <v>10</v>
      </c>
      <c r="CF52" s="190">
        <v>1</v>
      </c>
      <c r="CG52" s="190">
        <v>7</v>
      </c>
      <c r="CH52" s="190">
        <v>8</v>
      </c>
      <c r="CI52" s="190">
        <v>3</v>
      </c>
      <c r="CJ52" s="190">
        <v>0</v>
      </c>
      <c r="CK52" s="190">
        <v>0</v>
      </c>
      <c r="CL52" s="190">
        <v>2</v>
      </c>
      <c r="CM52" s="190">
        <v>2</v>
      </c>
      <c r="CN52" s="190">
        <v>34</v>
      </c>
      <c r="CO52" s="190">
        <v>244</v>
      </c>
      <c r="CP52" s="190">
        <v>278</v>
      </c>
      <c r="CQ52" s="190">
        <v>0</v>
      </c>
      <c r="CR52" s="190">
        <v>5</v>
      </c>
      <c r="CS52" s="190">
        <v>5</v>
      </c>
      <c r="CT52" s="190">
        <v>347</v>
      </c>
      <c r="CU52" s="190">
        <v>2544</v>
      </c>
      <c r="CV52" s="190">
        <v>2891</v>
      </c>
      <c r="CW52" s="190">
        <v>17</v>
      </c>
      <c r="CX52" s="190">
        <v>139</v>
      </c>
      <c r="CY52" s="190">
        <v>156</v>
      </c>
      <c r="CZ52" s="190">
        <v>17</v>
      </c>
      <c r="DA52" s="190">
        <v>0</v>
      </c>
      <c r="DB52" s="190">
        <v>0</v>
      </c>
      <c r="DC52" s="190">
        <v>137</v>
      </c>
      <c r="DD52" s="190">
        <v>0</v>
      </c>
      <c r="DE52" s="190">
        <v>0</v>
      </c>
      <c r="DF52" s="190">
        <v>17</v>
      </c>
      <c r="DG52" s="190">
        <v>137</v>
      </c>
      <c r="DH52" s="190">
        <v>154</v>
      </c>
      <c r="DI52" s="190">
        <v>0</v>
      </c>
      <c r="DJ52" s="190">
        <v>0</v>
      </c>
      <c r="DK52" s="190">
        <v>0</v>
      </c>
      <c r="DL52" s="190">
        <v>2</v>
      </c>
      <c r="DM52" s="190">
        <v>0</v>
      </c>
      <c r="DN52" s="190">
        <v>0</v>
      </c>
      <c r="DO52" s="190">
        <v>0</v>
      </c>
      <c r="DP52" s="190">
        <v>2</v>
      </c>
      <c r="DQ52" s="190">
        <v>2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1643</v>
      </c>
      <c r="C53" s="190">
        <v>455</v>
      </c>
      <c r="D53" s="190">
        <v>1203</v>
      </c>
      <c r="E53" s="190">
        <v>746</v>
      </c>
      <c r="F53" s="190">
        <v>5</v>
      </c>
      <c r="G53" s="190">
        <v>12</v>
      </c>
      <c r="H53" s="190">
        <v>17</v>
      </c>
      <c r="I53" s="190">
        <v>0</v>
      </c>
      <c r="J53" s="190">
        <v>367</v>
      </c>
      <c r="K53" s="190">
        <v>367</v>
      </c>
      <c r="L53" s="190">
        <v>0</v>
      </c>
      <c r="M53" s="190">
        <v>127</v>
      </c>
      <c r="N53" s="190">
        <v>127</v>
      </c>
      <c r="O53" s="190">
        <v>0</v>
      </c>
      <c r="P53" s="190">
        <v>240</v>
      </c>
      <c r="Q53" s="190">
        <v>240</v>
      </c>
      <c r="R53" s="190">
        <v>0</v>
      </c>
      <c r="S53" s="190">
        <v>43</v>
      </c>
      <c r="T53" s="190">
        <v>43</v>
      </c>
      <c r="U53" s="190">
        <v>0</v>
      </c>
      <c r="V53" s="190">
        <v>90</v>
      </c>
      <c r="W53" s="190">
        <v>90</v>
      </c>
      <c r="X53" s="190">
        <v>17</v>
      </c>
      <c r="Y53" s="190">
        <v>852</v>
      </c>
      <c r="Z53" s="190">
        <v>869</v>
      </c>
      <c r="AA53" s="190">
        <v>14</v>
      </c>
      <c r="AB53" s="190">
        <v>470</v>
      </c>
      <c r="AC53" s="190">
        <v>484</v>
      </c>
      <c r="AD53" s="190">
        <v>14</v>
      </c>
      <c r="AE53" s="190">
        <v>458</v>
      </c>
      <c r="AF53" s="190">
        <v>472</v>
      </c>
      <c r="AG53" s="190">
        <v>0</v>
      </c>
      <c r="AH53" s="190">
        <v>10</v>
      </c>
      <c r="AI53" s="190">
        <v>10</v>
      </c>
      <c r="AJ53" s="190">
        <v>0</v>
      </c>
      <c r="AK53" s="190">
        <v>2</v>
      </c>
      <c r="AL53" s="190">
        <v>2</v>
      </c>
      <c r="AM53" s="190">
        <v>3</v>
      </c>
      <c r="AN53" s="190">
        <v>382</v>
      </c>
      <c r="AO53" s="190">
        <v>385</v>
      </c>
      <c r="AP53" s="190">
        <v>2444</v>
      </c>
      <c r="AQ53" s="190">
        <v>17078</v>
      </c>
      <c r="AR53" s="190">
        <v>19522</v>
      </c>
      <c r="AS53" s="190">
        <v>2310</v>
      </c>
      <c r="AT53" s="190">
        <v>17045</v>
      </c>
      <c r="AU53" s="190">
        <v>19355</v>
      </c>
      <c r="AV53" s="190">
        <v>134</v>
      </c>
      <c r="AW53" s="190">
        <v>33</v>
      </c>
      <c r="AX53" s="190">
        <v>167</v>
      </c>
      <c r="AY53" s="190">
        <v>19</v>
      </c>
      <c r="AZ53" s="190">
        <v>1807</v>
      </c>
      <c r="BA53" s="190">
        <v>1826</v>
      </c>
      <c r="BB53" s="190">
        <v>62</v>
      </c>
      <c r="BC53" s="190">
        <v>0</v>
      </c>
      <c r="BD53" s="190">
        <v>0</v>
      </c>
      <c r="BE53" s="190">
        <v>671</v>
      </c>
      <c r="BF53" s="190">
        <v>11</v>
      </c>
      <c r="BG53" s="190">
        <v>2</v>
      </c>
      <c r="BH53" s="190">
        <v>62</v>
      </c>
      <c r="BI53" s="190">
        <v>684</v>
      </c>
      <c r="BJ53" s="190">
        <v>746</v>
      </c>
      <c r="BK53" s="190">
        <v>-153</v>
      </c>
      <c r="BL53" s="190">
        <v>153</v>
      </c>
      <c r="BM53" s="190">
        <v>0</v>
      </c>
      <c r="BN53" s="190">
        <v>11</v>
      </c>
      <c r="BO53" s="190">
        <v>26</v>
      </c>
      <c r="BP53" s="190">
        <v>37</v>
      </c>
      <c r="BQ53" s="190">
        <v>5</v>
      </c>
      <c r="BR53" s="190">
        <v>116</v>
      </c>
      <c r="BS53" s="190">
        <v>121</v>
      </c>
      <c r="BT53" s="190">
        <v>94</v>
      </c>
      <c r="BU53" s="190">
        <v>828</v>
      </c>
      <c r="BV53" s="190">
        <v>922</v>
      </c>
      <c r="BW53" s="190">
        <v>2463</v>
      </c>
      <c r="BX53" s="190">
        <v>18885</v>
      </c>
      <c r="BY53" s="190">
        <v>21348</v>
      </c>
      <c r="BZ53" s="190">
        <v>2444</v>
      </c>
      <c r="CA53" s="190">
        <v>18665</v>
      </c>
      <c r="CB53" s="190">
        <v>21109</v>
      </c>
      <c r="CC53" s="190">
        <v>40094</v>
      </c>
      <c r="CD53" s="190">
        <v>198</v>
      </c>
      <c r="CE53" s="190">
        <v>172</v>
      </c>
      <c r="CF53" s="190">
        <v>19</v>
      </c>
      <c r="CG53" s="190">
        <v>156</v>
      </c>
      <c r="CH53" s="190">
        <v>175</v>
      </c>
      <c r="CI53" s="190">
        <v>89</v>
      </c>
      <c r="CJ53" s="190">
        <v>65</v>
      </c>
      <c r="CK53" s="190">
        <v>0</v>
      </c>
      <c r="CL53" s="190">
        <v>64</v>
      </c>
      <c r="CM53" s="190">
        <v>64</v>
      </c>
      <c r="CN53" s="190">
        <v>162</v>
      </c>
      <c r="CO53" s="190">
        <v>1892</v>
      </c>
      <c r="CP53" s="190">
        <v>2054</v>
      </c>
      <c r="CQ53" s="190">
        <v>0</v>
      </c>
      <c r="CR53" s="190">
        <v>0</v>
      </c>
      <c r="CS53" s="190">
        <v>0</v>
      </c>
      <c r="CT53" s="190">
        <v>2301</v>
      </c>
      <c r="CU53" s="190">
        <v>16993</v>
      </c>
      <c r="CV53" s="190">
        <v>19294</v>
      </c>
      <c r="CW53" s="190">
        <v>167</v>
      </c>
      <c r="CX53" s="190">
        <v>1070</v>
      </c>
      <c r="CY53" s="190">
        <v>1237</v>
      </c>
      <c r="CZ53" s="190">
        <v>164</v>
      </c>
      <c r="DA53" s="190">
        <v>2</v>
      </c>
      <c r="DB53" s="190">
        <v>0</v>
      </c>
      <c r="DC53" s="190">
        <v>1021</v>
      </c>
      <c r="DD53" s="190">
        <v>9</v>
      </c>
      <c r="DE53" s="190">
        <v>2</v>
      </c>
      <c r="DF53" s="190">
        <v>166</v>
      </c>
      <c r="DG53" s="190">
        <v>1032</v>
      </c>
      <c r="DH53" s="190">
        <v>1198</v>
      </c>
      <c r="DI53" s="190">
        <v>1</v>
      </c>
      <c r="DJ53" s="190">
        <v>0</v>
      </c>
      <c r="DK53" s="190">
        <v>0</v>
      </c>
      <c r="DL53" s="190">
        <v>38</v>
      </c>
      <c r="DM53" s="190">
        <v>0</v>
      </c>
      <c r="DN53" s="190">
        <v>0</v>
      </c>
      <c r="DO53" s="190">
        <v>1</v>
      </c>
      <c r="DP53" s="190">
        <v>38</v>
      </c>
      <c r="DQ53" s="190">
        <v>39</v>
      </c>
      <c r="DR53" s="190">
        <v>0</v>
      </c>
      <c r="DS53" s="190">
        <v>1</v>
      </c>
      <c r="DT53" s="191">
        <v>1</v>
      </c>
      <c r="DU53" s="172"/>
      <c r="DV53" s="192"/>
      <c r="DX53" s="192"/>
      <c r="DY53" s="192"/>
    </row>
    <row r="54" spans="1:129" s="193" customFormat="1" ht="15.75">
      <c r="A54" s="189" t="s">
        <v>369</v>
      </c>
      <c r="B54" s="190">
        <v>992</v>
      </c>
      <c r="C54" s="190">
        <v>348</v>
      </c>
      <c r="D54" s="190">
        <v>1424</v>
      </c>
      <c r="E54" s="190">
        <v>497</v>
      </c>
      <c r="F54" s="190">
        <v>0</v>
      </c>
      <c r="G54" s="190">
        <v>13</v>
      </c>
      <c r="H54" s="190">
        <v>13</v>
      </c>
      <c r="I54" s="190">
        <v>3</v>
      </c>
      <c r="J54" s="190">
        <v>877</v>
      </c>
      <c r="K54" s="190">
        <v>880</v>
      </c>
      <c r="L54" s="190">
        <v>3</v>
      </c>
      <c r="M54" s="190">
        <v>873</v>
      </c>
      <c r="N54" s="190">
        <v>876</v>
      </c>
      <c r="O54" s="190">
        <v>0</v>
      </c>
      <c r="P54" s="190">
        <v>4</v>
      </c>
      <c r="Q54" s="190">
        <v>4</v>
      </c>
      <c r="R54" s="190">
        <v>0</v>
      </c>
      <c r="S54" s="190">
        <v>63</v>
      </c>
      <c r="T54" s="190">
        <v>63</v>
      </c>
      <c r="U54" s="190">
        <v>0</v>
      </c>
      <c r="V54" s="190">
        <v>47</v>
      </c>
      <c r="W54" s="190">
        <v>47</v>
      </c>
      <c r="X54" s="190">
        <v>6</v>
      </c>
      <c r="Y54" s="190">
        <v>930</v>
      </c>
      <c r="Z54" s="190">
        <v>936</v>
      </c>
      <c r="AA54" s="190">
        <v>2</v>
      </c>
      <c r="AB54" s="190">
        <v>313</v>
      </c>
      <c r="AC54" s="190">
        <v>315</v>
      </c>
      <c r="AD54" s="190">
        <v>2</v>
      </c>
      <c r="AE54" s="190">
        <v>174</v>
      </c>
      <c r="AF54" s="190">
        <v>176</v>
      </c>
      <c r="AG54" s="190">
        <v>0</v>
      </c>
      <c r="AH54" s="190">
        <v>82</v>
      </c>
      <c r="AI54" s="190">
        <v>82</v>
      </c>
      <c r="AJ54" s="190">
        <v>0</v>
      </c>
      <c r="AK54" s="190">
        <v>57</v>
      </c>
      <c r="AL54" s="190">
        <v>57</v>
      </c>
      <c r="AM54" s="190">
        <v>4</v>
      </c>
      <c r="AN54" s="190">
        <v>617</v>
      </c>
      <c r="AO54" s="190">
        <v>621</v>
      </c>
      <c r="AP54" s="190">
        <v>1390</v>
      </c>
      <c r="AQ54" s="190">
        <v>15136</v>
      </c>
      <c r="AR54" s="190">
        <v>16526</v>
      </c>
      <c r="AS54" s="190">
        <v>1373</v>
      </c>
      <c r="AT54" s="190">
        <v>14789</v>
      </c>
      <c r="AU54" s="190">
        <v>16162</v>
      </c>
      <c r="AV54" s="190">
        <v>17</v>
      </c>
      <c r="AW54" s="190">
        <v>347</v>
      </c>
      <c r="AX54" s="190">
        <v>364</v>
      </c>
      <c r="AY54" s="190">
        <v>16</v>
      </c>
      <c r="AZ54" s="190">
        <v>1043</v>
      </c>
      <c r="BA54" s="190">
        <v>1059</v>
      </c>
      <c r="BB54" s="190">
        <v>18</v>
      </c>
      <c r="BC54" s="190">
        <v>1</v>
      </c>
      <c r="BD54" s="190">
        <v>0</v>
      </c>
      <c r="BE54" s="190">
        <v>470</v>
      </c>
      <c r="BF54" s="190">
        <v>7</v>
      </c>
      <c r="BG54" s="190">
        <v>1</v>
      </c>
      <c r="BH54" s="190">
        <v>19</v>
      </c>
      <c r="BI54" s="190">
        <v>478</v>
      </c>
      <c r="BJ54" s="190">
        <v>497</v>
      </c>
      <c r="BK54" s="190">
        <v>-29</v>
      </c>
      <c r="BL54" s="190">
        <v>29</v>
      </c>
      <c r="BM54" s="190">
        <v>0</v>
      </c>
      <c r="BN54" s="190">
        <v>5</v>
      </c>
      <c r="BO54" s="190">
        <v>10</v>
      </c>
      <c r="BP54" s="190">
        <v>15</v>
      </c>
      <c r="BQ54" s="190">
        <v>4</v>
      </c>
      <c r="BR54" s="190">
        <v>157</v>
      </c>
      <c r="BS54" s="190">
        <v>161</v>
      </c>
      <c r="BT54" s="190">
        <v>17</v>
      </c>
      <c r="BU54" s="190">
        <v>369</v>
      </c>
      <c r="BV54" s="190">
        <v>386</v>
      </c>
      <c r="BW54" s="190">
        <v>1406</v>
      </c>
      <c r="BX54" s="190">
        <v>16179</v>
      </c>
      <c r="BY54" s="190">
        <v>17585</v>
      </c>
      <c r="BZ54" s="190">
        <v>1367</v>
      </c>
      <c r="CA54" s="190">
        <v>15902</v>
      </c>
      <c r="CB54" s="190">
        <v>17269</v>
      </c>
      <c r="CC54" s="190">
        <v>31440</v>
      </c>
      <c r="CD54" s="190">
        <v>25</v>
      </c>
      <c r="CE54" s="190">
        <v>297</v>
      </c>
      <c r="CF54" s="190">
        <v>38</v>
      </c>
      <c r="CG54" s="190">
        <v>225</v>
      </c>
      <c r="CH54" s="190">
        <v>263</v>
      </c>
      <c r="CI54" s="190">
        <v>65</v>
      </c>
      <c r="CJ54" s="190">
        <v>4</v>
      </c>
      <c r="CK54" s="190">
        <v>1</v>
      </c>
      <c r="CL54" s="190">
        <v>52</v>
      </c>
      <c r="CM54" s="190">
        <v>53</v>
      </c>
      <c r="CN54" s="190">
        <v>65</v>
      </c>
      <c r="CO54" s="190">
        <v>1490</v>
      </c>
      <c r="CP54" s="190">
        <v>1555</v>
      </c>
      <c r="CQ54" s="190">
        <v>0</v>
      </c>
      <c r="CR54" s="190">
        <v>0</v>
      </c>
      <c r="CS54" s="190">
        <v>0</v>
      </c>
      <c r="CT54" s="190">
        <v>1341</v>
      </c>
      <c r="CU54" s="190">
        <v>14689</v>
      </c>
      <c r="CV54" s="190">
        <v>16030</v>
      </c>
      <c r="CW54" s="190">
        <v>89</v>
      </c>
      <c r="CX54" s="190">
        <v>727</v>
      </c>
      <c r="CY54" s="190">
        <v>816</v>
      </c>
      <c r="CZ54" s="190">
        <v>83</v>
      </c>
      <c r="DA54" s="190">
        <v>3</v>
      </c>
      <c r="DB54" s="190">
        <v>0</v>
      </c>
      <c r="DC54" s="190">
        <v>694</v>
      </c>
      <c r="DD54" s="190">
        <v>8</v>
      </c>
      <c r="DE54" s="190">
        <v>2</v>
      </c>
      <c r="DF54" s="190">
        <v>86</v>
      </c>
      <c r="DG54" s="190">
        <v>704</v>
      </c>
      <c r="DH54" s="190">
        <v>790</v>
      </c>
      <c r="DI54" s="190">
        <v>2</v>
      </c>
      <c r="DJ54" s="190">
        <v>1</v>
      </c>
      <c r="DK54" s="190">
        <v>0</v>
      </c>
      <c r="DL54" s="190">
        <v>23</v>
      </c>
      <c r="DM54" s="190">
        <v>0</v>
      </c>
      <c r="DN54" s="190">
        <v>0</v>
      </c>
      <c r="DO54" s="190">
        <v>3</v>
      </c>
      <c r="DP54" s="190">
        <v>23</v>
      </c>
      <c r="DQ54" s="190">
        <v>26</v>
      </c>
      <c r="DR54" s="190">
        <v>0</v>
      </c>
      <c r="DS54" s="190">
        <v>2</v>
      </c>
      <c r="DT54" s="191">
        <v>2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3247</v>
      </c>
      <c r="C55" s="190">
        <v>828</v>
      </c>
      <c r="D55" s="190">
        <v>3048</v>
      </c>
      <c r="E55" s="190">
        <v>2035</v>
      </c>
      <c r="F55" s="190">
        <v>0</v>
      </c>
      <c r="G55" s="190">
        <v>51</v>
      </c>
      <c r="H55" s="190">
        <v>51</v>
      </c>
      <c r="I55" s="190">
        <v>0</v>
      </c>
      <c r="J55" s="190">
        <v>852</v>
      </c>
      <c r="K55" s="190">
        <v>852</v>
      </c>
      <c r="L55" s="190">
        <v>0</v>
      </c>
      <c r="M55" s="190">
        <v>426</v>
      </c>
      <c r="N55" s="190">
        <v>426</v>
      </c>
      <c r="O55" s="190">
        <v>0</v>
      </c>
      <c r="P55" s="190">
        <v>426</v>
      </c>
      <c r="Q55" s="190">
        <v>426</v>
      </c>
      <c r="R55" s="190">
        <v>0</v>
      </c>
      <c r="S55" s="190">
        <v>10</v>
      </c>
      <c r="T55" s="190">
        <v>10</v>
      </c>
      <c r="U55" s="190">
        <v>0</v>
      </c>
      <c r="V55" s="190">
        <v>161</v>
      </c>
      <c r="W55" s="190">
        <v>161</v>
      </c>
      <c r="X55" s="190">
        <v>57</v>
      </c>
      <c r="Y55" s="190">
        <v>2988</v>
      </c>
      <c r="Z55" s="190">
        <v>3045</v>
      </c>
      <c r="AA55" s="190">
        <v>33</v>
      </c>
      <c r="AB55" s="190">
        <v>1347</v>
      </c>
      <c r="AC55" s="190">
        <v>1380</v>
      </c>
      <c r="AD55" s="190">
        <v>32</v>
      </c>
      <c r="AE55" s="190">
        <v>1259</v>
      </c>
      <c r="AF55" s="190">
        <v>1291</v>
      </c>
      <c r="AG55" s="190">
        <v>0</v>
      </c>
      <c r="AH55" s="190">
        <v>50</v>
      </c>
      <c r="AI55" s="190">
        <v>50</v>
      </c>
      <c r="AJ55" s="190">
        <v>1</v>
      </c>
      <c r="AK55" s="190">
        <v>38</v>
      </c>
      <c r="AL55" s="190">
        <v>39</v>
      </c>
      <c r="AM55" s="190">
        <v>24</v>
      </c>
      <c r="AN55" s="190">
        <v>1641</v>
      </c>
      <c r="AO55" s="190">
        <v>1665</v>
      </c>
      <c r="AP55" s="190">
        <v>5152</v>
      </c>
      <c r="AQ55" s="190">
        <v>32451</v>
      </c>
      <c r="AR55" s="190">
        <v>37603</v>
      </c>
      <c r="AS55" s="190">
        <v>5153</v>
      </c>
      <c r="AT55" s="190">
        <v>32452</v>
      </c>
      <c r="AU55" s="190">
        <v>37605</v>
      </c>
      <c r="AV55" s="190">
        <v>-1</v>
      </c>
      <c r="AW55" s="190">
        <v>-1</v>
      </c>
      <c r="AX55" s="190">
        <v>-2</v>
      </c>
      <c r="AY55" s="190">
        <v>233</v>
      </c>
      <c r="AZ55" s="190">
        <v>3233</v>
      </c>
      <c r="BA55" s="190">
        <v>3466</v>
      </c>
      <c r="BB55" s="190">
        <v>70</v>
      </c>
      <c r="BC55" s="190">
        <v>0</v>
      </c>
      <c r="BD55" s="190">
        <v>0</v>
      </c>
      <c r="BE55" s="190">
        <v>1953</v>
      </c>
      <c r="BF55" s="190">
        <v>11</v>
      </c>
      <c r="BG55" s="190">
        <v>1</v>
      </c>
      <c r="BH55" s="190">
        <v>70</v>
      </c>
      <c r="BI55" s="190">
        <v>1965</v>
      </c>
      <c r="BJ55" s="190">
        <v>2035</v>
      </c>
      <c r="BK55" s="190">
        <v>-28</v>
      </c>
      <c r="BL55" s="190">
        <v>28</v>
      </c>
      <c r="BM55" s="190">
        <v>0</v>
      </c>
      <c r="BN55" s="190">
        <v>21</v>
      </c>
      <c r="BO55" s="190">
        <v>59</v>
      </c>
      <c r="BP55" s="190">
        <v>80</v>
      </c>
      <c r="BQ55" s="190">
        <v>44</v>
      </c>
      <c r="BR55" s="190">
        <v>469</v>
      </c>
      <c r="BS55" s="190">
        <v>513</v>
      </c>
      <c r="BT55" s="190">
        <v>126</v>
      </c>
      <c r="BU55" s="190">
        <v>712</v>
      </c>
      <c r="BV55" s="190">
        <v>838</v>
      </c>
      <c r="BW55" s="190">
        <v>5385</v>
      </c>
      <c r="BX55" s="190">
        <v>35684</v>
      </c>
      <c r="BY55" s="190">
        <v>41069</v>
      </c>
      <c r="BZ55" s="190">
        <v>5343</v>
      </c>
      <c r="CA55" s="190">
        <v>35486</v>
      </c>
      <c r="CB55" s="190">
        <v>40829</v>
      </c>
      <c r="CC55" s="190">
        <v>85751</v>
      </c>
      <c r="CD55" s="190">
        <v>15</v>
      </c>
      <c r="CE55" s="190">
        <v>232</v>
      </c>
      <c r="CF55" s="190">
        <v>42</v>
      </c>
      <c r="CG55" s="190">
        <v>173</v>
      </c>
      <c r="CH55" s="190">
        <v>215</v>
      </c>
      <c r="CI55" s="190">
        <v>26</v>
      </c>
      <c r="CJ55" s="190">
        <v>6</v>
      </c>
      <c r="CK55" s="190">
        <v>0</v>
      </c>
      <c r="CL55" s="190">
        <v>25</v>
      </c>
      <c r="CM55" s="190">
        <v>25</v>
      </c>
      <c r="CN55" s="190">
        <v>276</v>
      </c>
      <c r="CO55" s="190">
        <v>3182</v>
      </c>
      <c r="CP55" s="190">
        <v>3458</v>
      </c>
      <c r="CQ55" s="190">
        <v>0</v>
      </c>
      <c r="CR55" s="190">
        <v>3</v>
      </c>
      <c r="CS55" s="190">
        <v>3</v>
      </c>
      <c r="CT55" s="190">
        <v>5109</v>
      </c>
      <c r="CU55" s="190">
        <v>32502</v>
      </c>
      <c r="CV55" s="190">
        <v>37611</v>
      </c>
      <c r="CW55" s="190">
        <v>319</v>
      </c>
      <c r="CX55" s="190">
        <v>1539</v>
      </c>
      <c r="CY55" s="190">
        <v>1858</v>
      </c>
      <c r="CZ55" s="190">
        <v>313</v>
      </c>
      <c r="DA55" s="190">
        <v>5</v>
      </c>
      <c r="DB55" s="190">
        <v>0</v>
      </c>
      <c r="DC55" s="190">
        <v>1514</v>
      </c>
      <c r="DD55" s="190">
        <v>7</v>
      </c>
      <c r="DE55" s="190">
        <v>0</v>
      </c>
      <c r="DF55" s="190">
        <v>318</v>
      </c>
      <c r="DG55" s="190">
        <v>1521</v>
      </c>
      <c r="DH55" s="190">
        <v>1839</v>
      </c>
      <c r="DI55" s="190">
        <v>1</v>
      </c>
      <c r="DJ55" s="190">
        <v>0</v>
      </c>
      <c r="DK55" s="190">
        <v>0</v>
      </c>
      <c r="DL55" s="190">
        <v>18</v>
      </c>
      <c r="DM55" s="190">
        <v>0</v>
      </c>
      <c r="DN55" s="190">
        <v>0</v>
      </c>
      <c r="DO55" s="190">
        <v>1</v>
      </c>
      <c r="DP55" s="190">
        <v>18</v>
      </c>
      <c r="DQ55" s="190">
        <v>19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505</v>
      </c>
      <c r="C56" s="190">
        <v>137</v>
      </c>
      <c r="D56" s="190">
        <v>445</v>
      </c>
      <c r="E56" s="190">
        <v>292</v>
      </c>
      <c r="F56" s="190">
        <v>0</v>
      </c>
      <c r="G56" s="190">
        <v>2</v>
      </c>
      <c r="H56" s="190">
        <v>2</v>
      </c>
      <c r="I56" s="190">
        <v>1</v>
      </c>
      <c r="J56" s="190">
        <v>136</v>
      </c>
      <c r="K56" s="190">
        <v>137</v>
      </c>
      <c r="L56" s="190">
        <v>1</v>
      </c>
      <c r="M56" s="190">
        <v>49</v>
      </c>
      <c r="N56" s="190">
        <v>50</v>
      </c>
      <c r="O56" s="190">
        <v>0</v>
      </c>
      <c r="P56" s="190">
        <v>87</v>
      </c>
      <c r="Q56" s="190">
        <v>87</v>
      </c>
      <c r="R56" s="190">
        <v>0</v>
      </c>
      <c r="S56" s="190">
        <v>3</v>
      </c>
      <c r="T56" s="190">
        <v>3</v>
      </c>
      <c r="U56" s="190">
        <v>0</v>
      </c>
      <c r="V56" s="190">
        <v>16</v>
      </c>
      <c r="W56" s="190">
        <v>16</v>
      </c>
      <c r="X56" s="190">
        <v>22</v>
      </c>
      <c r="Y56" s="190">
        <v>423</v>
      </c>
      <c r="Z56" s="190">
        <v>445</v>
      </c>
      <c r="AA56" s="190">
        <v>16</v>
      </c>
      <c r="AB56" s="190">
        <v>215</v>
      </c>
      <c r="AC56" s="190">
        <v>231</v>
      </c>
      <c r="AD56" s="190">
        <v>12</v>
      </c>
      <c r="AE56" s="190">
        <v>207</v>
      </c>
      <c r="AF56" s="190">
        <v>219</v>
      </c>
      <c r="AG56" s="190">
        <v>2</v>
      </c>
      <c r="AH56" s="190">
        <v>7</v>
      </c>
      <c r="AI56" s="190">
        <v>9</v>
      </c>
      <c r="AJ56" s="190">
        <v>2</v>
      </c>
      <c r="AK56" s="190">
        <v>1</v>
      </c>
      <c r="AL56" s="190">
        <v>3</v>
      </c>
      <c r="AM56" s="190">
        <v>6</v>
      </c>
      <c r="AN56" s="190">
        <v>208</v>
      </c>
      <c r="AO56" s="190">
        <v>214</v>
      </c>
      <c r="AP56" s="190">
        <v>653</v>
      </c>
      <c r="AQ56" s="190">
        <v>4477</v>
      </c>
      <c r="AR56" s="190">
        <v>5130</v>
      </c>
      <c r="AS56" s="190">
        <v>653</v>
      </c>
      <c r="AT56" s="190">
        <v>4477</v>
      </c>
      <c r="AU56" s="190">
        <v>5130</v>
      </c>
      <c r="AV56" s="190">
        <v>0</v>
      </c>
      <c r="AW56" s="190">
        <v>0</v>
      </c>
      <c r="AX56" s="190">
        <v>0</v>
      </c>
      <c r="AY56" s="190">
        <v>66</v>
      </c>
      <c r="AZ56" s="190">
        <v>526</v>
      </c>
      <c r="BA56" s="190">
        <v>592</v>
      </c>
      <c r="BB56" s="190">
        <v>23</v>
      </c>
      <c r="BC56" s="190">
        <v>0</v>
      </c>
      <c r="BD56" s="190">
        <v>0</v>
      </c>
      <c r="BE56" s="190">
        <v>267</v>
      </c>
      <c r="BF56" s="190">
        <v>0</v>
      </c>
      <c r="BG56" s="190">
        <v>2</v>
      </c>
      <c r="BH56" s="190">
        <v>23</v>
      </c>
      <c r="BI56" s="190">
        <v>269</v>
      </c>
      <c r="BJ56" s="190">
        <v>292</v>
      </c>
      <c r="BK56" s="190">
        <v>17</v>
      </c>
      <c r="BL56" s="190">
        <v>-17</v>
      </c>
      <c r="BM56" s="190">
        <v>0</v>
      </c>
      <c r="BN56" s="190">
        <v>6</v>
      </c>
      <c r="BO56" s="190">
        <v>16</v>
      </c>
      <c r="BP56" s="190">
        <v>22</v>
      </c>
      <c r="BQ56" s="190">
        <v>1</v>
      </c>
      <c r="BR56" s="190">
        <v>73</v>
      </c>
      <c r="BS56" s="190">
        <v>74</v>
      </c>
      <c r="BT56" s="190">
        <v>19</v>
      </c>
      <c r="BU56" s="190">
        <v>185</v>
      </c>
      <c r="BV56" s="190">
        <v>204</v>
      </c>
      <c r="BW56" s="190">
        <v>719</v>
      </c>
      <c r="BX56" s="190">
        <v>5003</v>
      </c>
      <c r="BY56" s="190">
        <v>5722</v>
      </c>
      <c r="BZ56" s="190">
        <v>703</v>
      </c>
      <c r="CA56" s="190">
        <v>4940</v>
      </c>
      <c r="CB56" s="190">
        <v>5643</v>
      </c>
      <c r="CC56" s="190">
        <v>12967</v>
      </c>
      <c r="CD56" s="190">
        <v>7</v>
      </c>
      <c r="CE56" s="190">
        <v>69</v>
      </c>
      <c r="CF56" s="190">
        <v>16</v>
      </c>
      <c r="CG56" s="190">
        <v>48</v>
      </c>
      <c r="CH56" s="190">
        <v>64</v>
      </c>
      <c r="CI56" s="190">
        <v>19</v>
      </c>
      <c r="CJ56" s="190">
        <v>3</v>
      </c>
      <c r="CK56" s="190">
        <v>0</v>
      </c>
      <c r="CL56" s="190">
        <v>15</v>
      </c>
      <c r="CM56" s="190">
        <v>15</v>
      </c>
      <c r="CN56" s="190">
        <v>31</v>
      </c>
      <c r="CO56" s="190">
        <v>431</v>
      </c>
      <c r="CP56" s="190">
        <v>462</v>
      </c>
      <c r="CQ56" s="190">
        <v>0</v>
      </c>
      <c r="CR56" s="190">
        <v>0</v>
      </c>
      <c r="CS56" s="190">
        <v>0</v>
      </c>
      <c r="CT56" s="190">
        <v>688</v>
      </c>
      <c r="CU56" s="190">
        <v>4572</v>
      </c>
      <c r="CV56" s="190">
        <v>5260</v>
      </c>
      <c r="CW56" s="190">
        <v>39</v>
      </c>
      <c r="CX56" s="190">
        <v>303</v>
      </c>
      <c r="CY56" s="190">
        <v>342</v>
      </c>
      <c r="CZ56" s="190">
        <v>39</v>
      </c>
      <c r="DA56" s="190">
        <v>0</v>
      </c>
      <c r="DB56" s="190">
        <v>0</v>
      </c>
      <c r="DC56" s="190">
        <v>300</v>
      </c>
      <c r="DD56" s="190">
        <v>1</v>
      </c>
      <c r="DE56" s="190">
        <v>0</v>
      </c>
      <c r="DF56" s="190">
        <v>39</v>
      </c>
      <c r="DG56" s="190">
        <v>301</v>
      </c>
      <c r="DH56" s="190">
        <v>340</v>
      </c>
      <c r="DI56" s="190">
        <v>0</v>
      </c>
      <c r="DJ56" s="190">
        <v>0</v>
      </c>
      <c r="DK56" s="190">
        <v>0</v>
      </c>
      <c r="DL56" s="190">
        <v>2</v>
      </c>
      <c r="DM56" s="190">
        <v>0</v>
      </c>
      <c r="DN56" s="190">
        <v>0</v>
      </c>
      <c r="DO56" s="190">
        <v>0</v>
      </c>
      <c r="DP56" s="190">
        <v>2</v>
      </c>
      <c r="DQ56" s="190">
        <v>2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470</v>
      </c>
      <c r="C57" s="190">
        <v>64</v>
      </c>
      <c r="D57" s="190">
        <v>384</v>
      </c>
      <c r="E57" s="190">
        <v>226</v>
      </c>
      <c r="F57" s="190">
        <v>0</v>
      </c>
      <c r="G57" s="190">
        <v>12</v>
      </c>
      <c r="H57" s="190">
        <v>12</v>
      </c>
      <c r="I57" s="190">
        <v>0</v>
      </c>
      <c r="J57" s="190">
        <v>137</v>
      </c>
      <c r="K57" s="190">
        <v>137</v>
      </c>
      <c r="L57" s="190">
        <v>0</v>
      </c>
      <c r="M57" s="190">
        <v>30</v>
      </c>
      <c r="N57" s="190">
        <v>30</v>
      </c>
      <c r="O57" s="190">
        <v>0</v>
      </c>
      <c r="P57" s="190">
        <v>107</v>
      </c>
      <c r="Q57" s="190">
        <v>107</v>
      </c>
      <c r="R57" s="190">
        <v>0</v>
      </c>
      <c r="S57" s="190">
        <v>3</v>
      </c>
      <c r="T57" s="190">
        <v>3</v>
      </c>
      <c r="U57" s="190">
        <v>0</v>
      </c>
      <c r="V57" s="190">
        <v>21</v>
      </c>
      <c r="W57" s="190">
        <v>21</v>
      </c>
      <c r="X57" s="190">
        <v>4</v>
      </c>
      <c r="Y57" s="190">
        <v>380</v>
      </c>
      <c r="Z57" s="190">
        <v>384</v>
      </c>
      <c r="AA57" s="190">
        <v>1</v>
      </c>
      <c r="AB57" s="190">
        <v>172</v>
      </c>
      <c r="AC57" s="190">
        <v>173</v>
      </c>
      <c r="AD57" s="190">
        <v>1</v>
      </c>
      <c r="AE57" s="190">
        <v>157</v>
      </c>
      <c r="AF57" s="190">
        <v>158</v>
      </c>
      <c r="AG57" s="190">
        <v>0</v>
      </c>
      <c r="AH57" s="190">
        <v>8</v>
      </c>
      <c r="AI57" s="190">
        <v>8</v>
      </c>
      <c r="AJ57" s="190">
        <v>0</v>
      </c>
      <c r="AK57" s="190">
        <v>7</v>
      </c>
      <c r="AL57" s="190">
        <v>7</v>
      </c>
      <c r="AM57" s="190">
        <v>3</v>
      </c>
      <c r="AN57" s="190">
        <v>208</v>
      </c>
      <c r="AO57" s="190">
        <v>211</v>
      </c>
      <c r="AP57" s="190">
        <v>447</v>
      </c>
      <c r="AQ57" s="190">
        <v>3573</v>
      </c>
      <c r="AR57" s="190">
        <v>4020</v>
      </c>
      <c r="AS57" s="190">
        <v>447</v>
      </c>
      <c r="AT57" s="190">
        <v>3573</v>
      </c>
      <c r="AU57" s="190">
        <v>4020</v>
      </c>
      <c r="AV57" s="190">
        <v>0</v>
      </c>
      <c r="AW57" s="190">
        <v>0</v>
      </c>
      <c r="AX57" s="190">
        <v>0</v>
      </c>
      <c r="AY57" s="190">
        <v>32</v>
      </c>
      <c r="AZ57" s="190">
        <v>361</v>
      </c>
      <c r="BA57" s="190">
        <v>393</v>
      </c>
      <c r="BB57" s="190">
        <v>3</v>
      </c>
      <c r="BC57" s="190">
        <v>0</v>
      </c>
      <c r="BD57" s="190">
        <v>0</v>
      </c>
      <c r="BE57" s="190">
        <v>220</v>
      </c>
      <c r="BF57" s="190">
        <v>3</v>
      </c>
      <c r="BG57" s="190">
        <v>0</v>
      </c>
      <c r="BH57" s="190">
        <v>3</v>
      </c>
      <c r="BI57" s="190">
        <v>223</v>
      </c>
      <c r="BJ57" s="190">
        <v>226</v>
      </c>
      <c r="BK57" s="190">
        <v>14</v>
      </c>
      <c r="BL57" s="190">
        <v>-14</v>
      </c>
      <c r="BM57" s="190">
        <v>0</v>
      </c>
      <c r="BN57" s="190">
        <v>2</v>
      </c>
      <c r="BO57" s="190">
        <v>14</v>
      </c>
      <c r="BP57" s="190">
        <v>16</v>
      </c>
      <c r="BQ57" s="190">
        <v>5</v>
      </c>
      <c r="BR57" s="190">
        <v>44</v>
      </c>
      <c r="BS57" s="190">
        <v>49</v>
      </c>
      <c r="BT57" s="190">
        <v>8</v>
      </c>
      <c r="BU57" s="190">
        <v>94</v>
      </c>
      <c r="BV57" s="190">
        <v>102</v>
      </c>
      <c r="BW57" s="190">
        <v>479</v>
      </c>
      <c r="BX57" s="190">
        <v>3934</v>
      </c>
      <c r="BY57" s="190">
        <v>4413</v>
      </c>
      <c r="BZ57" s="190">
        <v>479</v>
      </c>
      <c r="CA57" s="190">
        <v>3908</v>
      </c>
      <c r="CB57" s="190">
        <v>4387</v>
      </c>
      <c r="CC57" s="190">
        <v>9471</v>
      </c>
      <c r="CD57" s="190">
        <v>0</v>
      </c>
      <c r="CE57" s="190">
        <v>29</v>
      </c>
      <c r="CF57" s="190">
        <v>0</v>
      </c>
      <c r="CG57" s="190">
        <v>24</v>
      </c>
      <c r="CH57" s="190">
        <v>24</v>
      </c>
      <c r="CI57" s="190">
        <v>1</v>
      </c>
      <c r="CJ57" s="190">
        <v>2</v>
      </c>
      <c r="CK57" s="190">
        <v>0</v>
      </c>
      <c r="CL57" s="190">
        <v>2</v>
      </c>
      <c r="CM57" s="190">
        <v>2</v>
      </c>
      <c r="CN57" s="190">
        <v>13</v>
      </c>
      <c r="CO57" s="190">
        <v>375</v>
      </c>
      <c r="CP57" s="190">
        <v>388</v>
      </c>
      <c r="CQ57" s="190">
        <v>0</v>
      </c>
      <c r="CR57" s="190">
        <v>3</v>
      </c>
      <c r="CS57" s="190">
        <v>3</v>
      </c>
      <c r="CT57" s="190">
        <v>466</v>
      </c>
      <c r="CU57" s="190">
        <v>3559</v>
      </c>
      <c r="CV57" s="190">
        <v>4025</v>
      </c>
      <c r="CW57" s="190">
        <v>27</v>
      </c>
      <c r="CX57" s="190">
        <v>144</v>
      </c>
      <c r="CY57" s="190">
        <v>171</v>
      </c>
      <c r="CZ57" s="190">
        <v>26</v>
      </c>
      <c r="DA57" s="190">
        <v>1</v>
      </c>
      <c r="DB57" s="190">
        <v>0</v>
      </c>
      <c r="DC57" s="190">
        <v>139</v>
      </c>
      <c r="DD57" s="190">
        <v>1</v>
      </c>
      <c r="DE57" s="190">
        <v>0</v>
      </c>
      <c r="DF57" s="190">
        <v>27</v>
      </c>
      <c r="DG57" s="190">
        <v>140</v>
      </c>
      <c r="DH57" s="190">
        <v>167</v>
      </c>
      <c r="DI57" s="190">
        <v>0</v>
      </c>
      <c r="DJ57" s="190">
        <v>0</v>
      </c>
      <c r="DK57" s="190">
        <v>0</v>
      </c>
      <c r="DL57" s="190">
        <v>4</v>
      </c>
      <c r="DM57" s="190">
        <v>0</v>
      </c>
      <c r="DN57" s="190">
        <v>0</v>
      </c>
      <c r="DO57" s="190">
        <v>0</v>
      </c>
      <c r="DP57" s="190">
        <v>4</v>
      </c>
      <c r="DQ57" s="190">
        <v>4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73</v>
      </c>
      <c r="C58" s="190">
        <v>13</v>
      </c>
      <c r="D58" s="190">
        <v>59</v>
      </c>
      <c r="E58" s="190">
        <v>44</v>
      </c>
      <c r="F58" s="190">
        <v>0</v>
      </c>
      <c r="G58" s="190">
        <v>3</v>
      </c>
      <c r="H58" s="190">
        <v>3</v>
      </c>
      <c r="I58" s="190">
        <v>0</v>
      </c>
      <c r="J58" s="190">
        <v>15</v>
      </c>
      <c r="K58" s="190">
        <v>15</v>
      </c>
      <c r="L58" s="190">
        <v>0</v>
      </c>
      <c r="M58" s="190">
        <v>5</v>
      </c>
      <c r="N58" s="190">
        <v>5</v>
      </c>
      <c r="O58" s="190">
        <v>0</v>
      </c>
      <c r="P58" s="190">
        <v>10</v>
      </c>
      <c r="Q58" s="190">
        <v>10</v>
      </c>
      <c r="R58" s="190">
        <v>0</v>
      </c>
      <c r="S58" s="190">
        <v>1</v>
      </c>
      <c r="T58" s="190">
        <v>1</v>
      </c>
      <c r="U58" s="190">
        <v>0</v>
      </c>
      <c r="V58" s="190">
        <v>0</v>
      </c>
      <c r="W58" s="190">
        <v>0</v>
      </c>
      <c r="X58" s="190">
        <v>0</v>
      </c>
      <c r="Y58" s="190">
        <v>59</v>
      </c>
      <c r="Z58" s="190">
        <v>59</v>
      </c>
      <c r="AA58" s="190">
        <v>0</v>
      </c>
      <c r="AB58" s="190">
        <v>34</v>
      </c>
      <c r="AC58" s="190">
        <v>34</v>
      </c>
      <c r="AD58" s="190">
        <v>0</v>
      </c>
      <c r="AE58" s="190">
        <v>28</v>
      </c>
      <c r="AF58" s="190">
        <v>28</v>
      </c>
      <c r="AG58" s="190">
        <v>0</v>
      </c>
      <c r="AH58" s="190">
        <v>5</v>
      </c>
      <c r="AI58" s="190">
        <v>5</v>
      </c>
      <c r="AJ58" s="190">
        <v>0</v>
      </c>
      <c r="AK58" s="190">
        <v>1</v>
      </c>
      <c r="AL58" s="190">
        <v>1</v>
      </c>
      <c r="AM58" s="190">
        <v>0</v>
      </c>
      <c r="AN58" s="190">
        <v>25</v>
      </c>
      <c r="AO58" s="190">
        <v>25</v>
      </c>
      <c r="AP58" s="190">
        <v>52</v>
      </c>
      <c r="AQ58" s="190">
        <v>866</v>
      </c>
      <c r="AR58" s="190">
        <v>918</v>
      </c>
      <c r="AS58" s="190">
        <v>52</v>
      </c>
      <c r="AT58" s="190">
        <v>866</v>
      </c>
      <c r="AU58" s="190">
        <v>918</v>
      </c>
      <c r="AV58" s="190">
        <v>0</v>
      </c>
      <c r="AW58" s="190">
        <v>0</v>
      </c>
      <c r="AX58" s="190">
        <v>0</v>
      </c>
      <c r="AY58" s="190">
        <v>8</v>
      </c>
      <c r="AZ58" s="190">
        <v>83</v>
      </c>
      <c r="BA58" s="190">
        <v>91</v>
      </c>
      <c r="BB58" s="190">
        <v>0</v>
      </c>
      <c r="BC58" s="190">
        <v>0</v>
      </c>
      <c r="BD58" s="190">
        <v>0</v>
      </c>
      <c r="BE58" s="190">
        <v>44</v>
      </c>
      <c r="BF58" s="190">
        <v>0</v>
      </c>
      <c r="BG58" s="190">
        <v>0</v>
      </c>
      <c r="BH58" s="190">
        <v>0</v>
      </c>
      <c r="BI58" s="190">
        <v>44</v>
      </c>
      <c r="BJ58" s="190">
        <v>44</v>
      </c>
      <c r="BK58" s="190">
        <v>5</v>
      </c>
      <c r="BL58" s="190">
        <v>-5</v>
      </c>
      <c r="BM58" s="190">
        <v>0</v>
      </c>
      <c r="BN58" s="190">
        <v>1</v>
      </c>
      <c r="BO58" s="190">
        <v>5</v>
      </c>
      <c r="BP58" s="190">
        <v>6</v>
      </c>
      <c r="BQ58" s="190">
        <v>1</v>
      </c>
      <c r="BR58" s="190">
        <v>20</v>
      </c>
      <c r="BS58" s="190">
        <v>21</v>
      </c>
      <c r="BT58" s="190">
        <v>1</v>
      </c>
      <c r="BU58" s="190">
        <v>19</v>
      </c>
      <c r="BV58" s="190">
        <v>20</v>
      </c>
      <c r="BW58" s="190">
        <v>60</v>
      </c>
      <c r="BX58" s="190">
        <v>949</v>
      </c>
      <c r="BY58" s="190">
        <v>1009</v>
      </c>
      <c r="BZ58" s="190">
        <v>60</v>
      </c>
      <c r="CA58" s="190">
        <v>948</v>
      </c>
      <c r="CB58" s="190">
        <v>1008</v>
      </c>
      <c r="CC58" s="190">
        <v>1745</v>
      </c>
      <c r="CD58" s="190">
        <v>0</v>
      </c>
      <c r="CE58" s="190">
        <v>1</v>
      </c>
      <c r="CF58" s="190">
        <v>0</v>
      </c>
      <c r="CG58" s="190">
        <v>1</v>
      </c>
      <c r="CH58" s="190">
        <v>1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6</v>
      </c>
      <c r="CO58" s="190">
        <v>112</v>
      </c>
      <c r="CP58" s="190">
        <v>118</v>
      </c>
      <c r="CQ58" s="190">
        <v>0</v>
      </c>
      <c r="CR58" s="190">
        <v>0</v>
      </c>
      <c r="CS58" s="190">
        <v>0</v>
      </c>
      <c r="CT58" s="190">
        <v>54</v>
      </c>
      <c r="CU58" s="190">
        <v>837</v>
      </c>
      <c r="CV58" s="190">
        <v>891</v>
      </c>
      <c r="CW58" s="190">
        <v>2</v>
      </c>
      <c r="CX58" s="190">
        <v>42</v>
      </c>
      <c r="CY58" s="190">
        <v>44</v>
      </c>
      <c r="CZ58" s="190">
        <v>2</v>
      </c>
      <c r="DA58" s="190">
        <v>0</v>
      </c>
      <c r="DB58" s="190">
        <v>0</v>
      </c>
      <c r="DC58" s="190">
        <v>42</v>
      </c>
      <c r="DD58" s="190">
        <v>0</v>
      </c>
      <c r="DE58" s="190">
        <v>0</v>
      </c>
      <c r="DF58" s="190">
        <v>2</v>
      </c>
      <c r="DG58" s="190">
        <v>42</v>
      </c>
      <c r="DH58" s="190">
        <v>44</v>
      </c>
      <c r="DI58" s="190">
        <v>0</v>
      </c>
      <c r="DJ58" s="190">
        <v>0</v>
      </c>
      <c r="DK58" s="190">
        <v>0</v>
      </c>
      <c r="DL58" s="190">
        <v>0</v>
      </c>
      <c r="DM58" s="190">
        <v>0</v>
      </c>
      <c r="DN58" s="190">
        <v>0</v>
      </c>
      <c r="DO58" s="190">
        <v>0</v>
      </c>
      <c r="DP58" s="190">
        <v>0</v>
      </c>
      <c r="DQ58" s="190">
        <v>0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2859</v>
      </c>
      <c r="C59" s="190">
        <v>420</v>
      </c>
      <c r="D59" s="190">
        <v>2617</v>
      </c>
      <c r="E59" s="190">
        <v>2118</v>
      </c>
      <c r="F59" s="190">
        <v>13</v>
      </c>
      <c r="G59" s="190">
        <v>63</v>
      </c>
      <c r="H59" s="190">
        <v>76</v>
      </c>
      <c r="I59" s="190">
        <v>4</v>
      </c>
      <c r="J59" s="190">
        <v>431</v>
      </c>
      <c r="K59" s="190">
        <v>435</v>
      </c>
      <c r="L59" s="190">
        <v>3</v>
      </c>
      <c r="M59" s="190">
        <v>346</v>
      </c>
      <c r="N59" s="190">
        <v>349</v>
      </c>
      <c r="O59" s="190">
        <v>1</v>
      </c>
      <c r="P59" s="190">
        <v>85</v>
      </c>
      <c r="Q59" s="190">
        <v>86</v>
      </c>
      <c r="R59" s="190">
        <v>1</v>
      </c>
      <c r="S59" s="190">
        <v>69</v>
      </c>
      <c r="T59" s="190">
        <v>70</v>
      </c>
      <c r="U59" s="190">
        <v>0</v>
      </c>
      <c r="V59" s="190">
        <v>64</v>
      </c>
      <c r="W59" s="190">
        <v>64</v>
      </c>
      <c r="X59" s="190">
        <v>82</v>
      </c>
      <c r="Y59" s="190">
        <v>2054</v>
      </c>
      <c r="Z59" s="190">
        <v>2136</v>
      </c>
      <c r="AA59" s="190">
        <v>48</v>
      </c>
      <c r="AB59" s="190">
        <v>1004</v>
      </c>
      <c r="AC59" s="190">
        <v>1052</v>
      </c>
      <c r="AD59" s="190">
        <v>44</v>
      </c>
      <c r="AE59" s="190">
        <v>913</v>
      </c>
      <c r="AF59" s="190">
        <v>957</v>
      </c>
      <c r="AG59" s="190">
        <v>4</v>
      </c>
      <c r="AH59" s="190">
        <v>83</v>
      </c>
      <c r="AI59" s="190">
        <v>87</v>
      </c>
      <c r="AJ59" s="190">
        <v>0</v>
      </c>
      <c r="AK59" s="190">
        <v>8</v>
      </c>
      <c r="AL59" s="190">
        <v>8</v>
      </c>
      <c r="AM59" s="190">
        <v>34</v>
      </c>
      <c r="AN59" s="190">
        <v>1050</v>
      </c>
      <c r="AO59" s="190">
        <v>1084</v>
      </c>
      <c r="AP59" s="190">
        <v>7445</v>
      </c>
      <c r="AQ59" s="190">
        <v>44683</v>
      </c>
      <c r="AR59" s="190">
        <v>52128</v>
      </c>
      <c r="AS59" s="190">
        <v>7556</v>
      </c>
      <c r="AT59" s="190">
        <v>44765</v>
      </c>
      <c r="AU59" s="190">
        <v>52321</v>
      </c>
      <c r="AV59" s="190">
        <v>-111</v>
      </c>
      <c r="AW59" s="190">
        <v>-82</v>
      </c>
      <c r="AX59" s="190">
        <v>-193</v>
      </c>
      <c r="AY59" s="190">
        <v>511</v>
      </c>
      <c r="AZ59" s="190">
        <v>4197</v>
      </c>
      <c r="BA59" s="190">
        <v>4708</v>
      </c>
      <c r="BB59" s="190">
        <v>172</v>
      </c>
      <c r="BC59" s="190">
        <v>2</v>
      </c>
      <c r="BD59" s="190">
        <v>0</v>
      </c>
      <c r="BE59" s="190">
        <v>1877</v>
      </c>
      <c r="BF59" s="190">
        <v>57</v>
      </c>
      <c r="BG59" s="190">
        <v>10</v>
      </c>
      <c r="BH59" s="190">
        <v>174</v>
      </c>
      <c r="BI59" s="190">
        <v>1944</v>
      </c>
      <c r="BJ59" s="190">
        <v>2118</v>
      </c>
      <c r="BK59" s="190">
        <v>118</v>
      </c>
      <c r="BL59" s="190">
        <v>-118</v>
      </c>
      <c r="BM59" s="190">
        <v>0</v>
      </c>
      <c r="BN59" s="190">
        <v>0</v>
      </c>
      <c r="BO59" s="190">
        <v>26</v>
      </c>
      <c r="BP59" s="190">
        <v>26</v>
      </c>
      <c r="BQ59" s="190">
        <v>58</v>
      </c>
      <c r="BR59" s="190">
        <v>437</v>
      </c>
      <c r="BS59" s="190">
        <v>495</v>
      </c>
      <c r="BT59" s="190">
        <v>161</v>
      </c>
      <c r="BU59" s="190">
        <v>1908</v>
      </c>
      <c r="BV59" s="190">
        <v>2069</v>
      </c>
      <c r="BW59" s="190">
        <v>7956</v>
      </c>
      <c r="BX59" s="190">
        <v>48880</v>
      </c>
      <c r="BY59" s="190">
        <v>56836</v>
      </c>
      <c r="BZ59" s="190">
        <v>7883</v>
      </c>
      <c r="CA59" s="190">
        <v>47896</v>
      </c>
      <c r="CB59" s="190">
        <v>55779</v>
      </c>
      <c r="CC59" s="190">
        <v>122090</v>
      </c>
      <c r="CD59" s="190">
        <v>176</v>
      </c>
      <c r="CE59" s="190">
        <v>980</v>
      </c>
      <c r="CF59" s="190">
        <v>73</v>
      </c>
      <c r="CG59" s="190">
        <v>789</v>
      </c>
      <c r="CH59" s="190">
        <v>862</v>
      </c>
      <c r="CI59" s="190">
        <v>240</v>
      </c>
      <c r="CJ59" s="190">
        <v>2</v>
      </c>
      <c r="CK59" s="190">
        <v>0</v>
      </c>
      <c r="CL59" s="190">
        <v>195</v>
      </c>
      <c r="CM59" s="190">
        <v>195</v>
      </c>
      <c r="CN59" s="190">
        <v>335</v>
      </c>
      <c r="CO59" s="190">
        <v>3747</v>
      </c>
      <c r="CP59" s="190">
        <v>4082</v>
      </c>
      <c r="CQ59" s="190">
        <v>0</v>
      </c>
      <c r="CR59" s="190">
        <v>3</v>
      </c>
      <c r="CS59" s="190">
        <v>3</v>
      </c>
      <c r="CT59" s="190">
        <v>7621</v>
      </c>
      <c r="CU59" s="190">
        <v>45133</v>
      </c>
      <c r="CV59" s="190">
        <v>52754</v>
      </c>
      <c r="CW59" s="190">
        <v>471</v>
      </c>
      <c r="CX59" s="190">
        <v>2172</v>
      </c>
      <c r="CY59" s="190">
        <v>2643</v>
      </c>
      <c r="CZ59" s="190">
        <v>464</v>
      </c>
      <c r="DA59" s="190">
        <v>3</v>
      </c>
      <c r="DB59" s="190">
        <v>0</v>
      </c>
      <c r="DC59" s="190">
        <v>2062</v>
      </c>
      <c r="DD59" s="190">
        <v>32</v>
      </c>
      <c r="DE59" s="190">
        <v>6</v>
      </c>
      <c r="DF59" s="190">
        <v>467</v>
      </c>
      <c r="DG59" s="190">
        <v>2100</v>
      </c>
      <c r="DH59" s="190">
        <v>2567</v>
      </c>
      <c r="DI59" s="190">
        <v>4</v>
      </c>
      <c r="DJ59" s="190">
        <v>0</v>
      </c>
      <c r="DK59" s="190">
        <v>0</v>
      </c>
      <c r="DL59" s="190">
        <v>72</v>
      </c>
      <c r="DM59" s="190">
        <v>0</v>
      </c>
      <c r="DN59" s="190">
        <v>0</v>
      </c>
      <c r="DO59" s="190">
        <v>4</v>
      </c>
      <c r="DP59" s="190">
        <v>72</v>
      </c>
      <c r="DQ59" s="190">
        <v>76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267</v>
      </c>
      <c r="C60" s="190">
        <v>48</v>
      </c>
      <c r="D60" s="190">
        <v>217</v>
      </c>
      <c r="E60" s="190">
        <v>138</v>
      </c>
      <c r="F60" s="190">
        <v>1</v>
      </c>
      <c r="G60" s="190">
        <v>8</v>
      </c>
      <c r="H60" s="190">
        <v>9</v>
      </c>
      <c r="I60" s="190">
        <v>0</v>
      </c>
      <c r="J60" s="190">
        <v>74</v>
      </c>
      <c r="K60" s="190">
        <v>74</v>
      </c>
      <c r="L60" s="190">
        <v>0</v>
      </c>
      <c r="M60" s="190">
        <v>19</v>
      </c>
      <c r="N60" s="190">
        <v>19</v>
      </c>
      <c r="O60" s="190">
        <v>0</v>
      </c>
      <c r="P60" s="190">
        <v>55</v>
      </c>
      <c r="Q60" s="190">
        <v>55</v>
      </c>
      <c r="R60" s="190">
        <v>0</v>
      </c>
      <c r="S60" s="190">
        <v>2</v>
      </c>
      <c r="T60" s="190">
        <v>2</v>
      </c>
      <c r="U60" s="190">
        <v>0</v>
      </c>
      <c r="V60" s="190">
        <v>5</v>
      </c>
      <c r="W60" s="190">
        <v>5</v>
      </c>
      <c r="X60" s="190">
        <v>7</v>
      </c>
      <c r="Y60" s="190">
        <v>210</v>
      </c>
      <c r="Z60" s="190">
        <v>217</v>
      </c>
      <c r="AA60" s="190">
        <v>2</v>
      </c>
      <c r="AB60" s="190">
        <v>89</v>
      </c>
      <c r="AC60" s="190">
        <v>91</v>
      </c>
      <c r="AD60" s="190">
        <v>2</v>
      </c>
      <c r="AE60" s="190">
        <v>85</v>
      </c>
      <c r="AF60" s="190">
        <v>87</v>
      </c>
      <c r="AG60" s="190">
        <v>0</v>
      </c>
      <c r="AH60" s="190">
        <v>3</v>
      </c>
      <c r="AI60" s="190">
        <v>3</v>
      </c>
      <c r="AJ60" s="190">
        <v>0</v>
      </c>
      <c r="AK60" s="190">
        <v>1</v>
      </c>
      <c r="AL60" s="190">
        <v>1</v>
      </c>
      <c r="AM60" s="190">
        <v>5</v>
      </c>
      <c r="AN60" s="190">
        <v>121</v>
      </c>
      <c r="AO60" s="190">
        <v>126</v>
      </c>
      <c r="AP60" s="190">
        <v>260</v>
      </c>
      <c r="AQ60" s="190">
        <v>2551</v>
      </c>
      <c r="AR60" s="190">
        <v>2811</v>
      </c>
      <c r="AS60" s="190">
        <v>260</v>
      </c>
      <c r="AT60" s="190">
        <v>2551</v>
      </c>
      <c r="AU60" s="190">
        <v>2811</v>
      </c>
      <c r="AV60" s="190">
        <v>0</v>
      </c>
      <c r="AW60" s="190">
        <v>0</v>
      </c>
      <c r="AX60" s="190">
        <v>0</v>
      </c>
      <c r="AY60" s="190">
        <v>15</v>
      </c>
      <c r="AZ60" s="190">
        <v>242</v>
      </c>
      <c r="BA60" s="190">
        <v>257</v>
      </c>
      <c r="BB60" s="190">
        <v>6</v>
      </c>
      <c r="BC60" s="190">
        <v>0</v>
      </c>
      <c r="BD60" s="190">
        <v>0</v>
      </c>
      <c r="BE60" s="190">
        <v>131</v>
      </c>
      <c r="BF60" s="190">
        <v>1</v>
      </c>
      <c r="BG60" s="190">
        <v>0</v>
      </c>
      <c r="BH60" s="190">
        <v>6</v>
      </c>
      <c r="BI60" s="190">
        <v>132</v>
      </c>
      <c r="BJ60" s="190">
        <v>138</v>
      </c>
      <c r="BK60" s="190">
        <v>-2</v>
      </c>
      <c r="BL60" s="190">
        <v>2</v>
      </c>
      <c r="BM60" s="190">
        <v>0</v>
      </c>
      <c r="BN60" s="190">
        <v>1</v>
      </c>
      <c r="BO60" s="190">
        <v>7</v>
      </c>
      <c r="BP60" s="190">
        <v>8</v>
      </c>
      <c r="BQ60" s="190">
        <v>1</v>
      </c>
      <c r="BR60" s="190">
        <v>52</v>
      </c>
      <c r="BS60" s="190">
        <v>53</v>
      </c>
      <c r="BT60" s="190">
        <v>9</v>
      </c>
      <c r="BU60" s="190">
        <v>49</v>
      </c>
      <c r="BV60" s="190">
        <v>58</v>
      </c>
      <c r="BW60" s="190">
        <v>275</v>
      </c>
      <c r="BX60" s="190">
        <v>2793</v>
      </c>
      <c r="BY60" s="190">
        <v>3068</v>
      </c>
      <c r="BZ60" s="190">
        <v>274</v>
      </c>
      <c r="CA60" s="190">
        <v>2786</v>
      </c>
      <c r="CB60" s="190">
        <v>3060</v>
      </c>
      <c r="CC60" s="190">
        <v>5352</v>
      </c>
      <c r="CD60" s="190">
        <v>2</v>
      </c>
      <c r="CE60" s="190">
        <v>4</v>
      </c>
      <c r="CF60" s="190">
        <v>1</v>
      </c>
      <c r="CG60" s="190">
        <v>5</v>
      </c>
      <c r="CH60" s="190">
        <v>6</v>
      </c>
      <c r="CI60" s="190">
        <v>4</v>
      </c>
      <c r="CJ60" s="190">
        <v>0</v>
      </c>
      <c r="CK60" s="190">
        <v>0</v>
      </c>
      <c r="CL60" s="190">
        <v>2</v>
      </c>
      <c r="CM60" s="190">
        <v>2</v>
      </c>
      <c r="CN60" s="190">
        <v>18</v>
      </c>
      <c r="CO60" s="190">
        <v>308</v>
      </c>
      <c r="CP60" s="190">
        <v>326</v>
      </c>
      <c r="CQ60" s="190">
        <v>13</v>
      </c>
      <c r="CR60" s="190">
        <v>263</v>
      </c>
      <c r="CS60" s="190">
        <v>276</v>
      </c>
      <c r="CT60" s="190">
        <v>257</v>
      </c>
      <c r="CU60" s="190">
        <v>2485</v>
      </c>
      <c r="CV60" s="190">
        <v>2742</v>
      </c>
      <c r="CW60" s="190">
        <v>14</v>
      </c>
      <c r="CX60" s="190">
        <v>143</v>
      </c>
      <c r="CY60" s="190">
        <v>157</v>
      </c>
      <c r="CZ60" s="190">
        <v>14</v>
      </c>
      <c r="DA60" s="190">
        <v>0</v>
      </c>
      <c r="DB60" s="190">
        <v>0</v>
      </c>
      <c r="DC60" s="190">
        <v>141</v>
      </c>
      <c r="DD60" s="190">
        <v>0</v>
      </c>
      <c r="DE60" s="190">
        <v>0</v>
      </c>
      <c r="DF60" s="190">
        <v>14</v>
      </c>
      <c r="DG60" s="190">
        <v>141</v>
      </c>
      <c r="DH60" s="190">
        <v>155</v>
      </c>
      <c r="DI60" s="190">
        <v>0</v>
      </c>
      <c r="DJ60" s="190">
        <v>0</v>
      </c>
      <c r="DK60" s="190">
        <v>0</v>
      </c>
      <c r="DL60" s="190">
        <v>2</v>
      </c>
      <c r="DM60" s="190">
        <v>0</v>
      </c>
      <c r="DN60" s="190">
        <v>0</v>
      </c>
      <c r="DO60" s="190">
        <v>0</v>
      </c>
      <c r="DP60" s="190">
        <v>2</v>
      </c>
      <c r="DQ60" s="190">
        <v>2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3219</v>
      </c>
      <c r="C61" s="190">
        <v>535</v>
      </c>
      <c r="D61" s="190">
        <v>2101</v>
      </c>
      <c r="E61" s="190">
        <v>1426</v>
      </c>
      <c r="F61" s="190">
        <v>0</v>
      </c>
      <c r="G61" s="190">
        <v>14</v>
      </c>
      <c r="H61" s="190">
        <v>14</v>
      </c>
      <c r="I61" s="190">
        <v>0</v>
      </c>
      <c r="J61" s="190">
        <v>575</v>
      </c>
      <c r="K61" s="190">
        <v>575</v>
      </c>
      <c r="L61" s="190">
        <v>0</v>
      </c>
      <c r="M61" s="190">
        <v>224</v>
      </c>
      <c r="N61" s="190">
        <v>224</v>
      </c>
      <c r="O61" s="190">
        <v>0</v>
      </c>
      <c r="P61" s="190">
        <v>351</v>
      </c>
      <c r="Q61" s="190">
        <v>351</v>
      </c>
      <c r="R61" s="190">
        <v>0</v>
      </c>
      <c r="S61" s="190">
        <v>55</v>
      </c>
      <c r="T61" s="190">
        <v>55</v>
      </c>
      <c r="U61" s="190">
        <v>0</v>
      </c>
      <c r="V61" s="190">
        <v>100</v>
      </c>
      <c r="W61" s="190">
        <v>100</v>
      </c>
      <c r="X61" s="190">
        <v>22</v>
      </c>
      <c r="Y61" s="190">
        <v>1630</v>
      </c>
      <c r="Z61" s="190">
        <v>1652</v>
      </c>
      <c r="AA61" s="190">
        <v>15</v>
      </c>
      <c r="AB61" s="190">
        <v>858</v>
      </c>
      <c r="AC61" s="190">
        <v>873</v>
      </c>
      <c r="AD61" s="190">
        <v>14</v>
      </c>
      <c r="AE61" s="190">
        <v>829</v>
      </c>
      <c r="AF61" s="190">
        <v>843</v>
      </c>
      <c r="AG61" s="190">
        <v>1</v>
      </c>
      <c r="AH61" s="190">
        <v>17</v>
      </c>
      <c r="AI61" s="190">
        <v>18</v>
      </c>
      <c r="AJ61" s="190">
        <v>0</v>
      </c>
      <c r="AK61" s="190">
        <v>12</v>
      </c>
      <c r="AL61" s="190">
        <v>12</v>
      </c>
      <c r="AM61" s="190">
        <v>7</v>
      </c>
      <c r="AN61" s="190">
        <v>772</v>
      </c>
      <c r="AO61" s="190">
        <v>779</v>
      </c>
      <c r="AP61" s="190">
        <v>2722</v>
      </c>
      <c r="AQ61" s="190">
        <v>30802</v>
      </c>
      <c r="AR61" s="190">
        <v>33524</v>
      </c>
      <c r="AS61" s="190">
        <v>2734</v>
      </c>
      <c r="AT61" s="190">
        <v>30672</v>
      </c>
      <c r="AU61" s="190">
        <v>33406</v>
      </c>
      <c r="AV61" s="190">
        <v>-12</v>
      </c>
      <c r="AW61" s="190">
        <v>130</v>
      </c>
      <c r="AX61" s="190">
        <v>118</v>
      </c>
      <c r="AY61" s="190">
        <v>151</v>
      </c>
      <c r="AZ61" s="190">
        <v>3164</v>
      </c>
      <c r="BA61" s="190">
        <v>3315</v>
      </c>
      <c r="BB61" s="190">
        <v>49</v>
      </c>
      <c r="BC61" s="190">
        <v>0</v>
      </c>
      <c r="BD61" s="190">
        <v>0</v>
      </c>
      <c r="BE61" s="190">
        <v>1350</v>
      </c>
      <c r="BF61" s="190">
        <v>18</v>
      </c>
      <c r="BG61" s="190">
        <v>9</v>
      </c>
      <c r="BH61" s="190">
        <v>49</v>
      </c>
      <c r="BI61" s="190">
        <v>1377</v>
      </c>
      <c r="BJ61" s="190">
        <v>1426</v>
      </c>
      <c r="BK61" s="190">
        <v>-25</v>
      </c>
      <c r="BL61" s="190">
        <v>25</v>
      </c>
      <c r="BM61" s="190">
        <v>0</v>
      </c>
      <c r="BN61" s="190">
        <v>3</v>
      </c>
      <c r="BO61" s="190">
        <v>24</v>
      </c>
      <c r="BP61" s="190">
        <v>27</v>
      </c>
      <c r="BQ61" s="190">
        <v>39</v>
      </c>
      <c r="BR61" s="190">
        <v>489</v>
      </c>
      <c r="BS61" s="190">
        <v>528</v>
      </c>
      <c r="BT61" s="190">
        <v>85</v>
      </c>
      <c r="BU61" s="190">
        <v>1249</v>
      </c>
      <c r="BV61" s="190">
        <v>1334</v>
      </c>
      <c r="BW61" s="190">
        <v>2873</v>
      </c>
      <c r="BX61" s="190">
        <v>33966</v>
      </c>
      <c r="BY61" s="190">
        <v>36839</v>
      </c>
      <c r="BZ61" s="190">
        <v>2852</v>
      </c>
      <c r="CA61" s="190">
        <v>33440</v>
      </c>
      <c r="CB61" s="190">
        <v>36292</v>
      </c>
      <c r="CC61" s="190">
        <v>74280</v>
      </c>
      <c r="CD61" s="190">
        <v>51</v>
      </c>
      <c r="CE61" s="190">
        <v>496</v>
      </c>
      <c r="CF61" s="190">
        <v>21</v>
      </c>
      <c r="CG61" s="190">
        <v>316</v>
      </c>
      <c r="CH61" s="190">
        <v>337</v>
      </c>
      <c r="CI61" s="190">
        <v>280</v>
      </c>
      <c r="CJ61" s="190">
        <v>0</v>
      </c>
      <c r="CK61" s="190">
        <v>0</v>
      </c>
      <c r="CL61" s="190">
        <v>210</v>
      </c>
      <c r="CM61" s="190">
        <v>210</v>
      </c>
      <c r="CN61" s="190">
        <v>133</v>
      </c>
      <c r="CO61" s="190">
        <v>3230</v>
      </c>
      <c r="CP61" s="190">
        <v>3363</v>
      </c>
      <c r="CQ61" s="190">
        <v>0</v>
      </c>
      <c r="CR61" s="190">
        <v>11</v>
      </c>
      <c r="CS61" s="190">
        <v>11</v>
      </c>
      <c r="CT61" s="190">
        <v>2740</v>
      </c>
      <c r="CU61" s="190">
        <v>30736</v>
      </c>
      <c r="CV61" s="190">
        <v>33476</v>
      </c>
      <c r="CW61" s="190">
        <v>189</v>
      </c>
      <c r="CX61" s="190">
        <v>1618</v>
      </c>
      <c r="CY61" s="190">
        <v>1807</v>
      </c>
      <c r="CZ61" s="190">
        <v>181</v>
      </c>
      <c r="DA61" s="190">
        <v>4</v>
      </c>
      <c r="DB61" s="190">
        <v>0</v>
      </c>
      <c r="DC61" s="190">
        <v>1525</v>
      </c>
      <c r="DD61" s="190">
        <v>11</v>
      </c>
      <c r="DE61" s="190">
        <v>9</v>
      </c>
      <c r="DF61" s="190">
        <v>185</v>
      </c>
      <c r="DG61" s="190">
        <v>1545</v>
      </c>
      <c r="DH61" s="190">
        <v>1730</v>
      </c>
      <c r="DI61" s="190">
        <v>4</v>
      </c>
      <c r="DJ61" s="190">
        <v>0</v>
      </c>
      <c r="DK61" s="190">
        <v>0</v>
      </c>
      <c r="DL61" s="190">
        <v>71</v>
      </c>
      <c r="DM61" s="190">
        <v>2</v>
      </c>
      <c r="DN61" s="190">
        <v>0</v>
      </c>
      <c r="DO61" s="190">
        <v>4</v>
      </c>
      <c r="DP61" s="190">
        <v>73</v>
      </c>
      <c r="DQ61" s="190">
        <v>77</v>
      </c>
      <c r="DR61" s="190">
        <v>0</v>
      </c>
      <c r="DS61" s="190">
        <v>1</v>
      </c>
      <c r="DT61" s="191">
        <v>1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859</v>
      </c>
      <c r="C62" s="190">
        <v>70</v>
      </c>
      <c r="D62" s="190">
        <v>628</v>
      </c>
      <c r="E62" s="190">
        <v>403</v>
      </c>
      <c r="F62" s="190">
        <v>5</v>
      </c>
      <c r="G62" s="190">
        <v>40</v>
      </c>
      <c r="H62" s="190">
        <v>45</v>
      </c>
      <c r="I62" s="190">
        <v>0</v>
      </c>
      <c r="J62" s="190">
        <v>197</v>
      </c>
      <c r="K62" s="190">
        <v>197</v>
      </c>
      <c r="L62" s="190">
        <v>0</v>
      </c>
      <c r="M62" s="190">
        <v>66</v>
      </c>
      <c r="N62" s="190">
        <v>66</v>
      </c>
      <c r="O62" s="190">
        <v>0</v>
      </c>
      <c r="P62" s="190">
        <v>131</v>
      </c>
      <c r="Q62" s="190">
        <v>131</v>
      </c>
      <c r="R62" s="190">
        <v>0</v>
      </c>
      <c r="S62" s="190">
        <v>34</v>
      </c>
      <c r="T62" s="190">
        <v>34</v>
      </c>
      <c r="U62" s="190">
        <v>0</v>
      </c>
      <c r="V62" s="190">
        <v>28</v>
      </c>
      <c r="W62" s="190">
        <v>28</v>
      </c>
      <c r="X62" s="190">
        <v>8</v>
      </c>
      <c r="Y62" s="190">
        <v>241</v>
      </c>
      <c r="Z62" s="190">
        <v>249</v>
      </c>
      <c r="AA62" s="190">
        <v>8</v>
      </c>
      <c r="AB62" s="190">
        <v>241</v>
      </c>
      <c r="AC62" s="190">
        <v>249</v>
      </c>
      <c r="AD62" s="190">
        <v>6</v>
      </c>
      <c r="AE62" s="190">
        <v>231</v>
      </c>
      <c r="AF62" s="190">
        <v>237</v>
      </c>
      <c r="AG62" s="190">
        <v>2</v>
      </c>
      <c r="AH62" s="190">
        <v>9</v>
      </c>
      <c r="AI62" s="190">
        <v>11</v>
      </c>
      <c r="AJ62" s="190">
        <v>0</v>
      </c>
      <c r="AK62" s="190">
        <v>1</v>
      </c>
      <c r="AL62" s="190">
        <v>1</v>
      </c>
      <c r="AM62" s="190">
        <v>0</v>
      </c>
      <c r="AN62" s="190">
        <v>0</v>
      </c>
      <c r="AO62" s="190">
        <v>0</v>
      </c>
      <c r="AP62" s="190">
        <v>791</v>
      </c>
      <c r="AQ62" s="190">
        <v>8225</v>
      </c>
      <c r="AR62" s="190">
        <v>9016</v>
      </c>
      <c r="AS62" s="190">
        <v>803</v>
      </c>
      <c r="AT62" s="190">
        <v>8253</v>
      </c>
      <c r="AU62" s="190">
        <v>9056</v>
      </c>
      <c r="AV62" s="190">
        <v>-12</v>
      </c>
      <c r="AW62" s="190">
        <v>-28</v>
      </c>
      <c r="AX62" s="190">
        <v>-40</v>
      </c>
      <c r="AY62" s="190">
        <v>72</v>
      </c>
      <c r="AZ62" s="190">
        <v>931</v>
      </c>
      <c r="BA62" s="190">
        <v>1003</v>
      </c>
      <c r="BB62" s="190">
        <v>29</v>
      </c>
      <c r="BC62" s="190">
        <v>2</v>
      </c>
      <c r="BD62" s="190">
        <v>0</v>
      </c>
      <c r="BE62" s="190">
        <v>363</v>
      </c>
      <c r="BF62" s="190">
        <v>6</v>
      </c>
      <c r="BG62" s="190">
        <v>3</v>
      </c>
      <c r="BH62" s="190">
        <v>31</v>
      </c>
      <c r="BI62" s="190">
        <v>372</v>
      </c>
      <c r="BJ62" s="190">
        <v>403</v>
      </c>
      <c r="BK62" s="190">
        <v>-11</v>
      </c>
      <c r="BL62" s="190">
        <v>11</v>
      </c>
      <c r="BM62" s="190">
        <v>0</v>
      </c>
      <c r="BN62" s="190">
        <v>5</v>
      </c>
      <c r="BO62" s="190">
        <v>10</v>
      </c>
      <c r="BP62" s="190">
        <v>15</v>
      </c>
      <c r="BQ62" s="190">
        <v>5</v>
      </c>
      <c r="BR62" s="190">
        <v>113</v>
      </c>
      <c r="BS62" s="190">
        <v>118</v>
      </c>
      <c r="BT62" s="190">
        <v>42</v>
      </c>
      <c r="BU62" s="190">
        <v>425</v>
      </c>
      <c r="BV62" s="190">
        <v>467</v>
      </c>
      <c r="BW62" s="190">
        <v>863</v>
      </c>
      <c r="BX62" s="190">
        <v>9156</v>
      </c>
      <c r="BY62" s="190">
        <v>10019</v>
      </c>
      <c r="BZ62" s="190">
        <v>822</v>
      </c>
      <c r="CA62" s="190">
        <v>8954</v>
      </c>
      <c r="CB62" s="190">
        <v>9776</v>
      </c>
      <c r="CC62" s="190">
        <v>19271</v>
      </c>
      <c r="CD62" s="190">
        <v>10</v>
      </c>
      <c r="CE62" s="190">
        <v>255</v>
      </c>
      <c r="CF62" s="190">
        <v>39</v>
      </c>
      <c r="CG62" s="190">
        <v>141</v>
      </c>
      <c r="CH62" s="190">
        <v>180</v>
      </c>
      <c r="CI62" s="190">
        <v>94</v>
      </c>
      <c r="CJ62" s="190">
        <v>0</v>
      </c>
      <c r="CK62" s="190">
        <v>2</v>
      </c>
      <c r="CL62" s="190">
        <v>61</v>
      </c>
      <c r="CM62" s="190">
        <v>63</v>
      </c>
      <c r="CN62" s="190">
        <v>53</v>
      </c>
      <c r="CO62" s="190">
        <v>870</v>
      </c>
      <c r="CP62" s="190">
        <v>923</v>
      </c>
      <c r="CQ62" s="190">
        <v>0</v>
      </c>
      <c r="CR62" s="190">
        <v>0</v>
      </c>
      <c r="CS62" s="190">
        <v>0</v>
      </c>
      <c r="CT62" s="190">
        <v>810</v>
      </c>
      <c r="CU62" s="190">
        <v>8286</v>
      </c>
      <c r="CV62" s="190">
        <v>9096</v>
      </c>
      <c r="CW62" s="190">
        <v>48</v>
      </c>
      <c r="CX62" s="190">
        <v>456</v>
      </c>
      <c r="CY62" s="190">
        <v>504</v>
      </c>
      <c r="CZ62" s="190">
        <v>42</v>
      </c>
      <c r="DA62" s="190">
        <v>6</v>
      </c>
      <c r="DB62" s="190">
        <v>0</v>
      </c>
      <c r="DC62" s="190">
        <v>375</v>
      </c>
      <c r="DD62" s="190">
        <v>8</v>
      </c>
      <c r="DE62" s="190">
        <v>1</v>
      </c>
      <c r="DF62" s="190">
        <v>48</v>
      </c>
      <c r="DG62" s="190">
        <v>384</v>
      </c>
      <c r="DH62" s="190">
        <v>432</v>
      </c>
      <c r="DI62" s="190">
        <v>0</v>
      </c>
      <c r="DJ62" s="190">
        <v>0</v>
      </c>
      <c r="DK62" s="190">
        <v>0</v>
      </c>
      <c r="DL62" s="190">
        <v>68</v>
      </c>
      <c r="DM62" s="190">
        <v>2</v>
      </c>
      <c r="DN62" s="190">
        <v>2</v>
      </c>
      <c r="DO62" s="190">
        <v>0</v>
      </c>
      <c r="DP62" s="190">
        <v>72</v>
      </c>
      <c r="DQ62" s="190">
        <v>72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536</v>
      </c>
      <c r="C63" s="195">
        <v>140</v>
      </c>
      <c r="D63" s="195">
        <v>475</v>
      </c>
      <c r="E63" s="195">
        <v>296</v>
      </c>
      <c r="F63" s="195">
        <v>0</v>
      </c>
      <c r="G63" s="195">
        <v>1</v>
      </c>
      <c r="H63" s="195">
        <v>1</v>
      </c>
      <c r="I63" s="195">
        <v>0</v>
      </c>
      <c r="J63" s="195">
        <v>165</v>
      </c>
      <c r="K63" s="195">
        <v>165</v>
      </c>
      <c r="L63" s="195">
        <v>0</v>
      </c>
      <c r="M63" s="195">
        <v>88</v>
      </c>
      <c r="N63" s="195">
        <v>88</v>
      </c>
      <c r="O63" s="195">
        <v>0</v>
      </c>
      <c r="P63" s="195">
        <v>77</v>
      </c>
      <c r="Q63" s="195">
        <v>77</v>
      </c>
      <c r="R63" s="195">
        <v>0</v>
      </c>
      <c r="S63" s="195">
        <v>1</v>
      </c>
      <c r="T63" s="195">
        <v>1</v>
      </c>
      <c r="U63" s="195">
        <v>0</v>
      </c>
      <c r="V63" s="195">
        <v>14</v>
      </c>
      <c r="W63" s="195">
        <v>14</v>
      </c>
      <c r="X63" s="195">
        <v>7</v>
      </c>
      <c r="Y63" s="195">
        <v>468</v>
      </c>
      <c r="Z63" s="195">
        <v>475</v>
      </c>
      <c r="AA63" s="195">
        <v>5</v>
      </c>
      <c r="AB63" s="195">
        <v>238</v>
      </c>
      <c r="AC63" s="195">
        <v>243</v>
      </c>
      <c r="AD63" s="195">
        <v>5</v>
      </c>
      <c r="AE63" s="195">
        <v>227</v>
      </c>
      <c r="AF63" s="195">
        <v>232</v>
      </c>
      <c r="AG63" s="195">
        <v>0</v>
      </c>
      <c r="AH63" s="195">
        <v>8</v>
      </c>
      <c r="AI63" s="195">
        <v>8</v>
      </c>
      <c r="AJ63" s="195">
        <v>0</v>
      </c>
      <c r="AK63" s="195">
        <v>3</v>
      </c>
      <c r="AL63" s="195">
        <v>3</v>
      </c>
      <c r="AM63" s="195">
        <v>2</v>
      </c>
      <c r="AN63" s="195">
        <v>230</v>
      </c>
      <c r="AO63" s="195">
        <v>232</v>
      </c>
      <c r="AP63" s="195">
        <v>762</v>
      </c>
      <c r="AQ63" s="195">
        <v>4766</v>
      </c>
      <c r="AR63" s="195">
        <v>5528</v>
      </c>
      <c r="AS63" s="195">
        <v>762</v>
      </c>
      <c r="AT63" s="195">
        <v>4766</v>
      </c>
      <c r="AU63" s="195">
        <v>5528</v>
      </c>
      <c r="AV63" s="195">
        <v>0</v>
      </c>
      <c r="AW63" s="195">
        <v>0</v>
      </c>
      <c r="AX63" s="195">
        <v>0</v>
      </c>
      <c r="AY63" s="195">
        <v>50</v>
      </c>
      <c r="AZ63" s="195">
        <v>521</v>
      </c>
      <c r="BA63" s="195">
        <v>571</v>
      </c>
      <c r="BB63" s="195">
        <v>10</v>
      </c>
      <c r="BC63" s="195">
        <v>0</v>
      </c>
      <c r="BD63" s="195">
        <v>0</v>
      </c>
      <c r="BE63" s="195">
        <v>285</v>
      </c>
      <c r="BF63" s="195">
        <v>1</v>
      </c>
      <c r="BG63" s="195">
        <v>0</v>
      </c>
      <c r="BH63" s="195">
        <v>10</v>
      </c>
      <c r="BI63" s="195">
        <v>286</v>
      </c>
      <c r="BJ63" s="195">
        <v>296</v>
      </c>
      <c r="BK63" s="195">
        <v>17</v>
      </c>
      <c r="BL63" s="195">
        <v>-17</v>
      </c>
      <c r="BM63" s="195">
        <v>0</v>
      </c>
      <c r="BN63" s="195">
        <v>2</v>
      </c>
      <c r="BO63" s="195">
        <v>21</v>
      </c>
      <c r="BP63" s="195">
        <v>23</v>
      </c>
      <c r="BQ63" s="195">
        <v>1</v>
      </c>
      <c r="BR63" s="195">
        <v>50</v>
      </c>
      <c r="BS63" s="195">
        <v>51</v>
      </c>
      <c r="BT63" s="195">
        <v>20</v>
      </c>
      <c r="BU63" s="195">
        <v>181</v>
      </c>
      <c r="BV63" s="195">
        <v>201</v>
      </c>
      <c r="BW63" s="195">
        <v>812</v>
      </c>
      <c r="BX63" s="195">
        <v>5287</v>
      </c>
      <c r="BY63" s="195">
        <v>6099</v>
      </c>
      <c r="BZ63" s="195">
        <v>806</v>
      </c>
      <c r="CA63" s="195">
        <v>5260</v>
      </c>
      <c r="CB63" s="195">
        <v>6066</v>
      </c>
      <c r="CC63" s="195">
        <v>13000</v>
      </c>
      <c r="CD63" s="195">
        <v>2</v>
      </c>
      <c r="CE63" s="195">
        <v>39</v>
      </c>
      <c r="CF63" s="195">
        <v>6</v>
      </c>
      <c r="CG63" s="195">
        <v>23</v>
      </c>
      <c r="CH63" s="195">
        <v>29</v>
      </c>
      <c r="CI63" s="195">
        <v>4</v>
      </c>
      <c r="CJ63" s="195">
        <v>0</v>
      </c>
      <c r="CK63" s="195">
        <v>0</v>
      </c>
      <c r="CL63" s="195">
        <v>4</v>
      </c>
      <c r="CM63" s="195">
        <v>4</v>
      </c>
      <c r="CN63" s="195">
        <v>37</v>
      </c>
      <c r="CO63" s="195">
        <v>573</v>
      </c>
      <c r="CP63" s="195">
        <v>610</v>
      </c>
      <c r="CQ63" s="195">
        <v>0</v>
      </c>
      <c r="CR63" s="195">
        <v>18</v>
      </c>
      <c r="CS63" s="195">
        <v>18</v>
      </c>
      <c r="CT63" s="195">
        <v>775</v>
      </c>
      <c r="CU63" s="195">
        <v>4714</v>
      </c>
      <c r="CV63" s="195">
        <v>5489</v>
      </c>
      <c r="CW63" s="195">
        <v>54</v>
      </c>
      <c r="CX63" s="195">
        <v>233</v>
      </c>
      <c r="CY63" s="195">
        <v>287</v>
      </c>
      <c r="CZ63" s="195">
        <v>54</v>
      </c>
      <c r="DA63" s="195">
        <v>0</v>
      </c>
      <c r="DB63" s="195">
        <v>0</v>
      </c>
      <c r="DC63" s="195">
        <v>218</v>
      </c>
      <c r="DD63" s="195">
        <v>1</v>
      </c>
      <c r="DE63" s="195">
        <v>0</v>
      </c>
      <c r="DF63" s="195">
        <v>54</v>
      </c>
      <c r="DG63" s="195">
        <v>219</v>
      </c>
      <c r="DH63" s="195">
        <v>273</v>
      </c>
      <c r="DI63" s="195">
        <v>0</v>
      </c>
      <c r="DJ63" s="195">
        <v>0</v>
      </c>
      <c r="DK63" s="195">
        <v>0</v>
      </c>
      <c r="DL63" s="195">
        <v>14</v>
      </c>
      <c r="DM63" s="195">
        <v>0</v>
      </c>
      <c r="DN63" s="195">
        <v>0</v>
      </c>
      <c r="DO63" s="195">
        <v>0</v>
      </c>
      <c r="DP63" s="195">
        <v>14</v>
      </c>
      <c r="DQ63" s="195">
        <v>14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208" t="s">
        <v>330</v>
      </c>
      <c r="B64" s="209">
        <f>SUBTOTAL(109,Jan17Data[Cell 1])</f>
        <v>148593</v>
      </c>
      <c r="C64" s="209">
        <f>SUBTOTAL(109,Jan17Data[Cell 2])</f>
        <v>37800</v>
      </c>
      <c r="D64" s="209">
        <f>SUBTOTAL(109,Jan17Data[Cell 3])</f>
        <v>132415</v>
      </c>
      <c r="E64" s="209">
        <f>SUBTOTAL(109,Jan17Data[Cell 4])</f>
        <v>90943</v>
      </c>
      <c r="F64" s="209">
        <f>SUBTOTAL(109,Jan17Data[Cell 5])</f>
        <v>199</v>
      </c>
      <c r="G64" s="209">
        <f>SUBTOTAL(109,Jan17Data[Cell 6])</f>
        <v>1656</v>
      </c>
      <c r="H64" s="209">
        <f>SUBTOTAL(109,Jan17Data[Cell 7])</f>
        <v>1855</v>
      </c>
      <c r="I64" s="209">
        <f>SUBTOTAL(109,Jan17Data[Cell 8])</f>
        <v>149</v>
      </c>
      <c r="J64" s="209">
        <f>SUBTOTAL(109,Jan17Data[Cell 9])</f>
        <v>36222</v>
      </c>
      <c r="K64" s="209">
        <f>SUBTOTAL(109,Jan17Data[Cell 10])</f>
        <v>36371</v>
      </c>
      <c r="L64" s="209">
        <f>SUBTOTAL(109,Jan17Data[Cell 11])</f>
        <v>85</v>
      </c>
      <c r="M64" s="209">
        <f>SUBTOTAL(109,Jan17Data[Cell 12])</f>
        <v>18226</v>
      </c>
      <c r="N64" s="209">
        <f>SUBTOTAL(109,Jan17Data[Cell 13])</f>
        <v>18311</v>
      </c>
      <c r="O64" s="209">
        <f>SUBTOTAL(109,Jan17Data[Cell 14])</f>
        <v>64</v>
      </c>
      <c r="P64" s="209">
        <f>SUBTOTAL(109,Jan17Data[Cell 15])</f>
        <v>17996</v>
      </c>
      <c r="Q64" s="209">
        <f>SUBTOTAL(109,Jan17Data[Cell 16])</f>
        <v>18060</v>
      </c>
      <c r="R64" s="209">
        <f>SUBTOTAL(109,Jan17Data[Cell 17])</f>
        <v>6</v>
      </c>
      <c r="S64" s="209">
        <f>SUBTOTAL(109,Jan17Data[Cell 18])</f>
        <v>1833</v>
      </c>
      <c r="T64" s="209">
        <f>SUBTOTAL(109,Jan17Data[Cell 19])</f>
        <v>1839</v>
      </c>
      <c r="U64" s="209">
        <f>SUBTOTAL(109,Jan17Data[Cell 20])</f>
        <v>0</v>
      </c>
      <c r="V64" s="209">
        <f>SUBTOTAL(109,Jan17Data[Cell 21])</f>
        <v>5101</v>
      </c>
      <c r="W64" s="209">
        <f>SUBTOTAL(109,Jan17Data[Cell 22])</f>
        <v>5101</v>
      </c>
      <c r="X64" s="209">
        <f>SUBTOTAL(109,Jan17Data[Cell 23])</f>
        <v>4568</v>
      </c>
      <c r="Y64" s="209">
        <f>SUBTOTAL(109,Jan17Data[Cell 24])</f>
        <v>115690</v>
      </c>
      <c r="Z64" s="209">
        <f>SUBTOTAL(109,Jan17Data[Cell 25])</f>
        <v>120258</v>
      </c>
      <c r="AA64" s="209">
        <f>SUBTOTAL(109,Jan17Data[Cell 26])</f>
        <v>2990</v>
      </c>
      <c r="AB64" s="209">
        <f>SUBTOTAL(109,Jan17Data[Cell 27])</f>
        <v>53451</v>
      </c>
      <c r="AC64" s="209">
        <f>SUBTOTAL(109,Jan17Data[Cell 28])</f>
        <v>56441</v>
      </c>
      <c r="AD64" s="209">
        <f>SUBTOTAL(109,Jan17Data[Cell 29])</f>
        <v>2587</v>
      </c>
      <c r="AE64" s="209">
        <f>SUBTOTAL(109,Jan17Data[Cell 30])</f>
        <v>49931</v>
      </c>
      <c r="AF64" s="209">
        <f>SUBTOTAL(109,Jan17Data[Cell 31])</f>
        <v>52518</v>
      </c>
      <c r="AG64" s="209">
        <f>SUBTOTAL(109,Jan17Data[Cell 32])</f>
        <v>169</v>
      </c>
      <c r="AH64" s="209">
        <f>SUBTOTAL(109,Jan17Data[Cell 33])</f>
        <v>1983</v>
      </c>
      <c r="AI64" s="209">
        <f>SUBTOTAL(109,Jan17Data[Cell 34])</f>
        <v>2152</v>
      </c>
      <c r="AJ64" s="209">
        <f>SUBTOTAL(109,Jan17Data[Cell 35])</f>
        <v>234</v>
      </c>
      <c r="AK64" s="209">
        <f>SUBTOTAL(109,Jan17Data[Cell 36])</f>
        <v>1537</v>
      </c>
      <c r="AL64" s="209">
        <f>SUBTOTAL(109,Jan17Data[Cell 37])</f>
        <v>1771</v>
      </c>
      <c r="AM64" s="209">
        <f>SUBTOTAL(109,Jan17Data[Cell 38])</f>
        <v>1578</v>
      </c>
      <c r="AN64" s="209">
        <f>SUBTOTAL(109,Jan17Data[Cell 39])</f>
        <v>62239</v>
      </c>
      <c r="AO64" s="209">
        <f>SUBTOTAL(109,Jan17Data[Cell 40])</f>
        <v>63817</v>
      </c>
      <c r="AP64" s="209">
        <f>SUBTOTAL(109,Jan17Data[Cell 41])</f>
        <v>241611</v>
      </c>
      <c r="AQ64" s="209">
        <f>SUBTOTAL(109,Jan17Data[Cell 42])</f>
        <v>1589787</v>
      </c>
      <c r="AR64" s="209">
        <f>SUBTOTAL(109,Jan17Data[Cell 43])</f>
        <v>1831398</v>
      </c>
      <c r="AS64" s="209">
        <f>SUBTOTAL(109,Jan17Data[Cell 44])</f>
        <v>242621</v>
      </c>
      <c r="AT64" s="209">
        <f>SUBTOTAL(109,Jan17Data[Cell 45])</f>
        <v>1598521</v>
      </c>
      <c r="AU64" s="209">
        <f>SUBTOTAL(109,Jan17Data[Cell 46])</f>
        <v>1841142</v>
      </c>
      <c r="AV64" s="209">
        <f>SUBTOTAL(109,Jan17Data[Cell 47])</f>
        <v>-1010</v>
      </c>
      <c r="AW64" s="209">
        <f>SUBTOTAL(109,Jan17Data[Cell 48])</f>
        <v>-8734</v>
      </c>
      <c r="AX64" s="209">
        <f>SUBTOTAL(109,Jan17Data[Cell 49])</f>
        <v>-9744</v>
      </c>
      <c r="AY64" s="209">
        <f>SUBTOTAL(109,Jan17Data[Cell 50])</f>
        <v>13053</v>
      </c>
      <c r="AZ64" s="209">
        <f>SUBTOTAL(109,Jan17Data[Cell 51])</f>
        <v>150128</v>
      </c>
      <c r="BA64" s="209">
        <f>SUBTOTAL(109,Jan17Data[Cell 52])</f>
        <v>163181</v>
      </c>
      <c r="BB64" s="209">
        <f>SUBTOTAL(109,Jan17Data[Cell 53])</f>
        <v>5971</v>
      </c>
      <c r="BC64" s="209">
        <f>SUBTOTAL(109,Jan17Data[Cell 54])</f>
        <v>94</v>
      </c>
      <c r="BD64" s="209">
        <f>SUBTOTAL(109,Jan17Data[Cell 55])</f>
        <v>24</v>
      </c>
      <c r="BE64" s="209">
        <f>SUBTOTAL(109,Jan17Data[Cell 56])</f>
        <v>83326</v>
      </c>
      <c r="BF64" s="209">
        <f>SUBTOTAL(109,Jan17Data[Cell 57])</f>
        <v>944</v>
      </c>
      <c r="BG64" s="209">
        <f>SUBTOTAL(109,Jan17Data[Cell 58])</f>
        <v>584</v>
      </c>
      <c r="BH64" s="209">
        <f>SUBTOTAL(109,Jan17Data[Cell 59])</f>
        <v>6089</v>
      </c>
      <c r="BI64" s="209">
        <f>SUBTOTAL(109,Jan17Data[Cell 60])</f>
        <v>84854</v>
      </c>
      <c r="BJ64" s="209">
        <f>SUBTOTAL(109,Jan17Data[Cell 61])</f>
        <v>90943</v>
      </c>
      <c r="BK64" s="209">
        <f>SUBTOTAL(109,Jan17Data[Cell 62])</f>
        <v>-1727</v>
      </c>
      <c r="BL64" s="209">
        <f>SUBTOTAL(109,Jan17Data[Cell 63])</f>
        <v>1727</v>
      </c>
      <c r="BM64" s="209">
        <f>SUBTOTAL(109,Jan17Data[Cell 64])</f>
        <v>0</v>
      </c>
      <c r="BN64" s="209">
        <f>SUBTOTAL(109,Jan17Data[Cell 65])</f>
        <v>393</v>
      </c>
      <c r="BO64" s="209">
        <f>SUBTOTAL(109,Jan17Data[Cell 66])</f>
        <v>1836</v>
      </c>
      <c r="BP64" s="209">
        <f>SUBTOTAL(109,Jan17Data[Cell 67])</f>
        <v>2229</v>
      </c>
      <c r="BQ64" s="209">
        <f>SUBTOTAL(109,Jan17Data[Cell 68])</f>
        <v>1191</v>
      </c>
      <c r="BR64" s="209">
        <f>SUBTOTAL(109,Jan17Data[Cell 69])</f>
        <v>13200</v>
      </c>
      <c r="BS64" s="209">
        <f>SUBTOTAL(109,Jan17Data[Cell 70])</f>
        <v>14391</v>
      </c>
      <c r="BT64" s="209">
        <f>SUBTOTAL(109,Jan17Data[Cell 71])</f>
        <v>7107</v>
      </c>
      <c r="BU64" s="209">
        <f>SUBTOTAL(109,Jan17Data[Cell 72])</f>
        <v>48511</v>
      </c>
      <c r="BV64" s="209">
        <f>SUBTOTAL(109,Jan17Data[Cell 73])</f>
        <v>55618</v>
      </c>
      <c r="BW64" s="209">
        <f>SUBTOTAL(109,Jan17Data[Cell 74])</f>
        <v>254664</v>
      </c>
      <c r="BX64" s="209">
        <f>SUBTOTAL(109,Jan17Data[Cell 75])</f>
        <v>1739915</v>
      </c>
      <c r="BY64" s="209">
        <f>SUBTOTAL(109,Jan17Data[Cell 76])</f>
        <v>1994579</v>
      </c>
      <c r="BZ64" s="209">
        <f>SUBTOTAL(109,Jan17Data[Cell 77])</f>
        <v>249545</v>
      </c>
      <c r="CA64" s="209">
        <f>SUBTOTAL(109,Jan17Data[Cell 78])</f>
        <v>1709783</v>
      </c>
      <c r="CB64" s="209">
        <f>SUBTOTAL(109,Jan17Data[Cell 79])</f>
        <v>1959328</v>
      </c>
      <c r="CC64" s="209">
        <f>SUBTOTAL(109,Jan17Data[Cell 80])</f>
        <v>4109684</v>
      </c>
      <c r="CD64" s="209">
        <f>SUBTOTAL(109,Jan17Data[Cell 81])</f>
        <v>2644</v>
      </c>
      <c r="CE64" s="209">
        <f>SUBTOTAL(109,Jan17Data[Cell 82])</f>
        <v>29749</v>
      </c>
      <c r="CF64" s="209">
        <f>SUBTOTAL(109,Jan17Data[Cell 83])</f>
        <v>4775</v>
      </c>
      <c r="CG64" s="209">
        <f>SUBTOTAL(109,Jan17Data[Cell 84])</f>
        <v>20309</v>
      </c>
      <c r="CH64" s="209">
        <f>SUBTOTAL(109,Jan17Data[Cell 85])</f>
        <v>25084</v>
      </c>
      <c r="CI64" s="209">
        <f>SUBTOTAL(109,Jan17Data[Cell 86])</f>
        <v>12362</v>
      </c>
      <c r="CJ64" s="209">
        <f>SUBTOTAL(109,Jan17Data[Cell 87])</f>
        <v>1163</v>
      </c>
      <c r="CK64" s="209">
        <f>SUBTOTAL(109,Jan17Data[Cell 88])</f>
        <v>344</v>
      </c>
      <c r="CL64" s="209">
        <f>SUBTOTAL(109,Jan17Data[Cell 89])</f>
        <v>9823</v>
      </c>
      <c r="CM64" s="209">
        <f>SUBTOTAL(109,Jan17Data[Cell 90])</f>
        <v>10167</v>
      </c>
      <c r="CN64" s="209">
        <f>SUBTOTAL(109,Jan17Data[Cell 91])</f>
        <v>12382</v>
      </c>
      <c r="CO64" s="209">
        <f>SUBTOTAL(109,Jan17Data[Cell 92])</f>
        <v>141689</v>
      </c>
      <c r="CP64" s="209">
        <f>SUBTOTAL(109,Jan17Data[Cell 93])</f>
        <v>154071</v>
      </c>
      <c r="CQ64" s="209">
        <f>SUBTOTAL(109,Jan17Data[Cell 94])</f>
        <v>126</v>
      </c>
      <c r="CR64" s="209">
        <f>SUBTOTAL(109,Jan17Data[Cell 95])</f>
        <v>872</v>
      </c>
      <c r="CS64" s="209">
        <f>SUBTOTAL(109,Jan17Data[Cell 96])</f>
        <v>998</v>
      </c>
      <c r="CT64" s="209">
        <f>SUBTOTAL(109,Jan17Data[Cell 97])</f>
        <v>242282</v>
      </c>
      <c r="CU64" s="209">
        <f>SUBTOTAL(109,Jan17Data[Cell 98])</f>
        <v>1598226</v>
      </c>
      <c r="CV64" s="209">
        <f>SUBTOTAL(109,Jan17Data[Cell 99])</f>
        <v>1840508</v>
      </c>
      <c r="CW64" s="209">
        <f>SUBTOTAL(109,Jan17Data[Cell 100])</f>
        <v>15190</v>
      </c>
      <c r="CX64" s="209">
        <f>SUBTOTAL(109,Jan17Data[Cell 101])</f>
        <v>76299</v>
      </c>
      <c r="CY64" s="209">
        <f>SUBTOTAL(109,Jan17Data[Cell 102])</f>
        <v>91489</v>
      </c>
      <c r="CZ64" s="209">
        <f>SUBTOTAL(109,Jan17Data[Cell 103])</f>
        <v>14682</v>
      </c>
      <c r="DA64" s="209">
        <f>SUBTOTAL(109,Jan17Data[Cell 104])</f>
        <v>295</v>
      </c>
      <c r="DB64" s="209">
        <f>SUBTOTAL(109,Jan17Data[Cell 105])</f>
        <v>6</v>
      </c>
      <c r="DC64" s="209">
        <f>SUBTOTAL(109,Jan17Data[Cell 106])</f>
        <v>71081</v>
      </c>
      <c r="DD64" s="209">
        <f>SUBTOTAL(109,Jan17Data[Cell 107])</f>
        <v>939</v>
      </c>
      <c r="DE64" s="209">
        <f>SUBTOTAL(109,Jan17Data[Cell 108])</f>
        <v>262</v>
      </c>
      <c r="DF64" s="209">
        <f>SUBTOTAL(109,Jan17Data[Cell 109])</f>
        <v>14983</v>
      </c>
      <c r="DG64" s="209">
        <f>SUBTOTAL(109,Jan17Data[Cell 110])</f>
        <v>72282</v>
      </c>
      <c r="DH64" s="209">
        <f>SUBTOTAL(109,Jan17Data[Cell 111])</f>
        <v>87265</v>
      </c>
      <c r="DI64" s="209">
        <f>SUBTOTAL(109,Jan17Data[Cell 112])</f>
        <v>202</v>
      </c>
      <c r="DJ64" s="209">
        <f>SUBTOTAL(109,Jan17Data[Cell 113])</f>
        <v>5</v>
      </c>
      <c r="DK64" s="209">
        <f>SUBTOTAL(109,Jan17Data[Cell 114])</f>
        <v>0</v>
      </c>
      <c r="DL64" s="209">
        <f>SUBTOTAL(109,Jan17Data[Cell 115])</f>
        <v>3917</v>
      </c>
      <c r="DM64" s="209">
        <f>SUBTOTAL(109,Jan17Data[Cell 116])</f>
        <v>71</v>
      </c>
      <c r="DN64" s="209">
        <f>SUBTOTAL(109,Jan17Data[Cell 117])</f>
        <v>29</v>
      </c>
      <c r="DO64" s="209">
        <f>SUBTOTAL(109,Jan17Data[Cell 118])</f>
        <v>207</v>
      </c>
      <c r="DP64" s="209">
        <f>SUBTOTAL(109,Jan17Data[Cell 119])</f>
        <v>4017</v>
      </c>
      <c r="DQ64" s="209">
        <f>SUBTOTAL(109,Jan17Data[Cell 120])</f>
        <v>4224</v>
      </c>
      <c r="DR64" s="209">
        <f>SUBTOTAL(109,Jan17Data[Cell 121])</f>
        <v>6</v>
      </c>
      <c r="DS64" s="209">
        <f>SUBTOTAL(109,Jan17Data[Cell 122])</f>
        <v>18</v>
      </c>
      <c r="DT64" s="209">
        <f>SUBTOTAL(109,Jan17Data[Cell 123])</f>
        <v>24</v>
      </c>
      <c r="DU64" s="210"/>
      <c r="DV64" s="200">
        <v>25818563</v>
      </c>
      <c r="DX64" s="192"/>
      <c r="DY64" s="192"/>
    </row>
  </sheetData>
  <conditionalFormatting sqref="B7:DT63">
    <cfRule type="containsBlanks" dxfId="1528" priority="2">
      <formula>LEN(TRIM(B7))=0</formula>
    </cfRule>
  </conditionalFormatting>
  <conditionalFormatting sqref="B6:DT6">
    <cfRule type="containsBlanks" dxfId="1379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346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118565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29591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126206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84240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178</v>
      </c>
      <c r="T13" s="63">
        <v>6</v>
      </c>
      <c r="U13" s="64">
        <v>1592</v>
      </c>
      <c r="V13" s="84">
        <v>7</v>
      </c>
      <c r="W13" s="85">
        <v>1770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53</v>
      </c>
      <c r="T14" s="88">
        <v>9</v>
      </c>
      <c r="U14" s="89">
        <v>37002</v>
      </c>
      <c r="V14" s="88">
        <v>10</v>
      </c>
      <c r="W14" s="90">
        <v>37055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37</v>
      </c>
      <c r="T15" s="71">
        <v>12</v>
      </c>
      <c r="U15" s="64">
        <v>18001</v>
      </c>
      <c r="V15" s="88">
        <v>13</v>
      </c>
      <c r="W15" s="90">
        <v>18038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16</v>
      </c>
      <c r="T16" s="71">
        <v>15</v>
      </c>
      <c r="U16" s="64">
        <v>19001</v>
      </c>
      <c r="V16" s="88">
        <v>16</v>
      </c>
      <c r="W16" s="90">
        <v>19017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2</v>
      </c>
      <c r="T17" s="71">
        <v>18</v>
      </c>
      <c r="U17" s="64">
        <v>1959</v>
      </c>
      <c r="V17" s="88">
        <v>19</v>
      </c>
      <c r="W17" s="90">
        <v>1961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0</v>
      </c>
      <c r="T18" s="82">
        <v>21</v>
      </c>
      <c r="U18" s="64">
        <v>4911</v>
      </c>
      <c r="V18" s="88">
        <v>22</v>
      </c>
      <c r="W18" s="90">
        <v>4911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3916</v>
      </c>
      <c r="T20" s="98">
        <v>24</v>
      </c>
      <c r="U20" s="89">
        <v>105339</v>
      </c>
      <c r="V20" s="84">
        <v>25</v>
      </c>
      <c r="W20" s="89">
        <v>109255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2428</v>
      </c>
      <c r="T21" s="76">
        <v>27</v>
      </c>
      <c r="U21" s="77">
        <v>46040</v>
      </c>
      <c r="V21" s="88">
        <v>28</v>
      </c>
      <c r="W21" s="77">
        <v>48468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2072</v>
      </c>
      <c r="T22" s="71">
        <v>30</v>
      </c>
      <c r="U22" s="64">
        <v>42991</v>
      </c>
      <c r="V22" s="88">
        <v>31</v>
      </c>
      <c r="W22" s="90">
        <v>45063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122</v>
      </c>
      <c r="T23" s="71">
        <v>33</v>
      </c>
      <c r="U23" s="64">
        <v>1545</v>
      </c>
      <c r="V23" s="88">
        <v>34</v>
      </c>
      <c r="W23" s="90">
        <v>1667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234</v>
      </c>
      <c r="T24" s="71">
        <v>36</v>
      </c>
      <c r="U24" s="64">
        <v>1504</v>
      </c>
      <c r="V24" s="88">
        <v>37</v>
      </c>
      <c r="W24" s="90">
        <v>1738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1488</v>
      </c>
      <c r="T25" s="82">
        <v>39</v>
      </c>
      <c r="U25" s="64">
        <v>59299</v>
      </c>
      <c r="V25" s="88">
        <v>40</v>
      </c>
      <c r="W25" s="90">
        <v>60787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241104</v>
      </c>
      <c r="T27" s="63">
        <v>42</v>
      </c>
      <c r="U27" s="64">
        <v>1588916</v>
      </c>
      <c r="V27" s="84">
        <v>43</v>
      </c>
      <c r="W27" s="85">
        <v>1830020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242282</v>
      </c>
      <c r="T28" s="71">
        <v>45</v>
      </c>
      <c r="U28" s="64">
        <v>1598226</v>
      </c>
      <c r="V28" s="88">
        <v>46</v>
      </c>
      <c r="W28" s="90">
        <v>1840508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-1178</v>
      </c>
      <c r="T29" s="76">
        <v>48</v>
      </c>
      <c r="U29" s="108">
        <v>-9310</v>
      </c>
      <c r="V29" s="88">
        <v>49</v>
      </c>
      <c r="W29" s="109">
        <v>-10488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12349</v>
      </c>
      <c r="T30" s="88">
        <v>51</v>
      </c>
      <c r="U30" s="110">
        <v>139669</v>
      </c>
      <c r="V30" s="88">
        <v>52</v>
      </c>
      <c r="W30" s="90">
        <v>152018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5350</v>
      </c>
      <c r="H33" s="122">
        <v>54</v>
      </c>
      <c r="I33" s="64">
        <v>106</v>
      </c>
      <c r="J33" s="122">
        <v>55</v>
      </c>
      <c r="K33" s="64">
        <v>6</v>
      </c>
      <c r="L33" s="122">
        <v>56</v>
      </c>
      <c r="M33" s="64">
        <v>77299</v>
      </c>
      <c r="N33" s="122">
        <v>57</v>
      </c>
      <c r="O33" s="64">
        <v>912</v>
      </c>
      <c r="P33" s="122">
        <v>58</v>
      </c>
      <c r="Q33" s="64">
        <v>567</v>
      </c>
      <c r="R33" s="76">
        <v>59</v>
      </c>
      <c r="S33" s="123">
        <v>5462</v>
      </c>
      <c r="T33" s="124">
        <v>60</v>
      </c>
      <c r="U33" s="123">
        <v>78778</v>
      </c>
      <c r="V33" s="88">
        <v>61</v>
      </c>
      <c r="W33" s="90">
        <v>84240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-1644</v>
      </c>
      <c r="T34" s="126">
        <v>63</v>
      </c>
      <c r="U34" s="64">
        <v>1644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349</v>
      </c>
      <c r="T35" s="126">
        <v>66</v>
      </c>
      <c r="U35" s="64">
        <v>1748</v>
      </c>
      <c r="V35" s="88">
        <v>67</v>
      </c>
      <c r="W35" s="90">
        <v>2097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1063</v>
      </c>
      <c r="T36" s="126">
        <v>69</v>
      </c>
      <c r="U36" s="64">
        <v>12368</v>
      </c>
      <c r="V36" s="88">
        <v>70</v>
      </c>
      <c r="W36" s="90">
        <v>13431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7119</v>
      </c>
      <c r="T37" s="126">
        <v>72</v>
      </c>
      <c r="U37" s="64">
        <v>45131</v>
      </c>
      <c r="V37" s="88">
        <v>73</v>
      </c>
      <c r="W37" s="90">
        <v>52250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253453</v>
      </c>
      <c r="T39" s="124">
        <v>75</v>
      </c>
      <c r="U39" s="123">
        <v>1728585</v>
      </c>
      <c r="V39" s="88">
        <v>76</v>
      </c>
      <c r="W39" s="90">
        <v>1982038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248368</v>
      </c>
      <c r="T40" s="132">
        <v>78</v>
      </c>
      <c r="U40" s="64">
        <v>1698542</v>
      </c>
      <c r="V40" s="88">
        <v>79</v>
      </c>
      <c r="W40" s="90">
        <v>1946910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4084930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2619</v>
      </c>
      <c r="P43" s="134">
        <v>82</v>
      </c>
      <c r="Q43" s="64">
        <v>29856</v>
      </c>
      <c r="R43" s="71">
        <v>83</v>
      </c>
      <c r="S43" s="64">
        <v>4756</v>
      </c>
      <c r="T43" s="71">
        <v>84</v>
      </c>
      <c r="U43" s="64">
        <v>20260</v>
      </c>
      <c r="V43" s="76">
        <v>85</v>
      </c>
      <c r="W43" s="135">
        <v>25016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12297</v>
      </c>
      <c r="P44" s="136">
        <v>87</v>
      </c>
      <c r="Q44" s="64">
        <v>1112</v>
      </c>
      <c r="R44" s="71">
        <v>88</v>
      </c>
      <c r="S44" s="64">
        <v>329</v>
      </c>
      <c r="T44" s="71">
        <v>89</v>
      </c>
      <c r="U44" s="64">
        <v>9783</v>
      </c>
      <c r="V44" s="76">
        <v>90</v>
      </c>
      <c r="W44" s="135">
        <v>10112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13601</v>
      </c>
      <c r="T45" s="71">
        <v>92</v>
      </c>
      <c r="U45" s="64">
        <v>141857</v>
      </c>
      <c r="V45" s="76">
        <v>93</v>
      </c>
      <c r="W45" s="135">
        <v>155458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128</v>
      </c>
      <c r="T46" s="71">
        <v>95</v>
      </c>
      <c r="U46" s="64">
        <v>826</v>
      </c>
      <c r="V46" s="76">
        <v>96</v>
      </c>
      <c r="W46" s="135">
        <v>954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239852</v>
      </c>
      <c r="T47" s="141">
        <v>98</v>
      </c>
      <c r="U47" s="143">
        <v>1586728</v>
      </c>
      <c r="V47" s="88">
        <v>99</v>
      </c>
      <c r="W47" s="90">
        <v>1826580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14742</v>
      </c>
      <c r="T49" s="144">
        <v>101</v>
      </c>
      <c r="U49" s="145">
        <v>73202</v>
      </c>
      <c r="V49" s="98">
        <v>102</v>
      </c>
      <c r="W49" s="146">
        <v>87944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14163</v>
      </c>
      <c r="H52" s="122">
        <v>104</v>
      </c>
      <c r="I52" s="64">
        <v>312</v>
      </c>
      <c r="J52" s="122">
        <v>105</v>
      </c>
      <c r="K52" s="64">
        <v>7</v>
      </c>
      <c r="L52" s="122">
        <v>106</v>
      </c>
      <c r="M52" s="64">
        <v>67439</v>
      </c>
      <c r="N52" s="122">
        <v>107</v>
      </c>
      <c r="O52" s="64">
        <v>981</v>
      </c>
      <c r="P52" s="122">
        <v>108</v>
      </c>
      <c r="Q52" s="64">
        <v>273</v>
      </c>
      <c r="R52" s="155">
        <v>109</v>
      </c>
      <c r="S52" s="156">
        <v>14482</v>
      </c>
      <c r="T52" s="155">
        <v>110</v>
      </c>
      <c r="U52" s="156">
        <v>68693</v>
      </c>
      <c r="V52" s="76">
        <v>111</v>
      </c>
      <c r="W52" s="135">
        <v>83175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257</v>
      </c>
      <c r="H53" s="122">
        <v>113</v>
      </c>
      <c r="I53" s="64">
        <v>3</v>
      </c>
      <c r="J53" s="122">
        <v>114</v>
      </c>
      <c r="K53" s="64">
        <v>0</v>
      </c>
      <c r="L53" s="122">
        <v>115</v>
      </c>
      <c r="M53" s="64">
        <v>4379</v>
      </c>
      <c r="N53" s="122">
        <v>116</v>
      </c>
      <c r="O53" s="64">
        <v>103</v>
      </c>
      <c r="P53" s="122">
        <v>117</v>
      </c>
      <c r="Q53" s="64">
        <v>27</v>
      </c>
      <c r="R53" s="155">
        <v>118</v>
      </c>
      <c r="S53" s="156">
        <v>260</v>
      </c>
      <c r="T53" s="155">
        <v>119</v>
      </c>
      <c r="U53" s="156">
        <v>4509</v>
      </c>
      <c r="V53" s="76">
        <v>120</v>
      </c>
      <c r="W53" s="135">
        <v>4769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14</v>
      </c>
      <c r="T54" s="162">
        <v>122</v>
      </c>
      <c r="U54" s="64">
        <v>166</v>
      </c>
      <c r="V54" s="76">
        <v>123</v>
      </c>
      <c r="W54" s="135">
        <v>180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363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25535484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347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346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1"/>
    </row>
    <row r="7" spans="1:129">
      <c r="A7" s="189" t="s">
        <v>272</v>
      </c>
      <c r="B7" s="190">
        <v>3</v>
      </c>
      <c r="C7" s="190">
        <v>0</v>
      </c>
      <c r="D7" s="190">
        <v>4</v>
      </c>
      <c r="E7" s="190">
        <v>4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4</v>
      </c>
      <c r="Z7" s="190">
        <v>4</v>
      </c>
      <c r="AA7" s="190">
        <v>0</v>
      </c>
      <c r="AB7" s="190">
        <v>2</v>
      </c>
      <c r="AC7" s="190">
        <v>2</v>
      </c>
      <c r="AD7" s="190">
        <v>0</v>
      </c>
      <c r="AE7" s="190">
        <v>1</v>
      </c>
      <c r="AF7" s="190">
        <v>1</v>
      </c>
      <c r="AG7" s="190">
        <v>0</v>
      </c>
      <c r="AH7" s="190">
        <v>0</v>
      </c>
      <c r="AI7" s="190">
        <v>0</v>
      </c>
      <c r="AJ7" s="190">
        <v>0</v>
      </c>
      <c r="AK7" s="190">
        <v>1</v>
      </c>
      <c r="AL7" s="190">
        <v>1</v>
      </c>
      <c r="AM7" s="190">
        <v>0</v>
      </c>
      <c r="AN7" s="190">
        <v>2</v>
      </c>
      <c r="AO7" s="190">
        <v>2</v>
      </c>
      <c r="AP7" s="190">
        <v>0</v>
      </c>
      <c r="AQ7" s="190">
        <v>80</v>
      </c>
      <c r="AR7" s="190">
        <v>80</v>
      </c>
      <c r="AS7" s="190">
        <v>0</v>
      </c>
      <c r="AT7" s="190">
        <v>80</v>
      </c>
      <c r="AU7" s="190">
        <v>80</v>
      </c>
      <c r="AV7" s="190">
        <v>0</v>
      </c>
      <c r="AW7" s="190">
        <v>0</v>
      </c>
      <c r="AX7" s="190">
        <v>0</v>
      </c>
      <c r="AY7" s="190">
        <v>0</v>
      </c>
      <c r="AZ7" s="190">
        <v>5</v>
      </c>
      <c r="BA7" s="190">
        <v>5</v>
      </c>
      <c r="BB7" s="190">
        <v>0</v>
      </c>
      <c r="BC7" s="190">
        <v>0</v>
      </c>
      <c r="BD7" s="190">
        <v>0</v>
      </c>
      <c r="BE7" s="190">
        <v>4</v>
      </c>
      <c r="BF7" s="190">
        <v>0</v>
      </c>
      <c r="BG7" s="190">
        <v>0</v>
      </c>
      <c r="BH7" s="190">
        <v>0</v>
      </c>
      <c r="BI7" s="190">
        <v>4</v>
      </c>
      <c r="BJ7" s="190">
        <v>4</v>
      </c>
      <c r="BK7" s="190">
        <v>0</v>
      </c>
      <c r="BL7" s="190">
        <v>0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0</v>
      </c>
      <c r="BS7" s="190">
        <v>0</v>
      </c>
      <c r="BT7" s="190">
        <v>0</v>
      </c>
      <c r="BU7" s="190">
        <v>1</v>
      </c>
      <c r="BV7" s="190">
        <v>1</v>
      </c>
      <c r="BW7" s="190">
        <v>0</v>
      </c>
      <c r="BX7" s="190">
        <v>85</v>
      </c>
      <c r="BY7" s="190">
        <v>85</v>
      </c>
      <c r="BZ7" s="190">
        <v>0</v>
      </c>
      <c r="CA7" s="190">
        <v>85</v>
      </c>
      <c r="CB7" s="190">
        <v>85</v>
      </c>
      <c r="CC7" s="190">
        <v>143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6</v>
      </c>
      <c r="CP7" s="190">
        <v>6</v>
      </c>
      <c r="CQ7" s="190">
        <v>0</v>
      </c>
      <c r="CR7" s="190">
        <v>0</v>
      </c>
      <c r="CS7" s="190">
        <v>0</v>
      </c>
      <c r="CT7" s="190">
        <v>0</v>
      </c>
      <c r="CU7" s="190">
        <v>79</v>
      </c>
      <c r="CV7" s="190">
        <v>79</v>
      </c>
      <c r="CW7" s="190">
        <v>0</v>
      </c>
      <c r="CX7" s="190">
        <v>6</v>
      </c>
      <c r="CY7" s="190">
        <v>6</v>
      </c>
      <c r="CZ7" s="190">
        <v>0</v>
      </c>
      <c r="DA7" s="190">
        <v>0</v>
      </c>
      <c r="DB7" s="190">
        <v>0</v>
      </c>
      <c r="DC7" s="190">
        <v>6</v>
      </c>
      <c r="DD7" s="190">
        <v>0</v>
      </c>
      <c r="DE7" s="190">
        <v>0</v>
      </c>
      <c r="DF7" s="190">
        <v>0</v>
      </c>
      <c r="DG7" s="190">
        <v>6</v>
      </c>
      <c r="DH7" s="190">
        <v>6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113</v>
      </c>
      <c r="C8" s="190">
        <v>15</v>
      </c>
      <c r="D8" s="190">
        <v>131</v>
      </c>
      <c r="E8" s="190">
        <v>90</v>
      </c>
      <c r="F8" s="190">
        <v>0</v>
      </c>
      <c r="G8" s="190">
        <v>0</v>
      </c>
      <c r="H8" s="190">
        <v>0</v>
      </c>
      <c r="I8" s="190">
        <v>0</v>
      </c>
      <c r="J8" s="190">
        <v>36</v>
      </c>
      <c r="K8" s="190">
        <v>36</v>
      </c>
      <c r="L8" s="190">
        <v>0</v>
      </c>
      <c r="M8" s="190">
        <v>17</v>
      </c>
      <c r="N8" s="190">
        <v>17</v>
      </c>
      <c r="O8" s="190">
        <v>0</v>
      </c>
      <c r="P8" s="190">
        <v>19</v>
      </c>
      <c r="Q8" s="190">
        <v>19</v>
      </c>
      <c r="R8" s="190">
        <v>0</v>
      </c>
      <c r="S8" s="190">
        <v>0</v>
      </c>
      <c r="T8" s="190">
        <v>0</v>
      </c>
      <c r="U8" s="190">
        <v>0</v>
      </c>
      <c r="V8" s="190">
        <v>5</v>
      </c>
      <c r="W8" s="190">
        <v>5</v>
      </c>
      <c r="X8" s="190">
        <v>2</v>
      </c>
      <c r="Y8" s="190">
        <v>129</v>
      </c>
      <c r="Z8" s="190">
        <v>131</v>
      </c>
      <c r="AA8" s="190">
        <v>1</v>
      </c>
      <c r="AB8" s="190">
        <v>64</v>
      </c>
      <c r="AC8" s="190">
        <v>65</v>
      </c>
      <c r="AD8" s="190">
        <v>1</v>
      </c>
      <c r="AE8" s="190">
        <v>63</v>
      </c>
      <c r="AF8" s="190">
        <v>64</v>
      </c>
      <c r="AG8" s="190">
        <v>0</v>
      </c>
      <c r="AH8" s="190">
        <v>0</v>
      </c>
      <c r="AI8" s="190">
        <v>0</v>
      </c>
      <c r="AJ8" s="190">
        <v>0</v>
      </c>
      <c r="AK8" s="190">
        <v>1</v>
      </c>
      <c r="AL8" s="190">
        <v>1</v>
      </c>
      <c r="AM8" s="190">
        <v>1</v>
      </c>
      <c r="AN8" s="190">
        <v>65</v>
      </c>
      <c r="AO8" s="190">
        <v>66</v>
      </c>
      <c r="AP8" s="190">
        <v>123</v>
      </c>
      <c r="AQ8" s="190">
        <v>1446</v>
      </c>
      <c r="AR8" s="190">
        <v>1569</v>
      </c>
      <c r="AS8" s="190">
        <v>123</v>
      </c>
      <c r="AT8" s="190">
        <v>1447</v>
      </c>
      <c r="AU8" s="190">
        <v>1570</v>
      </c>
      <c r="AV8" s="190">
        <v>0</v>
      </c>
      <c r="AW8" s="190">
        <v>-1</v>
      </c>
      <c r="AX8" s="190">
        <v>-1</v>
      </c>
      <c r="AY8" s="190">
        <v>9</v>
      </c>
      <c r="AZ8" s="190">
        <v>146</v>
      </c>
      <c r="BA8" s="190">
        <v>155</v>
      </c>
      <c r="BB8" s="190">
        <v>2</v>
      </c>
      <c r="BC8" s="190">
        <v>0</v>
      </c>
      <c r="BD8" s="190">
        <v>0</v>
      </c>
      <c r="BE8" s="190">
        <v>88</v>
      </c>
      <c r="BF8" s="190">
        <v>0</v>
      </c>
      <c r="BG8" s="190">
        <v>0</v>
      </c>
      <c r="BH8" s="190">
        <v>2</v>
      </c>
      <c r="BI8" s="190">
        <v>88</v>
      </c>
      <c r="BJ8" s="190">
        <v>90</v>
      </c>
      <c r="BK8" s="190">
        <v>3</v>
      </c>
      <c r="BL8" s="190">
        <v>-3</v>
      </c>
      <c r="BM8" s="190">
        <v>0</v>
      </c>
      <c r="BN8" s="190">
        <v>0</v>
      </c>
      <c r="BO8" s="190">
        <v>5</v>
      </c>
      <c r="BP8" s="190">
        <v>5</v>
      </c>
      <c r="BQ8" s="190">
        <v>2</v>
      </c>
      <c r="BR8" s="190">
        <v>22</v>
      </c>
      <c r="BS8" s="190">
        <v>24</v>
      </c>
      <c r="BT8" s="190">
        <v>2</v>
      </c>
      <c r="BU8" s="190">
        <v>34</v>
      </c>
      <c r="BV8" s="190">
        <v>36</v>
      </c>
      <c r="BW8" s="190">
        <v>132</v>
      </c>
      <c r="BX8" s="190">
        <v>1592</v>
      </c>
      <c r="BY8" s="190">
        <v>1724</v>
      </c>
      <c r="BZ8" s="190">
        <v>132</v>
      </c>
      <c r="CA8" s="190">
        <v>1587</v>
      </c>
      <c r="CB8" s="190">
        <v>1719</v>
      </c>
      <c r="CC8" s="190">
        <v>3189</v>
      </c>
      <c r="CD8" s="190">
        <v>0</v>
      </c>
      <c r="CE8" s="190">
        <v>4</v>
      </c>
      <c r="CF8" s="190">
        <v>0</v>
      </c>
      <c r="CG8" s="190">
        <v>4</v>
      </c>
      <c r="CH8" s="190">
        <v>4</v>
      </c>
      <c r="CI8" s="190">
        <v>1</v>
      </c>
      <c r="CJ8" s="190">
        <v>0</v>
      </c>
      <c r="CK8" s="190">
        <v>0</v>
      </c>
      <c r="CL8" s="190">
        <v>1</v>
      </c>
      <c r="CM8" s="190">
        <v>1</v>
      </c>
      <c r="CN8" s="190">
        <v>4</v>
      </c>
      <c r="CO8" s="190">
        <v>131</v>
      </c>
      <c r="CP8" s="190">
        <v>135</v>
      </c>
      <c r="CQ8" s="190">
        <v>0</v>
      </c>
      <c r="CR8" s="190">
        <v>0</v>
      </c>
      <c r="CS8" s="190">
        <v>0</v>
      </c>
      <c r="CT8" s="190">
        <v>128</v>
      </c>
      <c r="CU8" s="190">
        <v>1461</v>
      </c>
      <c r="CV8" s="190">
        <v>1589</v>
      </c>
      <c r="CW8" s="190">
        <v>8</v>
      </c>
      <c r="CX8" s="190">
        <v>75</v>
      </c>
      <c r="CY8" s="190">
        <v>83</v>
      </c>
      <c r="CZ8" s="190">
        <v>7</v>
      </c>
      <c r="DA8" s="190">
        <v>0</v>
      </c>
      <c r="DB8" s="190">
        <v>0</v>
      </c>
      <c r="DC8" s="190">
        <v>73</v>
      </c>
      <c r="DD8" s="190">
        <v>0</v>
      </c>
      <c r="DE8" s="190">
        <v>0</v>
      </c>
      <c r="DF8" s="190">
        <v>7</v>
      </c>
      <c r="DG8" s="190">
        <v>73</v>
      </c>
      <c r="DH8" s="190">
        <v>80</v>
      </c>
      <c r="DI8" s="190">
        <v>1</v>
      </c>
      <c r="DJ8" s="190">
        <v>0</v>
      </c>
      <c r="DK8" s="190">
        <v>0</v>
      </c>
      <c r="DL8" s="190">
        <v>2</v>
      </c>
      <c r="DM8" s="190">
        <v>0</v>
      </c>
      <c r="DN8" s="190">
        <v>0</v>
      </c>
      <c r="DO8" s="190">
        <v>1</v>
      </c>
      <c r="DP8" s="190">
        <v>2</v>
      </c>
      <c r="DQ8" s="190">
        <v>3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1236</v>
      </c>
      <c r="C9" s="190">
        <v>472</v>
      </c>
      <c r="D9" s="190">
        <v>1346</v>
      </c>
      <c r="E9" s="190">
        <v>757</v>
      </c>
      <c r="F9" s="190">
        <v>3</v>
      </c>
      <c r="G9" s="190">
        <v>112</v>
      </c>
      <c r="H9" s="190">
        <v>115</v>
      </c>
      <c r="I9" s="190">
        <v>0</v>
      </c>
      <c r="J9" s="190">
        <v>535</v>
      </c>
      <c r="K9" s="190">
        <v>535</v>
      </c>
      <c r="L9" s="190">
        <v>0</v>
      </c>
      <c r="M9" s="190">
        <v>182</v>
      </c>
      <c r="N9" s="190">
        <v>182</v>
      </c>
      <c r="O9" s="190">
        <v>0</v>
      </c>
      <c r="P9" s="190">
        <v>353</v>
      </c>
      <c r="Q9" s="190">
        <v>353</v>
      </c>
      <c r="R9" s="190">
        <v>0</v>
      </c>
      <c r="S9" s="190">
        <v>33</v>
      </c>
      <c r="T9" s="190">
        <v>33</v>
      </c>
      <c r="U9" s="190">
        <v>0</v>
      </c>
      <c r="V9" s="190">
        <v>54</v>
      </c>
      <c r="W9" s="190">
        <v>54</v>
      </c>
      <c r="X9" s="190">
        <v>23</v>
      </c>
      <c r="Y9" s="190">
        <v>1323</v>
      </c>
      <c r="Z9" s="190">
        <v>1346</v>
      </c>
      <c r="AA9" s="190">
        <v>16</v>
      </c>
      <c r="AB9" s="190">
        <v>533</v>
      </c>
      <c r="AC9" s="190">
        <v>549</v>
      </c>
      <c r="AD9" s="190">
        <v>16</v>
      </c>
      <c r="AE9" s="190">
        <v>488</v>
      </c>
      <c r="AF9" s="190">
        <v>504</v>
      </c>
      <c r="AG9" s="190">
        <v>0</v>
      </c>
      <c r="AH9" s="190">
        <v>29</v>
      </c>
      <c r="AI9" s="190">
        <v>29</v>
      </c>
      <c r="AJ9" s="190">
        <v>0</v>
      </c>
      <c r="AK9" s="190">
        <v>16</v>
      </c>
      <c r="AL9" s="190">
        <v>16</v>
      </c>
      <c r="AM9" s="190">
        <v>7</v>
      </c>
      <c r="AN9" s="190">
        <v>790</v>
      </c>
      <c r="AO9" s="190">
        <v>797</v>
      </c>
      <c r="AP9" s="190">
        <v>1602</v>
      </c>
      <c r="AQ9" s="190">
        <v>13735</v>
      </c>
      <c r="AR9" s="190">
        <v>15337</v>
      </c>
      <c r="AS9" s="190">
        <v>1602</v>
      </c>
      <c r="AT9" s="190">
        <v>13735</v>
      </c>
      <c r="AU9" s="190">
        <v>15337</v>
      </c>
      <c r="AV9" s="190">
        <v>0</v>
      </c>
      <c r="AW9" s="190">
        <v>0</v>
      </c>
      <c r="AX9" s="190">
        <v>0</v>
      </c>
      <c r="AY9" s="190">
        <v>68</v>
      </c>
      <c r="AZ9" s="190">
        <v>1319</v>
      </c>
      <c r="BA9" s="190">
        <v>1387</v>
      </c>
      <c r="BB9" s="190">
        <v>26</v>
      </c>
      <c r="BC9" s="190">
        <v>0</v>
      </c>
      <c r="BD9" s="190">
        <v>0</v>
      </c>
      <c r="BE9" s="190">
        <v>729</v>
      </c>
      <c r="BF9" s="190">
        <v>0</v>
      </c>
      <c r="BG9" s="190">
        <v>2</v>
      </c>
      <c r="BH9" s="190">
        <v>26</v>
      </c>
      <c r="BI9" s="190">
        <v>731</v>
      </c>
      <c r="BJ9" s="190">
        <v>757</v>
      </c>
      <c r="BK9" s="190">
        <v>-19</v>
      </c>
      <c r="BL9" s="190">
        <v>19</v>
      </c>
      <c r="BM9" s="190">
        <v>0</v>
      </c>
      <c r="BN9" s="190">
        <v>2</v>
      </c>
      <c r="BO9" s="190">
        <v>24</v>
      </c>
      <c r="BP9" s="190">
        <v>26</v>
      </c>
      <c r="BQ9" s="190">
        <v>5</v>
      </c>
      <c r="BR9" s="190">
        <v>184</v>
      </c>
      <c r="BS9" s="190">
        <v>189</v>
      </c>
      <c r="BT9" s="190">
        <v>54</v>
      </c>
      <c r="BU9" s="190">
        <v>361</v>
      </c>
      <c r="BV9" s="190">
        <v>415</v>
      </c>
      <c r="BW9" s="190">
        <v>1670</v>
      </c>
      <c r="BX9" s="190">
        <v>15054</v>
      </c>
      <c r="BY9" s="190">
        <v>16724</v>
      </c>
      <c r="BZ9" s="190">
        <v>1663</v>
      </c>
      <c r="CA9" s="190">
        <v>14991</v>
      </c>
      <c r="CB9" s="190">
        <v>16654</v>
      </c>
      <c r="CC9" s="190">
        <v>31182</v>
      </c>
      <c r="CD9" s="190">
        <v>4</v>
      </c>
      <c r="CE9" s="190">
        <v>43</v>
      </c>
      <c r="CF9" s="190">
        <v>7</v>
      </c>
      <c r="CG9" s="190">
        <v>37</v>
      </c>
      <c r="CH9" s="190">
        <v>44</v>
      </c>
      <c r="CI9" s="190">
        <v>27</v>
      </c>
      <c r="CJ9" s="190">
        <v>3</v>
      </c>
      <c r="CK9" s="190">
        <v>0</v>
      </c>
      <c r="CL9" s="190">
        <v>26</v>
      </c>
      <c r="CM9" s="190">
        <v>26</v>
      </c>
      <c r="CN9" s="190">
        <v>115</v>
      </c>
      <c r="CO9" s="190">
        <v>1291</v>
      </c>
      <c r="CP9" s="190">
        <v>1406</v>
      </c>
      <c r="CQ9" s="190">
        <v>0</v>
      </c>
      <c r="CR9" s="190">
        <v>16</v>
      </c>
      <c r="CS9" s="190">
        <v>16</v>
      </c>
      <c r="CT9" s="190">
        <v>1555</v>
      </c>
      <c r="CU9" s="190">
        <v>13763</v>
      </c>
      <c r="CV9" s="190">
        <v>15318</v>
      </c>
      <c r="CW9" s="190">
        <v>95</v>
      </c>
      <c r="CX9" s="190">
        <v>626</v>
      </c>
      <c r="CY9" s="190">
        <v>721</v>
      </c>
      <c r="CZ9" s="190">
        <v>94</v>
      </c>
      <c r="DA9" s="190">
        <v>1</v>
      </c>
      <c r="DB9" s="190">
        <v>0</v>
      </c>
      <c r="DC9" s="190">
        <v>614</v>
      </c>
      <c r="DD9" s="190">
        <v>0</v>
      </c>
      <c r="DE9" s="190">
        <v>1</v>
      </c>
      <c r="DF9" s="190">
        <v>95</v>
      </c>
      <c r="DG9" s="190">
        <v>615</v>
      </c>
      <c r="DH9" s="190">
        <v>710</v>
      </c>
      <c r="DI9" s="190">
        <v>0</v>
      </c>
      <c r="DJ9" s="190">
        <v>0</v>
      </c>
      <c r="DK9" s="190">
        <v>0</v>
      </c>
      <c r="DL9" s="190">
        <v>11</v>
      </c>
      <c r="DM9" s="190">
        <v>0</v>
      </c>
      <c r="DN9" s="190">
        <v>0</v>
      </c>
      <c r="DO9" s="190">
        <v>0</v>
      </c>
      <c r="DP9" s="190">
        <v>11</v>
      </c>
      <c r="DQ9" s="190">
        <v>11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186</v>
      </c>
      <c r="C10" s="190">
        <v>29</v>
      </c>
      <c r="D10" s="190">
        <v>228</v>
      </c>
      <c r="E10" s="190">
        <v>165</v>
      </c>
      <c r="F10" s="190">
        <v>0</v>
      </c>
      <c r="G10" s="190">
        <v>9</v>
      </c>
      <c r="H10" s="190">
        <v>9</v>
      </c>
      <c r="I10" s="190">
        <v>0</v>
      </c>
      <c r="J10" s="190">
        <v>55</v>
      </c>
      <c r="K10" s="190">
        <v>55</v>
      </c>
      <c r="L10" s="190">
        <v>0</v>
      </c>
      <c r="M10" s="190">
        <v>35</v>
      </c>
      <c r="N10" s="190">
        <v>35</v>
      </c>
      <c r="O10" s="190">
        <v>0</v>
      </c>
      <c r="P10" s="190">
        <v>20</v>
      </c>
      <c r="Q10" s="190">
        <v>20</v>
      </c>
      <c r="R10" s="190">
        <v>0</v>
      </c>
      <c r="S10" s="190">
        <v>2</v>
      </c>
      <c r="T10" s="190">
        <v>2</v>
      </c>
      <c r="U10" s="190">
        <v>0</v>
      </c>
      <c r="V10" s="190">
        <v>8</v>
      </c>
      <c r="W10" s="190">
        <v>8</v>
      </c>
      <c r="X10" s="190">
        <v>3</v>
      </c>
      <c r="Y10" s="190">
        <v>224</v>
      </c>
      <c r="Z10" s="190">
        <v>227</v>
      </c>
      <c r="AA10" s="190">
        <v>2</v>
      </c>
      <c r="AB10" s="190">
        <v>103</v>
      </c>
      <c r="AC10" s="190">
        <v>105</v>
      </c>
      <c r="AD10" s="190">
        <v>2</v>
      </c>
      <c r="AE10" s="190">
        <v>87</v>
      </c>
      <c r="AF10" s="190">
        <v>89</v>
      </c>
      <c r="AG10" s="190">
        <v>0</v>
      </c>
      <c r="AH10" s="190">
        <v>10</v>
      </c>
      <c r="AI10" s="190">
        <v>10</v>
      </c>
      <c r="AJ10" s="190">
        <v>0</v>
      </c>
      <c r="AK10" s="190">
        <v>6</v>
      </c>
      <c r="AL10" s="190">
        <v>6</v>
      </c>
      <c r="AM10" s="190">
        <v>1</v>
      </c>
      <c r="AN10" s="190">
        <v>121</v>
      </c>
      <c r="AO10" s="190">
        <v>122</v>
      </c>
      <c r="AP10" s="190">
        <v>178</v>
      </c>
      <c r="AQ10" s="190">
        <v>2429</v>
      </c>
      <c r="AR10" s="190">
        <v>2607</v>
      </c>
      <c r="AS10" s="190">
        <v>178</v>
      </c>
      <c r="AT10" s="190">
        <v>2431</v>
      </c>
      <c r="AU10" s="190">
        <v>2609</v>
      </c>
      <c r="AV10" s="190">
        <v>0</v>
      </c>
      <c r="AW10" s="190">
        <v>-2</v>
      </c>
      <c r="AX10" s="190">
        <v>-2</v>
      </c>
      <c r="AY10" s="190">
        <v>16</v>
      </c>
      <c r="AZ10" s="190">
        <v>259</v>
      </c>
      <c r="BA10" s="190">
        <v>275</v>
      </c>
      <c r="BB10" s="190">
        <v>2</v>
      </c>
      <c r="BC10" s="190">
        <v>0</v>
      </c>
      <c r="BD10" s="190">
        <v>0</v>
      </c>
      <c r="BE10" s="190">
        <v>163</v>
      </c>
      <c r="BF10" s="190">
        <v>0</v>
      </c>
      <c r="BG10" s="190">
        <v>0</v>
      </c>
      <c r="BH10" s="190">
        <v>2</v>
      </c>
      <c r="BI10" s="190">
        <v>163</v>
      </c>
      <c r="BJ10" s="190">
        <v>165</v>
      </c>
      <c r="BK10" s="190">
        <v>4</v>
      </c>
      <c r="BL10" s="190">
        <v>-4</v>
      </c>
      <c r="BM10" s="190">
        <v>0</v>
      </c>
      <c r="BN10" s="190">
        <v>0</v>
      </c>
      <c r="BO10" s="190">
        <v>10</v>
      </c>
      <c r="BP10" s="190">
        <v>10</v>
      </c>
      <c r="BQ10" s="190">
        <v>2</v>
      </c>
      <c r="BR10" s="190">
        <v>27</v>
      </c>
      <c r="BS10" s="190">
        <v>29</v>
      </c>
      <c r="BT10" s="190">
        <v>8</v>
      </c>
      <c r="BU10" s="190">
        <v>63</v>
      </c>
      <c r="BV10" s="190">
        <v>71</v>
      </c>
      <c r="BW10" s="190">
        <v>194</v>
      </c>
      <c r="BX10" s="190">
        <v>2688</v>
      </c>
      <c r="BY10" s="190">
        <v>2882</v>
      </c>
      <c r="BZ10" s="190">
        <v>194</v>
      </c>
      <c r="CA10" s="190">
        <v>2677</v>
      </c>
      <c r="CB10" s="190">
        <v>2871</v>
      </c>
      <c r="CC10" s="190">
        <v>5159</v>
      </c>
      <c r="CD10" s="190">
        <v>2</v>
      </c>
      <c r="CE10" s="190">
        <v>6</v>
      </c>
      <c r="CF10" s="190">
        <v>0</v>
      </c>
      <c r="CG10" s="190">
        <v>7</v>
      </c>
      <c r="CH10" s="190">
        <v>7</v>
      </c>
      <c r="CI10" s="190">
        <v>5</v>
      </c>
      <c r="CJ10" s="190">
        <v>0</v>
      </c>
      <c r="CK10" s="190">
        <v>0</v>
      </c>
      <c r="CL10" s="190">
        <v>4</v>
      </c>
      <c r="CM10" s="190">
        <v>4</v>
      </c>
      <c r="CN10" s="190">
        <v>14</v>
      </c>
      <c r="CO10" s="190">
        <v>234</v>
      </c>
      <c r="CP10" s="190">
        <v>248</v>
      </c>
      <c r="CQ10" s="190">
        <v>0</v>
      </c>
      <c r="CR10" s="190">
        <v>0</v>
      </c>
      <c r="CS10" s="190">
        <v>0</v>
      </c>
      <c r="CT10" s="190">
        <v>180</v>
      </c>
      <c r="CU10" s="190">
        <v>2454</v>
      </c>
      <c r="CV10" s="190">
        <v>2634</v>
      </c>
      <c r="CW10" s="190">
        <v>8</v>
      </c>
      <c r="CX10" s="190">
        <v>118</v>
      </c>
      <c r="CY10" s="190">
        <v>126</v>
      </c>
      <c r="CZ10" s="190">
        <v>8</v>
      </c>
      <c r="DA10" s="190">
        <v>0</v>
      </c>
      <c r="DB10" s="190">
        <v>0</v>
      </c>
      <c r="DC10" s="190">
        <v>118</v>
      </c>
      <c r="DD10" s="190">
        <v>0</v>
      </c>
      <c r="DE10" s="190">
        <v>0</v>
      </c>
      <c r="DF10" s="190">
        <v>8</v>
      </c>
      <c r="DG10" s="190">
        <v>118</v>
      </c>
      <c r="DH10" s="190">
        <v>126</v>
      </c>
      <c r="DI10" s="190">
        <v>0</v>
      </c>
      <c r="DJ10" s="190">
        <v>0</v>
      </c>
      <c r="DK10" s="190">
        <v>0</v>
      </c>
      <c r="DL10" s="190">
        <v>0</v>
      </c>
      <c r="DM10" s="190">
        <v>0</v>
      </c>
      <c r="DN10" s="190">
        <v>0</v>
      </c>
      <c r="DO10" s="190">
        <v>0</v>
      </c>
      <c r="DP10" s="190">
        <v>0</v>
      </c>
      <c r="DQ10" s="190">
        <v>0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54</v>
      </c>
      <c r="C11" s="190">
        <v>5</v>
      </c>
      <c r="D11" s="190">
        <v>71</v>
      </c>
      <c r="E11" s="190">
        <v>45</v>
      </c>
      <c r="F11" s="190">
        <v>1</v>
      </c>
      <c r="G11" s="190">
        <v>1</v>
      </c>
      <c r="H11" s="190">
        <v>2</v>
      </c>
      <c r="I11" s="190">
        <v>0</v>
      </c>
      <c r="J11" s="190">
        <v>24</v>
      </c>
      <c r="K11" s="190">
        <v>24</v>
      </c>
      <c r="L11" s="190">
        <v>0</v>
      </c>
      <c r="M11" s="190">
        <v>8</v>
      </c>
      <c r="N11" s="190">
        <v>8</v>
      </c>
      <c r="O11" s="190">
        <v>0</v>
      </c>
      <c r="P11" s="190">
        <v>16</v>
      </c>
      <c r="Q11" s="190">
        <v>16</v>
      </c>
      <c r="R11" s="190">
        <v>0</v>
      </c>
      <c r="S11" s="190">
        <v>0</v>
      </c>
      <c r="T11" s="190">
        <v>0</v>
      </c>
      <c r="U11" s="190">
        <v>0</v>
      </c>
      <c r="V11" s="190">
        <v>2</v>
      </c>
      <c r="W11" s="190">
        <v>2</v>
      </c>
      <c r="X11" s="190">
        <v>2</v>
      </c>
      <c r="Y11" s="190">
        <v>69</v>
      </c>
      <c r="Z11" s="190">
        <v>71</v>
      </c>
      <c r="AA11" s="190">
        <v>1</v>
      </c>
      <c r="AB11" s="190">
        <v>26</v>
      </c>
      <c r="AC11" s="190">
        <v>27</v>
      </c>
      <c r="AD11" s="190">
        <v>1</v>
      </c>
      <c r="AE11" s="190">
        <v>24</v>
      </c>
      <c r="AF11" s="190">
        <v>25</v>
      </c>
      <c r="AG11" s="190">
        <v>0</v>
      </c>
      <c r="AH11" s="190">
        <v>1</v>
      </c>
      <c r="AI11" s="190">
        <v>1</v>
      </c>
      <c r="AJ11" s="190">
        <v>0</v>
      </c>
      <c r="AK11" s="190">
        <v>1</v>
      </c>
      <c r="AL11" s="190">
        <v>1</v>
      </c>
      <c r="AM11" s="190">
        <v>1</v>
      </c>
      <c r="AN11" s="190">
        <v>43</v>
      </c>
      <c r="AO11" s="190">
        <v>44</v>
      </c>
      <c r="AP11" s="190">
        <v>76</v>
      </c>
      <c r="AQ11" s="190">
        <v>552</v>
      </c>
      <c r="AR11" s="190">
        <v>628</v>
      </c>
      <c r="AS11" s="190">
        <v>76</v>
      </c>
      <c r="AT11" s="190">
        <v>552</v>
      </c>
      <c r="AU11" s="190">
        <v>628</v>
      </c>
      <c r="AV11" s="190">
        <v>0</v>
      </c>
      <c r="AW11" s="190">
        <v>0</v>
      </c>
      <c r="AX11" s="190">
        <v>0</v>
      </c>
      <c r="AY11" s="190">
        <v>6</v>
      </c>
      <c r="AZ11" s="190">
        <v>63</v>
      </c>
      <c r="BA11" s="190">
        <v>69</v>
      </c>
      <c r="BB11" s="190">
        <v>2</v>
      </c>
      <c r="BC11" s="190">
        <v>0</v>
      </c>
      <c r="BD11" s="190">
        <v>0</v>
      </c>
      <c r="BE11" s="190">
        <v>43</v>
      </c>
      <c r="BF11" s="190">
        <v>0</v>
      </c>
      <c r="BG11" s="190">
        <v>0</v>
      </c>
      <c r="BH11" s="190">
        <v>2</v>
      </c>
      <c r="BI11" s="190">
        <v>43</v>
      </c>
      <c r="BJ11" s="190">
        <v>45</v>
      </c>
      <c r="BK11" s="190">
        <v>2</v>
      </c>
      <c r="BL11" s="190">
        <v>-2</v>
      </c>
      <c r="BM11" s="190">
        <v>0</v>
      </c>
      <c r="BN11" s="190">
        <v>0</v>
      </c>
      <c r="BO11" s="190">
        <v>2</v>
      </c>
      <c r="BP11" s="190">
        <v>2</v>
      </c>
      <c r="BQ11" s="190">
        <v>0</v>
      </c>
      <c r="BR11" s="190">
        <v>3</v>
      </c>
      <c r="BS11" s="190">
        <v>3</v>
      </c>
      <c r="BT11" s="190">
        <v>2</v>
      </c>
      <c r="BU11" s="190">
        <v>17</v>
      </c>
      <c r="BV11" s="190">
        <v>19</v>
      </c>
      <c r="BW11" s="190">
        <v>82</v>
      </c>
      <c r="BX11" s="190">
        <v>615</v>
      </c>
      <c r="BY11" s="190">
        <v>697</v>
      </c>
      <c r="BZ11" s="190">
        <v>81</v>
      </c>
      <c r="CA11" s="190">
        <v>612</v>
      </c>
      <c r="CB11" s="190">
        <v>693</v>
      </c>
      <c r="CC11" s="190">
        <v>1638</v>
      </c>
      <c r="CD11" s="190">
        <v>1</v>
      </c>
      <c r="CE11" s="190">
        <v>2</v>
      </c>
      <c r="CF11" s="190">
        <v>1</v>
      </c>
      <c r="CG11" s="190">
        <v>2</v>
      </c>
      <c r="CH11" s="190">
        <v>3</v>
      </c>
      <c r="CI11" s="190">
        <v>1</v>
      </c>
      <c r="CJ11" s="190">
        <v>0</v>
      </c>
      <c r="CK11" s="190">
        <v>0</v>
      </c>
      <c r="CL11" s="190">
        <v>1</v>
      </c>
      <c r="CM11" s="190">
        <v>1</v>
      </c>
      <c r="CN11" s="190">
        <v>3</v>
      </c>
      <c r="CO11" s="190">
        <v>37</v>
      </c>
      <c r="CP11" s="190">
        <v>40</v>
      </c>
      <c r="CQ11" s="190">
        <v>0</v>
      </c>
      <c r="CR11" s="190">
        <v>0</v>
      </c>
      <c r="CS11" s="190">
        <v>0</v>
      </c>
      <c r="CT11" s="190">
        <v>79</v>
      </c>
      <c r="CU11" s="190">
        <v>578</v>
      </c>
      <c r="CV11" s="190">
        <v>657</v>
      </c>
      <c r="CW11" s="190">
        <v>3</v>
      </c>
      <c r="CX11" s="190">
        <v>20</v>
      </c>
      <c r="CY11" s="190">
        <v>23</v>
      </c>
      <c r="CZ11" s="190">
        <v>2</v>
      </c>
      <c r="DA11" s="190">
        <v>1</v>
      </c>
      <c r="DB11" s="190">
        <v>0</v>
      </c>
      <c r="DC11" s="190">
        <v>20</v>
      </c>
      <c r="DD11" s="190">
        <v>0</v>
      </c>
      <c r="DE11" s="190">
        <v>0</v>
      </c>
      <c r="DF11" s="190">
        <v>3</v>
      </c>
      <c r="DG11" s="190">
        <v>20</v>
      </c>
      <c r="DH11" s="190">
        <v>23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2053</v>
      </c>
      <c r="C12" s="190">
        <v>492</v>
      </c>
      <c r="D12" s="190">
        <v>1921</v>
      </c>
      <c r="E12" s="190">
        <v>1071</v>
      </c>
      <c r="F12" s="190">
        <v>3</v>
      </c>
      <c r="G12" s="190">
        <v>28</v>
      </c>
      <c r="H12" s="190">
        <v>31</v>
      </c>
      <c r="I12" s="190">
        <v>2</v>
      </c>
      <c r="J12" s="190">
        <v>742</v>
      </c>
      <c r="K12" s="190">
        <v>744</v>
      </c>
      <c r="L12" s="190">
        <v>0</v>
      </c>
      <c r="M12" s="190">
        <v>159</v>
      </c>
      <c r="N12" s="190">
        <v>159</v>
      </c>
      <c r="O12" s="190">
        <v>2</v>
      </c>
      <c r="P12" s="190">
        <v>583</v>
      </c>
      <c r="Q12" s="190">
        <v>585</v>
      </c>
      <c r="R12" s="190">
        <v>0</v>
      </c>
      <c r="S12" s="190">
        <v>78</v>
      </c>
      <c r="T12" s="190">
        <v>78</v>
      </c>
      <c r="U12" s="190">
        <v>0</v>
      </c>
      <c r="V12" s="190">
        <v>106</v>
      </c>
      <c r="W12" s="190">
        <v>106</v>
      </c>
      <c r="X12" s="190">
        <v>39</v>
      </c>
      <c r="Y12" s="190">
        <v>905</v>
      </c>
      <c r="Z12" s="190">
        <v>944</v>
      </c>
      <c r="AA12" s="190">
        <v>26</v>
      </c>
      <c r="AB12" s="190">
        <v>466</v>
      </c>
      <c r="AC12" s="190">
        <v>492</v>
      </c>
      <c r="AD12" s="190">
        <v>23</v>
      </c>
      <c r="AE12" s="190">
        <v>457</v>
      </c>
      <c r="AF12" s="190">
        <v>480</v>
      </c>
      <c r="AG12" s="190">
        <v>3</v>
      </c>
      <c r="AH12" s="190">
        <v>8</v>
      </c>
      <c r="AI12" s="190">
        <v>11</v>
      </c>
      <c r="AJ12" s="190">
        <v>0</v>
      </c>
      <c r="AK12" s="190">
        <v>1</v>
      </c>
      <c r="AL12" s="190">
        <v>1</v>
      </c>
      <c r="AM12" s="190">
        <v>13</v>
      </c>
      <c r="AN12" s="190">
        <v>439</v>
      </c>
      <c r="AO12" s="190">
        <v>452</v>
      </c>
      <c r="AP12" s="190">
        <v>3739</v>
      </c>
      <c r="AQ12" s="190">
        <v>25227</v>
      </c>
      <c r="AR12" s="190">
        <v>28966</v>
      </c>
      <c r="AS12" s="190">
        <v>3699</v>
      </c>
      <c r="AT12" s="190">
        <v>24936</v>
      </c>
      <c r="AU12" s="190">
        <v>28635</v>
      </c>
      <c r="AV12" s="190">
        <v>40</v>
      </c>
      <c r="AW12" s="190">
        <v>291</v>
      </c>
      <c r="AX12" s="190">
        <v>331</v>
      </c>
      <c r="AY12" s="190">
        <v>175</v>
      </c>
      <c r="AZ12" s="190">
        <v>2556</v>
      </c>
      <c r="BA12" s="190">
        <v>2731</v>
      </c>
      <c r="BB12" s="190">
        <v>86</v>
      </c>
      <c r="BC12" s="190">
        <v>3</v>
      </c>
      <c r="BD12" s="190">
        <v>0</v>
      </c>
      <c r="BE12" s="190">
        <v>953</v>
      </c>
      <c r="BF12" s="190">
        <v>21</v>
      </c>
      <c r="BG12" s="190">
        <v>8</v>
      </c>
      <c r="BH12" s="190">
        <v>89</v>
      </c>
      <c r="BI12" s="190">
        <v>982</v>
      </c>
      <c r="BJ12" s="190">
        <v>1071</v>
      </c>
      <c r="BK12" s="190">
        <v>-101</v>
      </c>
      <c r="BL12" s="190">
        <v>101</v>
      </c>
      <c r="BM12" s="190">
        <v>0</v>
      </c>
      <c r="BN12" s="190">
        <v>14</v>
      </c>
      <c r="BO12" s="190">
        <v>65</v>
      </c>
      <c r="BP12" s="190">
        <v>79</v>
      </c>
      <c r="BQ12" s="190">
        <v>8</v>
      </c>
      <c r="BR12" s="190">
        <v>42</v>
      </c>
      <c r="BS12" s="190">
        <v>50</v>
      </c>
      <c r="BT12" s="190">
        <v>165</v>
      </c>
      <c r="BU12" s="190">
        <v>1366</v>
      </c>
      <c r="BV12" s="190">
        <v>1531</v>
      </c>
      <c r="BW12" s="190">
        <v>3914</v>
      </c>
      <c r="BX12" s="190">
        <v>27783</v>
      </c>
      <c r="BY12" s="190">
        <v>31697</v>
      </c>
      <c r="BZ12" s="190">
        <v>3805</v>
      </c>
      <c r="CA12" s="190">
        <v>27269</v>
      </c>
      <c r="CB12" s="190">
        <v>31074</v>
      </c>
      <c r="CC12" s="190">
        <v>63776</v>
      </c>
      <c r="CD12" s="190">
        <v>38</v>
      </c>
      <c r="CE12" s="190">
        <v>644</v>
      </c>
      <c r="CF12" s="190">
        <v>108</v>
      </c>
      <c r="CG12" s="190">
        <v>381</v>
      </c>
      <c r="CH12" s="190">
        <v>489</v>
      </c>
      <c r="CI12" s="190">
        <v>160</v>
      </c>
      <c r="CJ12" s="190">
        <v>20</v>
      </c>
      <c r="CK12" s="190">
        <v>1</v>
      </c>
      <c r="CL12" s="190">
        <v>133</v>
      </c>
      <c r="CM12" s="190">
        <v>134</v>
      </c>
      <c r="CN12" s="190">
        <v>212</v>
      </c>
      <c r="CO12" s="190">
        <v>2917</v>
      </c>
      <c r="CP12" s="190">
        <v>3129</v>
      </c>
      <c r="CQ12" s="190">
        <v>0</v>
      </c>
      <c r="CR12" s="190">
        <v>0</v>
      </c>
      <c r="CS12" s="190">
        <v>0</v>
      </c>
      <c r="CT12" s="190">
        <v>3702</v>
      </c>
      <c r="CU12" s="190">
        <v>24866</v>
      </c>
      <c r="CV12" s="190">
        <v>28568</v>
      </c>
      <c r="CW12" s="190">
        <v>293</v>
      </c>
      <c r="CX12" s="190">
        <v>1320</v>
      </c>
      <c r="CY12" s="190">
        <v>1613</v>
      </c>
      <c r="CZ12" s="190">
        <v>284</v>
      </c>
      <c r="DA12" s="190">
        <v>7</v>
      </c>
      <c r="DB12" s="190">
        <v>0</v>
      </c>
      <c r="DC12" s="190">
        <v>1242</v>
      </c>
      <c r="DD12" s="190">
        <v>23</v>
      </c>
      <c r="DE12" s="190">
        <v>5</v>
      </c>
      <c r="DF12" s="190">
        <v>291</v>
      </c>
      <c r="DG12" s="190">
        <v>1270</v>
      </c>
      <c r="DH12" s="190">
        <v>1561</v>
      </c>
      <c r="DI12" s="190">
        <v>2</v>
      </c>
      <c r="DJ12" s="190">
        <v>0</v>
      </c>
      <c r="DK12" s="190">
        <v>0</v>
      </c>
      <c r="DL12" s="190">
        <v>46</v>
      </c>
      <c r="DM12" s="190">
        <v>3</v>
      </c>
      <c r="DN12" s="190">
        <v>1</v>
      </c>
      <c r="DO12" s="190">
        <v>2</v>
      </c>
      <c r="DP12" s="190">
        <v>50</v>
      </c>
      <c r="DQ12" s="190">
        <v>52</v>
      </c>
      <c r="DR12" s="190">
        <v>0</v>
      </c>
      <c r="DS12" s="190">
        <v>1</v>
      </c>
      <c r="DT12" s="191">
        <v>1</v>
      </c>
    </row>
    <row r="13" spans="1:129">
      <c r="A13" s="189" t="s">
        <v>278</v>
      </c>
      <c r="B13" s="190">
        <v>173</v>
      </c>
      <c r="C13" s="190">
        <v>7</v>
      </c>
      <c r="D13" s="190">
        <v>182</v>
      </c>
      <c r="E13" s="190">
        <v>106</v>
      </c>
      <c r="F13" s="190">
        <v>0</v>
      </c>
      <c r="G13" s="190">
        <v>1</v>
      </c>
      <c r="H13" s="190">
        <v>1</v>
      </c>
      <c r="I13" s="190">
        <v>0</v>
      </c>
      <c r="J13" s="190">
        <v>69</v>
      </c>
      <c r="K13" s="190">
        <v>69</v>
      </c>
      <c r="L13" s="190">
        <v>0</v>
      </c>
      <c r="M13" s="190">
        <v>31</v>
      </c>
      <c r="N13" s="190">
        <v>31</v>
      </c>
      <c r="O13" s="190">
        <v>0</v>
      </c>
      <c r="P13" s="190">
        <v>38</v>
      </c>
      <c r="Q13" s="190">
        <v>38</v>
      </c>
      <c r="R13" s="190">
        <v>0</v>
      </c>
      <c r="S13" s="190">
        <v>0</v>
      </c>
      <c r="T13" s="190">
        <v>0</v>
      </c>
      <c r="U13" s="190">
        <v>0</v>
      </c>
      <c r="V13" s="190">
        <v>7</v>
      </c>
      <c r="W13" s="190">
        <v>7</v>
      </c>
      <c r="X13" s="190">
        <v>6</v>
      </c>
      <c r="Y13" s="190">
        <v>176</v>
      </c>
      <c r="Z13" s="190">
        <v>182</v>
      </c>
      <c r="AA13" s="190">
        <v>2</v>
      </c>
      <c r="AB13" s="190">
        <v>79</v>
      </c>
      <c r="AC13" s="190">
        <v>81</v>
      </c>
      <c r="AD13" s="190">
        <v>2</v>
      </c>
      <c r="AE13" s="190">
        <v>71</v>
      </c>
      <c r="AF13" s="190">
        <v>73</v>
      </c>
      <c r="AG13" s="190">
        <v>0</v>
      </c>
      <c r="AH13" s="190">
        <v>4</v>
      </c>
      <c r="AI13" s="190">
        <v>4</v>
      </c>
      <c r="AJ13" s="190">
        <v>0</v>
      </c>
      <c r="AK13" s="190">
        <v>4</v>
      </c>
      <c r="AL13" s="190">
        <v>4</v>
      </c>
      <c r="AM13" s="190">
        <v>4</v>
      </c>
      <c r="AN13" s="190">
        <v>97</v>
      </c>
      <c r="AO13" s="190">
        <v>101</v>
      </c>
      <c r="AP13" s="190">
        <v>357</v>
      </c>
      <c r="AQ13" s="190">
        <v>1982</v>
      </c>
      <c r="AR13" s="190">
        <v>2339</v>
      </c>
      <c r="AS13" s="190">
        <v>357</v>
      </c>
      <c r="AT13" s="190">
        <v>1982</v>
      </c>
      <c r="AU13" s="190">
        <v>2339</v>
      </c>
      <c r="AV13" s="190">
        <v>0</v>
      </c>
      <c r="AW13" s="190">
        <v>0</v>
      </c>
      <c r="AX13" s="190">
        <v>0</v>
      </c>
      <c r="AY13" s="190">
        <v>21</v>
      </c>
      <c r="AZ13" s="190">
        <v>217</v>
      </c>
      <c r="BA13" s="190">
        <v>238</v>
      </c>
      <c r="BB13" s="190">
        <v>11</v>
      </c>
      <c r="BC13" s="190">
        <v>0</v>
      </c>
      <c r="BD13" s="190">
        <v>0</v>
      </c>
      <c r="BE13" s="190">
        <v>95</v>
      </c>
      <c r="BF13" s="190">
        <v>0</v>
      </c>
      <c r="BG13" s="190">
        <v>0</v>
      </c>
      <c r="BH13" s="190">
        <v>11</v>
      </c>
      <c r="BI13" s="190">
        <v>95</v>
      </c>
      <c r="BJ13" s="190">
        <v>106</v>
      </c>
      <c r="BK13" s="190">
        <v>-3</v>
      </c>
      <c r="BL13" s="190">
        <v>3</v>
      </c>
      <c r="BM13" s="190">
        <v>0</v>
      </c>
      <c r="BN13" s="190">
        <v>0</v>
      </c>
      <c r="BO13" s="190">
        <v>7</v>
      </c>
      <c r="BP13" s="190">
        <v>7</v>
      </c>
      <c r="BQ13" s="190">
        <v>2</v>
      </c>
      <c r="BR13" s="190">
        <v>33</v>
      </c>
      <c r="BS13" s="190">
        <v>35</v>
      </c>
      <c r="BT13" s="190">
        <v>11</v>
      </c>
      <c r="BU13" s="190">
        <v>79</v>
      </c>
      <c r="BV13" s="190">
        <v>90</v>
      </c>
      <c r="BW13" s="190">
        <v>378</v>
      </c>
      <c r="BX13" s="190">
        <v>2199</v>
      </c>
      <c r="BY13" s="190">
        <v>2577</v>
      </c>
      <c r="BZ13" s="190">
        <v>377</v>
      </c>
      <c r="CA13" s="190">
        <v>2198</v>
      </c>
      <c r="CB13" s="190">
        <v>2575</v>
      </c>
      <c r="CC13" s="190">
        <v>5280</v>
      </c>
      <c r="CD13" s="190">
        <v>0</v>
      </c>
      <c r="CE13" s="190">
        <v>2</v>
      </c>
      <c r="CF13" s="190">
        <v>1</v>
      </c>
      <c r="CG13" s="190">
        <v>1</v>
      </c>
      <c r="CH13" s="190">
        <v>2</v>
      </c>
      <c r="CI13" s="190">
        <v>0</v>
      </c>
      <c r="CJ13" s="190">
        <v>0</v>
      </c>
      <c r="CK13" s="190">
        <v>0</v>
      </c>
      <c r="CL13" s="190">
        <v>0</v>
      </c>
      <c r="CM13" s="190">
        <v>0</v>
      </c>
      <c r="CN13" s="190">
        <v>26</v>
      </c>
      <c r="CO13" s="190">
        <v>208</v>
      </c>
      <c r="CP13" s="190">
        <v>234</v>
      </c>
      <c r="CQ13" s="190">
        <v>0</v>
      </c>
      <c r="CR13" s="190">
        <v>0</v>
      </c>
      <c r="CS13" s="190">
        <v>0</v>
      </c>
      <c r="CT13" s="190">
        <v>352</v>
      </c>
      <c r="CU13" s="190">
        <v>1991</v>
      </c>
      <c r="CV13" s="190">
        <v>2343</v>
      </c>
      <c r="CW13" s="190">
        <v>18</v>
      </c>
      <c r="CX13" s="190">
        <v>104</v>
      </c>
      <c r="CY13" s="190">
        <v>122</v>
      </c>
      <c r="CZ13" s="190">
        <v>18</v>
      </c>
      <c r="DA13" s="190">
        <v>0</v>
      </c>
      <c r="DB13" s="190">
        <v>0</v>
      </c>
      <c r="DC13" s="190">
        <v>104</v>
      </c>
      <c r="DD13" s="190">
        <v>0</v>
      </c>
      <c r="DE13" s="190">
        <v>0</v>
      </c>
      <c r="DF13" s="190">
        <v>18</v>
      </c>
      <c r="DG13" s="190">
        <v>104</v>
      </c>
      <c r="DH13" s="190">
        <v>122</v>
      </c>
      <c r="DI13" s="190">
        <v>0</v>
      </c>
      <c r="DJ13" s="190">
        <v>0</v>
      </c>
      <c r="DK13" s="190">
        <v>0</v>
      </c>
      <c r="DL13" s="190">
        <v>0</v>
      </c>
      <c r="DM13" s="190">
        <v>0</v>
      </c>
      <c r="DN13" s="190">
        <v>0</v>
      </c>
      <c r="DO13" s="190">
        <v>0</v>
      </c>
      <c r="DP13" s="190">
        <v>0</v>
      </c>
      <c r="DQ13" s="190">
        <v>0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511</v>
      </c>
      <c r="C14" s="190">
        <v>103</v>
      </c>
      <c r="D14" s="190">
        <v>538</v>
      </c>
      <c r="E14" s="190">
        <v>329</v>
      </c>
      <c r="F14" s="190">
        <v>0</v>
      </c>
      <c r="G14" s="190">
        <v>3</v>
      </c>
      <c r="H14" s="190">
        <v>3</v>
      </c>
      <c r="I14" s="190">
        <v>0</v>
      </c>
      <c r="J14" s="190">
        <v>195</v>
      </c>
      <c r="K14" s="190">
        <v>195</v>
      </c>
      <c r="L14" s="190">
        <v>0</v>
      </c>
      <c r="M14" s="190">
        <v>79</v>
      </c>
      <c r="N14" s="190">
        <v>79</v>
      </c>
      <c r="O14" s="190">
        <v>0</v>
      </c>
      <c r="P14" s="190">
        <v>116</v>
      </c>
      <c r="Q14" s="190">
        <v>116</v>
      </c>
      <c r="R14" s="190">
        <v>0</v>
      </c>
      <c r="S14" s="190">
        <v>0</v>
      </c>
      <c r="T14" s="190">
        <v>0</v>
      </c>
      <c r="U14" s="190">
        <v>0</v>
      </c>
      <c r="V14" s="190">
        <v>14</v>
      </c>
      <c r="W14" s="190">
        <v>14</v>
      </c>
      <c r="X14" s="190">
        <v>11</v>
      </c>
      <c r="Y14" s="190">
        <v>527</v>
      </c>
      <c r="Z14" s="190">
        <v>538</v>
      </c>
      <c r="AA14" s="190">
        <v>7</v>
      </c>
      <c r="AB14" s="190">
        <v>232</v>
      </c>
      <c r="AC14" s="190">
        <v>239</v>
      </c>
      <c r="AD14" s="190">
        <v>7</v>
      </c>
      <c r="AE14" s="190">
        <v>229</v>
      </c>
      <c r="AF14" s="190">
        <v>236</v>
      </c>
      <c r="AG14" s="190">
        <v>0</v>
      </c>
      <c r="AH14" s="190">
        <v>2</v>
      </c>
      <c r="AI14" s="190">
        <v>2</v>
      </c>
      <c r="AJ14" s="190">
        <v>0</v>
      </c>
      <c r="AK14" s="190">
        <v>1</v>
      </c>
      <c r="AL14" s="190">
        <v>1</v>
      </c>
      <c r="AM14" s="190">
        <v>4</v>
      </c>
      <c r="AN14" s="190">
        <v>295</v>
      </c>
      <c r="AO14" s="190">
        <v>299</v>
      </c>
      <c r="AP14" s="190">
        <v>501</v>
      </c>
      <c r="AQ14" s="190">
        <v>5947</v>
      </c>
      <c r="AR14" s="190">
        <v>6448</v>
      </c>
      <c r="AS14" s="190">
        <v>501</v>
      </c>
      <c r="AT14" s="190">
        <v>5947</v>
      </c>
      <c r="AU14" s="190">
        <v>6448</v>
      </c>
      <c r="AV14" s="190">
        <v>0</v>
      </c>
      <c r="AW14" s="190">
        <v>0</v>
      </c>
      <c r="AX14" s="190">
        <v>0</v>
      </c>
      <c r="AY14" s="190">
        <v>29</v>
      </c>
      <c r="AZ14" s="190">
        <v>592</v>
      </c>
      <c r="BA14" s="190">
        <v>621</v>
      </c>
      <c r="BB14" s="190">
        <v>12</v>
      </c>
      <c r="BC14" s="190">
        <v>0</v>
      </c>
      <c r="BD14" s="190">
        <v>0</v>
      </c>
      <c r="BE14" s="190">
        <v>316</v>
      </c>
      <c r="BF14" s="190">
        <v>1</v>
      </c>
      <c r="BG14" s="190">
        <v>0</v>
      </c>
      <c r="BH14" s="190">
        <v>12</v>
      </c>
      <c r="BI14" s="190">
        <v>317</v>
      </c>
      <c r="BJ14" s="190">
        <v>329</v>
      </c>
      <c r="BK14" s="190">
        <v>1</v>
      </c>
      <c r="BL14" s="190">
        <v>-1</v>
      </c>
      <c r="BM14" s="190">
        <v>0</v>
      </c>
      <c r="BN14" s="190">
        <v>0</v>
      </c>
      <c r="BO14" s="190">
        <v>21</v>
      </c>
      <c r="BP14" s="190">
        <v>21</v>
      </c>
      <c r="BQ14" s="190">
        <v>1</v>
      </c>
      <c r="BR14" s="190">
        <v>61</v>
      </c>
      <c r="BS14" s="190">
        <v>62</v>
      </c>
      <c r="BT14" s="190">
        <v>15</v>
      </c>
      <c r="BU14" s="190">
        <v>194</v>
      </c>
      <c r="BV14" s="190">
        <v>209</v>
      </c>
      <c r="BW14" s="190">
        <v>530</v>
      </c>
      <c r="BX14" s="190">
        <v>6539</v>
      </c>
      <c r="BY14" s="190">
        <v>7069</v>
      </c>
      <c r="BZ14" s="190">
        <v>529</v>
      </c>
      <c r="CA14" s="190">
        <v>6499</v>
      </c>
      <c r="CB14" s="190">
        <v>7028</v>
      </c>
      <c r="CC14" s="190">
        <v>12527</v>
      </c>
      <c r="CD14" s="190">
        <v>2</v>
      </c>
      <c r="CE14" s="190">
        <v>36</v>
      </c>
      <c r="CF14" s="190">
        <v>1</v>
      </c>
      <c r="CG14" s="190">
        <v>30</v>
      </c>
      <c r="CH14" s="190">
        <v>31</v>
      </c>
      <c r="CI14" s="190">
        <v>13</v>
      </c>
      <c r="CJ14" s="190">
        <v>0</v>
      </c>
      <c r="CK14" s="190">
        <v>0</v>
      </c>
      <c r="CL14" s="190">
        <v>10</v>
      </c>
      <c r="CM14" s="190">
        <v>10</v>
      </c>
      <c r="CN14" s="190">
        <v>43</v>
      </c>
      <c r="CO14" s="190">
        <v>629</v>
      </c>
      <c r="CP14" s="190">
        <v>672</v>
      </c>
      <c r="CQ14" s="190">
        <v>0</v>
      </c>
      <c r="CR14" s="190">
        <v>0</v>
      </c>
      <c r="CS14" s="190">
        <v>0</v>
      </c>
      <c r="CT14" s="190">
        <v>487</v>
      </c>
      <c r="CU14" s="190">
        <v>5910</v>
      </c>
      <c r="CV14" s="190">
        <v>6397</v>
      </c>
      <c r="CW14" s="190">
        <v>33</v>
      </c>
      <c r="CX14" s="190">
        <v>316</v>
      </c>
      <c r="CY14" s="190">
        <v>349</v>
      </c>
      <c r="CZ14" s="190">
        <v>33</v>
      </c>
      <c r="DA14" s="190">
        <v>0</v>
      </c>
      <c r="DB14" s="190">
        <v>0</v>
      </c>
      <c r="DC14" s="190">
        <v>306</v>
      </c>
      <c r="DD14" s="190">
        <v>1</v>
      </c>
      <c r="DE14" s="190">
        <v>2</v>
      </c>
      <c r="DF14" s="190">
        <v>33</v>
      </c>
      <c r="DG14" s="190">
        <v>309</v>
      </c>
      <c r="DH14" s="190">
        <v>342</v>
      </c>
      <c r="DI14" s="190">
        <v>0</v>
      </c>
      <c r="DJ14" s="190">
        <v>0</v>
      </c>
      <c r="DK14" s="190">
        <v>0</v>
      </c>
      <c r="DL14" s="190">
        <v>7</v>
      </c>
      <c r="DM14" s="190">
        <v>0</v>
      </c>
      <c r="DN14" s="190">
        <v>0</v>
      </c>
      <c r="DO14" s="190">
        <v>0</v>
      </c>
      <c r="DP14" s="190">
        <v>7</v>
      </c>
      <c r="DQ14" s="190">
        <v>7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3787</v>
      </c>
      <c r="C15" s="190">
        <v>1528</v>
      </c>
      <c r="D15" s="190">
        <v>4130</v>
      </c>
      <c r="E15" s="190">
        <v>2937</v>
      </c>
      <c r="F15" s="190">
        <v>29</v>
      </c>
      <c r="G15" s="190">
        <v>100</v>
      </c>
      <c r="H15" s="190">
        <v>129</v>
      </c>
      <c r="I15" s="190">
        <v>2</v>
      </c>
      <c r="J15" s="190">
        <v>1107</v>
      </c>
      <c r="K15" s="190">
        <v>1109</v>
      </c>
      <c r="L15" s="190">
        <v>2</v>
      </c>
      <c r="M15" s="190">
        <v>1106</v>
      </c>
      <c r="N15" s="190">
        <v>1108</v>
      </c>
      <c r="O15" s="190">
        <v>0</v>
      </c>
      <c r="P15" s="190">
        <v>1</v>
      </c>
      <c r="Q15" s="190">
        <v>1</v>
      </c>
      <c r="R15" s="190">
        <v>0</v>
      </c>
      <c r="S15" s="190">
        <v>265</v>
      </c>
      <c r="T15" s="190">
        <v>265</v>
      </c>
      <c r="U15" s="190">
        <v>0</v>
      </c>
      <c r="V15" s="190">
        <v>84</v>
      </c>
      <c r="W15" s="190">
        <v>84</v>
      </c>
      <c r="X15" s="190">
        <v>56</v>
      </c>
      <c r="Y15" s="190">
        <v>3159</v>
      </c>
      <c r="Z15" s="190">
        <v>3215</v>
      </c>
      <c r="AA15" s="190">
        <v>22</v>
      </c>
      <c r="AB15" s="190">
        <v>1372</v>
      </c>
      <c r="AC15" s="190">
        <v>1394</v>
      </c>
      <c r="AD15" s="190">
        <v>21</v>
      </c>
      <c r="AE15" s="190">
        <v>1320</v>
      </c>
      <c r="AF15" s="190">
        <v>1341</v>
      </c>
      <c r="AG15" s="190">
        <v>1</v>
      </c>
      <c r="AH15" s="190">
        <v>37</v>
      </c>
      <c r="AI15" s="190">
        <v>38</v>
      </c>
      <c r="AJ15" s="190">
        <v>0</v>
      </c>
      <c r="AK15" s="190">
        <v>15</v>
      </c>
      <c r="AL15" s="190">
        <v>15</v>
      </c>
      <c r="AM15" s="190">
        <v>34</v>
      </c>
      <c r="AN15" s="190">
        <v>1787</v>
      </c>
      <c r="AO15" s="190">
        <v>1821</v>
      </c>
      <c r="AP15" s="190">
        <v>12180</v>
      </c>
      <c r="AQ15" s="190">
        <v>75531</v>
      </c>
      <c r="AR15" s="190">
        <v>87711</v>
      </c>
      <c r="AS15" s="190">
        <v>11752</v>
      </c>
      <c r="AT15" s="190">
        <v>71928</v>
      </c>
      <c r="AU15" s="190">
        <v>83680</v>
      </c>
      <c r="AV15" s="190">
        <v>428</v>
      </c>
      <c r="AW15" s="190">
        <v>3603</v>
      </c>
      <c r="AX15" s="190">
        <v>4031</v>
      </c>
      <c r="AY15" s="190">
        <v>141</v>
      </c>
      <c r="AZ15" s="190">
        <v>2897</v>
      </c>
      <c r="BA15" s="190">
        <v>3038</v>
      </c>
      <c r="BB15" s="190">
        <v>228</v>
      </c>
      <c r="BC15" s="190">
        <v>4</v>
      </c>
      <c r="BD15" s="190">
        <v>2</v>
      </c>
      <c r="BE15" s="190">
        <v>2643</v>
      </c>
      <c r="BF15" s="190">
        <v>31</v>
      </c>
      <c r="BG15" s="190">
        <v>29</v>
      </c>
      <c r="BH15" s="190">
        <v>234</v>
      </c>
      <c r="BI15" s="190">
        <v>2703</v>
      </c>
      <c r="BJ15" s="190">
        <v>2937</v>
      </c>
      <c r="BK15" s="190">
        <v>-102</v>
      </c>
      <c r="BL15" s="190">
        <v>102</v>
      </c>
      <c r="BM15" s="190">
        <v>0</v>
      </c>
      <c r="BN15" s="190">
        <v>7</v>
      </c>
      <c r="BO15" s="190">
        <v>60</v>
      </c>
      <c r="BP15" s="190">
        <v>67</v>
      </c>
      <c r="BQ15" s="190">
        <v>1</v>
      </c>
      <c r="BR15" s="190">
        <v>10</v>
      </c>
      <c r="BS15" s="190">
        <v>11</v>
      </c>
      <c r="BT15" s="190">
        <v>1</v>
      </c>
      <c r="BU15" s="190">
        <v>22</v>
      </c>
      <c r="BV15" s="190">
        <v>23</v>
      </c>
      <c r="BW15" s="190">
        <v>12321</v>
      </c>
      <c r="BX15" s="190">
        <v>78428</v>
      </c>
      <c r="BY15" s="190">
        <v>90749</v>
      </c>
      <c r="BZ15" s="190">
        <v>12108</v>
      </c>
      <c r="CA15" s="190">
        <v>77533</v>
      </c>
      <c r="CB15" s="190">
        <v>89641</v>
      </c>
      <c r="CC15" s="190">
        <v>209731</v>
      </c>
      <c r="CD15" s="190">
        <v>82</v>
      </c>
      <c r="CE15" s="190">
        <v>935</v>
      </c>
      <c r="CF15" s="190">
        <v>196</v>
      </c>
      <c r="CG15" s="190">
        <v>679</v>
      </c>
      <c r="CH15" s="190">
        <v>875</v>
      </c>
      <c r="CI15" s="190">
        <v>259</v>
      </c>
      <c r="CJ15" s="190">
        <v>35</v>
      </c>
      <c r="CK15" s="190">
        <v>17</v>
      </c>
      <c r="CL15" s="190">
        <v>216</v>
      </c>
      <c r="CM15" s="190">
        <v>233</v>
      </c>
      <c r="CN15" s="190">
        <v>683</v>
      </c>
      <c r="CO15" s="190">
        <v>6390</v>
      </c>
      <c r="CP15" s="190">
        <v>7073</v>
      </c>
      <c r="CQ15" s="190">
        <v>0</v>
      </c>
      <c r="CR15" s="190">
        <v>0</v>
      </c>
      <c r="CS15" s="190">
        <v>0</v>
      </c>
      <c r="CT15" s="190">
        <v>11638</v>
      </c>
      <c r="CU15" s="190">
        <v>72038</v>
      </c>
      <c r="CV15" s="190">
        <v>83676</v>
      </c>
      <c r="CW15" s="190">
        <v>903</v>
      </c>
      <c r="CX15" s="190">
        <v>5023</v>
      </c>
      <c r="CY15" s="190">
        <v>5926</v>
      </c>
      <c r="CZ15" s="190">
        <v>807</v>
      </c>
      <c r="DA15" s="190">
        <v>15</v>
      </c>
      <c r="DB15" s="190">
        <v>1</v>
      </c>
      <c r="DC15" s="190">
        <v>4082</v>
      </c>
      <c r="DD15" s="190">
        <v>49</v>
      </c>
      <c r="DE15" s="190">
        <v>3</v>
      </c>
      <c r="DF15" s="190">
        <v>823</v>
      </c>
      <c r="DG15" s="190">
        <v>4134</v>
      </c>
      <c r="DH15" s="190">
        <v>4957</v>
      </c>
      <c r="DI15" s="190">
        <v>80</v>
      </c>
      <c r="DJ15" s="190">
        <v>0</v>
      </c>
      <c r="DK15" s="190">
        <v>0</v>
      </c>
      <c r="DL15" s="190">
        <v>880</v>
      </c>
      <c r="DM15" s="190">
        <v>9</v>
      </c>
      <c r="DN15" s="190">
        <v>0</v>
      </c>
      <c r="DO15" s="190">
        <v>80</v>
      </c>
      <c r="DP15" s="190">
        <v>889</v>
      </c>
      <c r="DQ15" s="190">
        <v>969</v>
      </c>
      <c r="DR15" s="190">
        <v>5</v>
      </c>
      <c r="DS15" s="190">
        <v>29</v>
      </c>
      <c r="DT15" s="191">
        <v>34</v>
      </c>
    </row>
    <row r="16" spans="1:129" s="172" customFormat="1">
      <c r="A16" s="189" t="s">
        <v>281</v>
      </c>
      <c r="B16" s="190">
        <v>115</v>
      </c>
      <c r="C16" s="190">
        <v>15</v>
      </c>
      <c r="D16" s="190">
        <v>111</v>
      </c>
      <c r="E16" s="190">
        <v>69</v>
      </c>
      <c r="F16" s="190">
        <v>0</v>
      </c>
      <c r="G16" s="190">
        <v>2</v>
      </c>
      <c r="H16" s="190">
        <v>2</v>
      </c>
      <c r="I16" s="190">
        <v>0</v>
      </c>
      <c r="J16" s="190">
        <v>36</v>
      </c>
      <c r="K16" s="190">
        <v>36</v>
      </c>
      <c r="L16" s="190">
        <v>0</v>
      </c>
      <c r="M16" s="190">
        <v>11</v>
      </c>
      <c r="N16" s="190">
        <v>11</v>
      </c>
      <c r="O16" s="190">
        <v>0</v>
      </c>
      <c r="P16" s="190">
        <v>25</v>
      </c>
      <c r="Q16" s="190">
        <v>25</v>
      </c>
      <c r="R16" s="190">
        <v>0</v>
      </c>
      <c r="S16" s="190">
        <v>1</v>
      </c>
      <c r="T16" s="190">
        <v>1</v>
      </c>
      <c r="U16" s="190">
        <v>0</v>
      </c>
      <c r="V16" s="190">
        <v>6</v>
      </c>
      <c r="W16" s="190">
        <v>6</v>
      </c>
      <c r="X16" s="190">
        <v>5</v>
      </c>
      <c r="Y16" s="190">
        <v>106</v>
      </c>
      <c r="Z16" s="190">
        <v>111</v>
      </c>
      <c r="AA16" s="190">
        <v>4</v>
      </c>
      <c r="AB16" s="190">
        <v>50</v>
      </c>
      <c r="AC16" s="190">
        <v>54</v>
      </c>
      <c r="AD16" s="190">
        <v>3</v>
      </c>
      <c r="AE16" s="190">
        <v>50</v>
      </c>
      <c r="AF16" s="190">
        <v>53</v>
      </c>
      <c r="AG16" s="190">
        <v>1</v>
      </c>
      <c r="AH16" s="190">
        <v>0</v>
      </c>
      <c r="AI16" s="190">
        <v>1</v>
      </c>
      <c r="AJ16" s="190">
        <v>0</v>
      </c>
      <c r="AK16" s="190">
        <v>0</v>
      </c>
      <c r="AL16" s="190">
        <v>0</v>
      </c>
      <c r="AM16" s="190">
        <v>1</v>
      </c>
      <c r="AN16" s="190">
        <v>56</v>
      </c>
      <c r="AO16" s="190">
        <v>57</v>
      </c>
      <c r="AP16" s="190">
        <v>200</v>
      </c>
      <c r="AQ16" s="190">
        <v>1260</v>
      </c>
      <c r="AR16" s="190">
        <v>1460</v>
      </c>
      <c r="AS16" s="190">
        <v>200</v>
      </c>
      <c r="AT16" s="190">
        <v>1260</v>
      </c>
      <c r="AU16" s="190">
        <v>1460</v>
      </c>
      <c r="AV16" s="190">
        <v>0</v>
      </c>
      <c r="AW16" s="190">
        <v>0</v>
      </c>
      <c r="AX16" s="190">
        <v>0</v>
      </c>
      <c r="AY16" s="190">
        <v>17</v>
      </c>
      <c r="AZ16" s="190">
        <v>101</v>
      </c>
      <c r="BA16" s="190">
        <v>118</v>
      </c>
      <c r="BB16" s="190">
        <v>5</v>
      </c>
      <c r="BC16" s="190">
        <v>0</v>
      </c>
      <c r="BD16" s="190">
        <v>0</v>
      </c>
      <c r="BE16" s="190">
        <v>63</v>
      </c>
      <c r="BF16" s="190">
        <v>1</v>
      </c>
      <c r="BG16" s="190">
        <v>0</v>
      </c>
      <c r="BH16" s="190">
        <v>5</v>
      </c>
      <c r="BI16" s="190">
        <v>64</v>
      </c>
      <c r="BJ16" s="190">
        <v>69</v>
      </c>
      <c r="BK16" s="190">
        <v>6</v>
      </c>
      <c r="BL16" s="190">
        <v>-6</v>
      </c>
      <c r="BM16" s="190">
        <v>0</v>
      </c>
      <c r="BN16" s="190">
        <v>1</v>
      </c>
      <c r="BO16" s="190">
        <v>3</v>
      </c>
      <c r="BP16" s="190">
        <v>4</v>
      </c>
      <c r="BQ16" s="190">
        <v>2</v>
      </c>
      <c r="BR16" s="190">
        <v>11</v>
      </c>
      <c r="BS16" s="190">
        <v>13</v>
      </c>
      <c r="BT16" s="190">
        <v>3</v>
      </c>
      <c r="BU16" s="190">
        <v>29</v>
      </c>
      <c r="BV16" s="190">
        <v>32</v>
      </c>
      <c r="BW16" s="190">
        <v>217</v>
      </c>
      <c r="BX16" s="190">
        <v>1361</v>
      </c>
      <c r="BY16" s="190">
        <v>1578</v>
      </c>
      <c r="BZ16" s="190">
        <v>216</v>
      </c>
      <c r="CA16" s="190">
        <v>1353</v>
      </c>
      <c r="CB16" s="190">
        <v>1569</v>
      </c>
      <c r="CC16" s="190">
        <v>3637</v>
      </c>
      <c r="CD16" s="190">
        <v>0</v>
      </c>
      <c r="CE16" s="190">
        <v>8</v>
      </c>
      <c r="CF16" s="190">
        <v>1</v>
      </c>
      <c r="CG16" s="190">
        <v>7</v>
      </c>
      <c r="CH16" s="190">
        <v>8</v>
      </c>
      <c r="CI16" s="190">
        <v>0</v>
      </c>
      <c r="CJ16" s="190">
        <v>1</v>
      </c>
      <c r="CK16" s="190">
        <v>0</v>
      </c>
      <c r="CL16" s="190">
        <v>1</v>
      </c>
      <c r="CM16" s="190">
        <v>1</v>
      </c>
      <c r="CN16" s="190">
        <v>13</v>
      </c>
      <c r="CO16" s="190">
        <v>115</v>
      </c>
      <c r="CP16" s="190">
        <v>128</v>
      </c>
      <c r="CQ16" s="190">
        <v>0</v>
      </c>
      <c r="CR16" s="190">
        <v>2</v>
      </c>
      <c r="CS16" s="190">
        <v>2</v>
      </c>
      <c r="CT16" s="190">
        <v>204</v>
      </c>
      <c r="CU16" s="190">
        <v>1246</v>
      </c>
      <c r="CV16" s="190">
        <v>1450</v>
      </c>
      <c r="CW16" s="190">
        <v>14</v>
      </c>
      <c r="CX16" s="190">
        <v>68</v>
      </c>
      <c r="CY16" s="190">
        <v>82</v>
      </c>
      <c r="CZ16" s="190">
        <v>14</v>
      </c>
      <c r="DA16" s="190">
        <v>0</v>
      </c>
      <c r="DB16" s="190">
        <v>0</v>
      </c>
      <c r="DC16" s="190">
        <v>66</v>
      </c>
      <c r="DD16" s="190">
        <v>1</v>
      </c>
      <c r="DE16" s="190">
        <v>0</v>
      </c>
      <c r="DF16" s="190">
        <v>14</v>
      </c>
      <c r="DG16" s="190">
        <v>67</v>
      </c>
      <c r="DH16" s="190">
        <v>81</v>
      </c>
      <c r="DI16" s="190">
        <v>0</v>
      </c>
      <c r="DJ16" s="190">
        <v>0</v>
      </c>
      <c r="DK16" s="190">
        <v>0</v>
      </c>
      <c r="DL16" s="190">
        <v>1</v>
      </c>
      <c r="DM16" s="190">
        <v>0</v>
      </c>
      <c r="DN16" s="190">
        <v>0</v>
      </c>
      <c r="DO16" s="190">
        <v>0</v>
      </c>
      <c r="DP16" s="190">
        <v>1</v>
      </c>
      <c r="DQ16" s="190">
        <v>1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949</v>
      </c>
      <c r="C17" s="190">
        <v>194</v>
      </c>
      <c r="D17" s="190">
        <v>1087</v>
      </c>
      <c r="E17" s="190">
        <v>597</v>
      </c>
      <c r="F17" s="190">
        <v>2</v>
      </c>
      <c r="G17" s="190">
        <v>7</v>
      </c>
      <c r="H17" s="190">
        <v>9</v>
      </c>
      <c r="I17" s="190">
        <v>0</v>
      </c>
      <c r="J17" s="190">
        <v>454</v>
      </c>
      <c r="K17" s="190">
        <v>454</v>
      </c>
      <c r="L17" s="190">
        <v>0</v>
      </c>
      <c r="M17" s="190">
        <v>183</v>
      </c>
      <c r="N17" s="190">
        <v>183</v>
      </c>
      <c r="O17" s="190">
        <v>0</v>
      </c>
      <c r="P17" s="190">
        <v>271</v>
      </c>
      <c r="Q17" s="190">
        <v>271</v>
      </c>
      <c r="R17" s="190">
        <v>0</v>
      </c>
      <c r="S17" s="190">
        <v>6</v>
      </c>
      <c r="T17" s="190">
        <v>6</v>
      </c>
      <c r="U17" s="190">
        <v>0</v>
      </c>
      <c r="V17" s="190">
        <v>36</v>
      </c>
      <c r="W17" s="190">
        <v>36</v>
      </c>
      <c r="X17" s="190">
        <v>17</v>
      </c>
      <c r="Y17" s="190">
        <v>1070</v>
      </c>
      <c r="Z17" s="190">
        <v>1087</v>
      </c>
      <c r="AA17" s="190">
        <v>10</v>
      </c>
      <c r="AB17" s="190">
        <v>400</v>
      </c>
      <c r="AC17" s="190">
        <v>410</v>
      </c>
      <c r="AD17" s="190">
        <v>10</v>
      </c>
      <c r="AE17" s="190">
        <v>392</v>
      </c>
      <c r="AF17" s="190">
        <v>402</v>
      </c>
      <c r="AG17" s="190">
        <v>0</v>
      </c>
      <c r="AH17" s="190">
        <v>5</v>
      </c>
      <c r="AI17" s="190">
        <v>5</v>
      </c>
      <c r="AJ17" s="190">
        <v>0</v>
      </c>
      <c r="AK17" s="190">
        <v>3</v>
      </c>
      <c r="AL17" s="190">
        <v>3</v>
      </c>
      <c r="AM17" s="190">
        <v>7</v>
      </c>
      <c r="AN17" s="190">
        <v>670</v>
      </c>
      <c r="AO17" s="190">
        <v>677</v>
      </c>
      <c r="AP17" s="190">
        <v>821</v>
      </c>
      <c r="AQ17" s="190">
        <v>10542</v>
      </c>
      <c r="AR17" s="190">
        <v>11363</v>
      </c>
      <c r="AS17" s="190">
        <v>821</v>
      </c>
      <c r="AT17" s="190">
        <v>10542</v>
      </c>
      <c r="AU17" s="190">
        <v>11363</v>
      </c>
      <c r="AV17" s="190">
        <v>0</v>
      </c>
      <c r="AW17" s="190">
        <v>0</v>
      </c>
      <c r="AX17" s="190">
        <v>0</v>
      </c>
      <c r="AY17" s="190">
        <v>46</v>
      </c>
      <c r="AZ17" s="190">
        <v>1146</v>
      </c>
      <c r="BA17" s="190">
        <v>1192</v>
      </c>
      <c r="BB17" s="190">
        <v>16</v>
      </c>
      <c r="BC17" s="190">
        <v>0</v>
      </c>
      <c r="BD17" s="190">
        <v>0</v>
      </c>
      <c r="BE17" s="190">
        <v>579</v>
      </c>
      <c r="BF17" s="190">
        <v>2</v>
      </c>
      <c r="BG17" s="190">
        <v>0</v>
      </c>
      <c r="BH17" s="190">
        <v>16</v>
      </c>
      <c r="BI17" s="190">
        <v>581</v>
      </c>
      <c r="BJ17" s="190">
        <v>597</v>
      </c>
      <c r="BK17" s="190">
        <v>3</v>
      </c>
      <c r="BL17" s="190">
        <v>-3</v>
      </c>
      <c r="BM17" s="190">
        <v>0</v>
      </c>
      <c r="BN17" s="190">
        <v>3</v>
      </c>
      <c r="BO17" s="190">
        <v>17</v>
      </c>
      <c r="BP17" s="190">
        <v>20</v>
      </c>
      <c r="BQ17" s="190">
        <v>1</v>
      </c>
      <c r="BR17" s="190">
        <v>125</v>
      </c>
      <c r="BS17" s="190">
        <v>126</v>
      </c>
      <c r="BT17" s="190">
        <v>23</v>
      </c>
      <c r="BU17" s="190">
        <v>426</v>
      </c>
      <c r="BV17" s="190">
        <v>449</v>
      </c>
      <c r="BW17" s="190">
        <v>867</v>
      </c>
      <c r="BX17" s="190">
        <v>11688</v>
      </c>
      <c r="BY17" s="190">
        <v>12555</v>
      </c>
      <c r="BZ17" s="190">
        <v>865</v>
      </c>
      <c r="CA17" s="190">
        <v>11657</v>
      </c>
      <c r="CB17" s="190">
        <v>12522</v>
      </c>
      <c r="CC17" s="190">
        <v>21022</v>
      </c>
      <c r="CD17" s="190">
        <v>8</v>
      </c>
      <c r="CE17" s="190">
        <v>27</v>
      </c>
      <c r="CF17" s="190">
        <v>2</v>
      </c>
      <c r="CG17" s="190">
        <v>27</v>
      </c>
      <c r="CH17" s="190">
        <v>29</v>
      </c>
      <c r="CI17" s="190">
        <v>4</v>
      </c>
      <c r="CJ17" s="190">
        <v>1</v>
      </c>
      <c r="CK17" s="190">
        <v>0</v>
      </c>
      <c r="CL17" s="190">
        <v>4</v>
      </c>
      <c r="CM17" s="190">
        <v>4</v>
      </c>
      <c r="CN17" s="190">
        <v>54</v>
      </c>
      <c r="CO17" s="190">
        <v>1238</v>
      </c>
      <c r="CP17" s="190">
        <v>1292</v>
      </c>
      <c r="CQ17" s="190">
        <v>0</v>
      </c>
      <c r="CR17" s="190">
        <v>21</v>
      </c>
      <c r="CS17" s="190">
        <v>21</v>
      </c>
      <c r="CT17" s="190">
        <v>813</v>
      </c>
      <c r="CU17" s="190">
        <v>10450</v>
      </c>
      <c r="CV17" s="190">
        <v>11263</v>
      </c>
      <c r="CW17" s="190">
        <v>50</v>
      </c>
      <c r="CX17" s="190">
        <v>445</v>
      </c>
      <c r="CY17" s="190">
        <v>495</v>
      </c>
      <c r="CZ17" s="190">
        <v>48</v>
      </c>
      <c r="DA17" s="190">
        <v>0</v>
      </c>
      <c r="DB17" s="190">
        <v>0</v>
      </c>
      <c r="DC17" s="190">
        <v>441</v>
      </c>
      <c r="DD17" s="190">
        <v>1</v>
      </c>
      <c r="DE17" s="190">
        <v>0</v>
      </c>
      <c r="DF17" s="190">
        <v>48</v>
      </c>
      <c r="DG17" s="190">
        <v>442</v>
      </c>
      <c r="DH17" s="190">
        <v>490</v>
      </c>
      <c r="DI17" s="190">
        <v>2</v>
      </c>
      <c r="DJ17" s="190">
        <v>0</v>
      </c>
      <c r="DK17" s="190">
        <v>0</v>
      </c>
      <c r="DL17" s="190">
        <v>3</v>
      </c>
      <c r="DM17" s="190">
        <v>0</v>
      </c>
      <c r="DN17" s="190">
        <v>0</v>
      </c>
      <c r="DO17" s="190">
        <v>2</v>
      </c>
      <c r="DP17" s="190">
        <v>3</v>
      </c>
      <c r="DQ17" s="190">
        <v>5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905</v>
      </c>
      <c r="C18" s="190">
        <v>106</v>
      </c>
      <c r="D18" s="190">
        <v>945</v>
      </c>
      <c r="E18" s="190">
        <v>622</v>
      </c>
      <c r="F18" s="190">
        <v>1</v>
      </c>
      <c r="G18" s="190">
        <v>11</v>
      </c>
      <c r="H18" s="190">
        <v>12</v>
      </c>
      <c r="I18" s="190">
        <v>2</v>
      </c>
      <c r="J18" s="190">
        <v>287</v>
      </c>
      <c r="K18" s="190">
        <v>289</v>
      </c>
      <c r="L18" s="190">
        <v>2</v>
      </c>
      <c r="M18" s="190">
        <v>143</v>
      </c>
      <c r="N18" s="190">
        <v>145</v>
      </c>
      <c r="O18" s="190">
        <v>0</v>
      </c>
      <c r="P18" s="190">
        <v>144</v>
      </c>
      <c r="Q18" s="190">
        <v>144</v>
      </c>
      <c r="R18" s="190">
        <v>0</v>
      </c>
      <c r="S18" s="190">
        <v>2</v>
      </c>
      <c r="T18" s="190">
        <v>2</v>
      </c>
      <c r="U18" s="190">
        <v>0</v>
      </c>
      <c r="V18" s="190">
        <v>34</v>
      </c>
      <c r="W18" s="190">
        <v>34</v>
      </c>
      <c r="X18" s="190">
        <v>20</v>
      </c>
      <c r="Y18" s="190">
        <v>923</v>
      </c>
      <c r="Z18" s="190">
        <v>943</v>
      </c>
      <c r="AA18" s="190">
        <v>8</v>
      </c>
      <c r="AB18" s="190">
        <v>357</v>
      </c>
      <c r="AC18" s="190">
        <v>365</v>
      </c>
      <c r="AD18" s="190">
        <v>7</v>
      </c>
      <c r="AE18" s="190">
        <v>333</v>
      </c>
      <c r="AF18" s="190">
        <v>340</v>
      </c>
      <c r="AG18" s="190">
        <v>1</v>
      </c>
      <c r="AH18" s="190">
        <v>14</v>
      </c>
      <c r="AI18" s="190">
        <v>15</v>
      </c>
      <c r="AJ18" s="190">
        <v>0</v>
      </c>
      <c r="AK18" s="190">
        <v>10</v>
      </c>
      <c r="AL18" s="190">
        <v>10</v>
      </c>
      <c r="AM18" s="190">
        <v>12</v>
      </c>
      <c r="AN18" s="190">
        <v>566</v>
      </c>
      <c r="AO18" s="190">
        <v>578</v>
      </c>
      <c r="AP18" s="190">
        <v>2242</v>
      </c>
      <c r="AQ18" s="190">
        <v>14224</v>
      </c>
      <c r="AR18" s="190">
        <v>16466</v>
      </c>
      <c r="AS18" s="190">
        <v>2242</v>
      </c>
      <c r="AT18" s="190">
        <v>14225</v>
      </c>
      <c r="AU18" s="190">
        <v>16467</v>
      </c>
      <c r="AV18" s="190">
        <v>0</v>
      </c>
      <c r="AW18" s="190">
        <v>-1</v>
      </c>
      <c r="AX18" s="190">
        <v>-1</v>
      </c>
      <c r="AY18" s="190">
        <v>60</v>
      </c>
      <c r="AZ18" s="190">
        <v>1000</v>
      </c>
      <c r="BA18" s="190">
        <v>1060</v>
      </c>
      <c r="BB18" s="190">
        <v>24</v>
      </c>
      <c r="BC18" s="190">
        <v>1</v>
      </c>
      <c r="BD18" s="190">
        <v>0</v>
      </c>
      <c r="BE18" s="190">
        <v>578</v>
      </c>
      <c r="BF18" s="190">
        <v>14</v>
      </c>
      <c r="BG18" s="190">
        <v>5</v>
      </c>
      <c r="BH18" s="190">
        <v>25</v>
      </c>
      <c r="BI18" s="190">
        <v>597</v>
      </c>
      <c r="BJ18" s="190">
        <v>622</v>
      </c>
      <c r="BK18" s="190">
        <v>-7</v>
      </c>
      <c r="BL18" s="190">
        <v>7</v>
      </c>
      <c r="BM18" s="190">
        <v>0</v>
      </c>
      <c r="BN18" s="190">
        <v>0</v>
      </c>
      <c r="BO18" s="190">
        <v>12</v>
      </c>
      <c r="BP18" s="190">
        <v>12</v>
      </c>
      <c r="BQ18" s="190">
        <v>13</v>
      </c>
      <c r="BR18" s="190">
        <v>156</v>
      </c>
      <c r="BS18" s="190">
        <v>169</v>
      </c>
      <c r="BT18" s="190">
        <v>29</v>
      </c>
      <c r="BU18" s="190">
        <v>228</v>
      </c>
      <c r="BV18" s="190">
        <v>257</v>
      </c>
      <c r="BW18" s="190">
        <v>2302</v>
      </c>
      <c r="BX18" s="190">
        <v>15224</v>
      </c>
      <c r="BY18" s="190">
        <v>17526</v>
      </c>
      <c r="BZ18" s="190">
        <v>2267</v>
      </c>
      <c r="CA18" s="190">
        <v>14840</v>
      </c>
      <c r="CB18" s="190">
        <v>17107</v>
      </c>
      <c r="CC18" s="190">
        <v>42006</v>
      </c>
      <c r="CD18" s="190">
        <v>34</v>
      </c>
      <c r="CE18" s="190">
        <v>354</v>
      </c>
      <c r="CF18" s="190">
        <v>31</v>
      </c>
      <c r="CG18" s="190">
        <v>335</v>
      </c>
      <c r="CH18" s="190">
        <v>366</v>
      </c>
      <c r="CI18" s="190">
        <v>52</v>
      </c>
      <c r="CJ18" s="190">
        <v>6</v>
      </c>
      <c r="CK18" s="190">
        <v>4</v>
      </c>
      <c r="CL18" s="190">
        <v>49</v>
      </c>
      <c r="CM18" s="190">
        <v>53</v>
      </c>
      <c r="CN18" s="190">
        <v>88</v>
      </c>
      <c r="CO18" s="190">
        <v>1181</v>
      </c>
      <c r="CP18" s="190">
        <v>1269</v>
      </c>
      <c r="CQ18" s="190">
        <v>0</v>
      </c>
      <c r="CR18" s="190">
        <v>1</v>
      </c>
      <c r="CS18" s="190">
        <v>1</v>
      </c>
      <c r="CT18" s="190">
        <v>2214</v>
      </c>
      <c r="CU18" s="190">
        <v>14043</v>
      </c>
      <c r="CV18" s="190">
        <v>16257</v>
      </c>
      <c r="CW18" s="190">
        <v>151</v>
      </c>
      <c r="CX18" s="190">
        <v>668</v>
      </c>
      <c r="CY18" s="190">
        <v>819</v>
      </c>
      <c r="CZ18" s="190">
        <v>149</v>
      </c>
      <c r="DA18" s="190">
        <v>1</v>
      </c>
      <c r="DB18" s="190">
        <v>1</v>
      </c>
      <c r="DC18" s="190">
        <v>641</v>
      </c>
      <c r="DD18" s="190">
        <v>12</v>
      </c>
      <c r="DE18" s="190">
        <v>2</v>
      </c>
      <c r="DF18" s="190">
        <v>151</v>
      </c>
      <c r="DG18" s="190">
        <v>655</v>
      </c>
      <c r="DH18" s="190">
        <v>806</v>
      </c>
      <c r="DI18" s="190">
        <v>0</v>
      </c>
      <c r="DJ18" s="190">
        <v>0</v>
      </c>
      <c r="DK18" s="190">
        <v>0</v>
      </c>
      <c r="DL18" s="190">
        <v>12</v>
      </c>
      <c r="DM18" s="190">
        <v>1</v>
      </c>
      <c r="DN18" s="190">
        <v>0</v>
      </c>
      <c r="DO18" s="190">
        <v>0</v>
      </c>
      <c r="DP18" s="190">
        <v>13</v>
      </c>
      <c r="DQ18" s="190">
        <v>13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65</v>
      </c>
      <c r="C19" s="190">
        <v>6</v>
      </c>
      <c r="D19" s="190">
        <v>72</v>
      </c>
      <c r="E19" s="190">
        <v>56</v>
      </c>
      <c r="F19" s="190">
        <v>0</v>
      </c>
      <c r="G19" s="190">
        <v>0</v>
      </c>
      <c r="H19" s="190">
        <v>0</v>
      </c>
      <c r="I19" s="190">
        <v>0</v>
      </c>
      <c r="J19" s="190">
        <v>15</v>
      </c>
      <c r="K19" s="190">
        <v>15</v>
      </c>
      <c r="L19" s="190">
        <v>0</v>
      </c>
      <c r="M19" s="190">
        <v>4</v>
      </c>
      <c r="N19" s="190">
        <v>4</v>
      </c>
      <c r="O19" s="190">
        <v>0</v>
      </c>
      <c r="P19" s="190">
        <v>11</v>
      </c>
      <c r="Q19" s="190">
        <v>11</v>
      </c>
      <c r="R19" s="190">
        <v>0</v>
      </c>
      <c r="S19" s="190">
        <v>1</v>
      </c>
      <c r="T19" s="190">
        <v>1</v>
      </c>
      <c r="U19" s="190">
        <v>0</v>
      </c>
      <c r="V19" s="190">
        <v>1</v>
      </c>
      <c r="W19" s="190">
        <v>1</v>
      </c>
      <c r="X19" s="190">
        <v>3</v>
      </c>
      <c r="Y19" s="190">
        <v>69</v>
      </c>
      <c r="Z19" s="190">
        <v>72</v>
      </c>
      <c r="AA19" s="190">
        <v>1</v>
      </c>
      <c r="AB19" s="190">
        <v>27</v>
      </c>
      <c r="AC19" s="190">
        <v>28</v>
      </c>
      <c r="AD19" s="190">
        <v>1</v>
      </c>
      <c r="AE19" s="190">
        <v>25</v>
      </c>
      <c r="AF19" s="190">
        <v>26</v>
      </c>
      <c r="AG19" s="190">
        <v>0</v>
      </c>
      <c r="AH19" s="190">
        <v>2</v>
      </c>
      <c r="AI19" s="190">
        <v>2</v>
      </c>
      <c r="AJ19" s="190">
        <v>0</v>
      </c>
      <c r="AK19" s="190">
        <v>0</v>
      </c>
      <c r="AL19" s="190">
        <v>0</v>
      </c>
      <c r="AM19" s="190">
        <v>2</v>
      </c>
      <c r="AN19" s="190">
        <v>42</v>
      </c>
      <c r="AO19" s="190">
        <v>44</v>
      </c>
      <c r="AP19" s="190">
        <v>88</v>
      </c>
      <c r="AQ19" s="190">
        <v>862</v>
      </c>
      <c r="AR19" s="190">
        <v>950</v>
      </c>
      <c r="AS19" s="190">
        <v>88</v>
      </c>
      <c r="AT19" s="190">
        <v>862</v>
      </c>
      <c r="AU19" s="190">
        <v>950</v>
      </c>
      <c r="AV19" s="190">
        <v>0</v>
      </c>
      <c r="AW19" s="190">
        <v>0</v>
      </c>
      <c r="AX19" s="190">
        <v>0</v>
      </c>
      <c r="AY19" s="190">
        <v>5</v>
      </c>
      <c r="AZ19" s="190">
        <v>69</v>
      </c>
      <c r="BA19" s="190">
        <v>74</v>
      </c>
      <c r="BB19" s="190">
        <v>3</v>
      </c>
      <c r="BC19" s="190">
        <v>0</v>
      </c>
      <c r="BD19" s="190">
        <v>0</v>
      </c>
      <c r="BE19" s="190">
        <v>53</v>
      </c>
      <c r="BF19" s="190">
        <v>0</v>
      </c>
      <c r="BG19" s="190">
        <v>0</v>
      </c>
      <c r="BH19" s="190">
        <v>3</v>
      </c>
      <c r="BI19" s="190">
        <v>53</v>
      </c>
      <c r="BJ19" s="190">
        <v>56</v>
      </c>
      <c r="BK19" s="190">
        <v>0</v>
      </c>
      <c r="BL19" s="190">
        <v>0</v>
      </c>
      <c r="BM19" s="190">
        <v>0</v>
      </c>
      <c r="BN19" s="190">
        <v>1</v>
      </c>
      <c r="BO19" s="190">
        <v>0</v>
      </c>
      <c r="BP19" s="190">
        <v>1</v>
      </c>
      <c r="BQ19" s="190">
        <v>0</v>
      </c>
      <c r="BR19" s="190">
        <v>10</v>
      </c>
      <c r="BS19" s="190">
        <v>10</v>
      </c>
      <c r="BT19" s="190">
        <v>1</v>
      </c>
      <c r="BU19" s="190">
        <v>6</v>
      </c>
      <c r="BV19" s="190">
        <v>7</v>
      </c>
      <c r="BW19" s="190">
        <v>93</v>
      </c>
      <c r="BX19" s="190">
        <v>931</v>
      </c>
      <c r="BY19" s="190">
        <v>1024</v>
      </c>
      <c r="BZ19" s="190">
        <v>93</v>
      </c>
      <c r="CA19" s="190">
        <v>925</v>
      </c>
      <c r="CB19" s="190">
        <v>1018</v>
      </c>
      <c r="CC19" s="190">
        <v>1925</v>
      </c>
      <c r="CD19" s="190">
        <v>1</v>
      </c>
      <c r="CE19" s="190">
        <v>4</v>
      </c>
      <c r="CF19" s="190">
        <v>0</v>
      </c>
      <c r="CG19" s="190">
        <v>4</v>
      </c>
      <c r="CH19" s="190">
        <v>4</v>
      </c>
      <c r="CI19" s="190">
        <v>2</v>
      </c>
      <c r="CJ19" s="190">
        <v>0</v>
      </c>
      <c r="CK19" s="190">
        <v>0</v>
      </c>
      <c r="CL19" s="190">
        <v>2</v>
      </c>
      <c r="CM19" s="190">
        <v>2</v>
      </c>
      <c r="CN19" s="190">
        <v>13</v>
      </c>
      <c r="CO19" s="190">
        <v>75</v>
      </c>
      <c r="CP19" s="190">
        <v>88</v>
      </c>
      <c r="CQ19" s="190">
        <v>0</v>
      </c>
      <c r="CR19" s="190">
        <v>0</v>
      </c>
      <c r="CS19" s="190">
        <v>0</v>
      </c>
      <c r="CT19" s="190">
        <v>80</v>
      </c>
      <c r="CU19" s="190">
        <v>856</v>
      </c>
      <c r="CV19" s="190">
        <v>936</v>
      </c>
      <c r="CW19" s="190">
        <v>5</v>
      </c>
      <c r="CX19" s="190">
        <v>28</v>
      </c>
      <c r="CY19" s="190">
        <v>33</v>
      </c>
      <c r="CZ19" s="190">
        <v>5</v>
      </c>
      <c r="DA19" s="190">
        <v>0</v>
      </c>
      <c r="DB19" s="190">
        <v>0</v>
      </c>
      <c r="DC19" s="190">
        <v>28</v>
      </c>
      <c r="DD19" s="190">
        <v>0</v>
      </c>
      <c r="DE19" s="190">
        <v>0</v>
      </c>
      <c r="DF19" s="190">
        <v>5</v>
      </c>
      <c r="DG19" s="190">
        <v>28</v>
      </c>
      <c r="DH19" s="190">
        <v>33</v>
      </c>
      <c r="DI19" s="190">
        <v>0</v>
      </c>
      <c r="DJ19" s="190">
        <v>0</v>
      </c>
      <c r="DK19" s="190">
        <v>0</v>
      </c>
      <c r="DL19" s="190">
        <v>0</v>
      </c>
      <c r="DM19" s="190">
        <v>0</v>
      </c>
      <c r="DN19" s="190">
        <v>0</v>
      </c>
      <c r="DO19" s="190">
        <v>0</v>
      </c>
      <c r="DP19" s="190">
        <v>0</v>
      </c>
      <c r="DQ19" s="190">
        <v>0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4852</v>
      </c>
      <c r="C20" s="190">
        <v>1282</v>
      </c>
      <c r="D20" s="190">
        <v>5699</v>
      </c>
      <c r="E20" s="190">
        <v>3671</v>
      </c>
      <c r="F20" s="190">
        <v>3</v>
      </c>
      <c r="G20" s="190">
        <v>72</v>
      </c>
      <c r="H20" s="190">
        <v>75</v>
      </c>
      <c r="I20" s="190">
        <v>0</v>
      </c>
      <c r="J20" s="190">
        <v>1805</v>
      </c>
      <c r="K20" s="190">
        <v>1805</v>
      </c>
      <c r="L20" s="190">
        <v>0</v>
      </c>
      <c r="M20" s="190">
        <v>867</v>
      </c>
      <c r="N20" s="190">
        <v>867</v>
      </c>
      <c r="O20" s="190">
        <v>0</v>
      </c>
      <c r="P20" s="190">
        <v>938</v>
      </c>
      <c r="Q20" s="190">
        <v>938</v>
      </c>
      <c r="R20" s="190">
        <v>0</v>
      </c>
      <c r="S20" s="190">
        <v>39</v>
      </c>
      <c r="T20" s="190">
        <v>39</v>
      </c>
      <c r="U20" s="190">
        <v>0</v>
      </c>
      <c r="V20" s="190">
        <v>223</v>
      </c>
      <c r="W20" s="190">
        <v>223</v>
      </c>
      <c r="X20" s="190">
        <v>162</v>
      </c>
      <c r="Y20" s="190">
        <v>5536</v>
      </c>
      <c r="Z20" s="190">
        <v>5698</v>
      </c>
      <c r="AA20" s="190">
        <v>93</v>
      </c>
      <c r="AB20" s="190">
        <v>2090</v>
      </c>
      <c r="AC20" s="190">
        <v>2183</v>
      </c>
      <c r="AD20" s="190">
        <v>87</v>
      </c>
      <c r="AE20" s="190">
        <v>1900</v>
      </c>
      <c r="AF20" s="190">
        <v>1987</v>
      </c>
      <c r="AG20" s="190">
        <v>3</v>
      </c>
      <c r="AH20" s="190">
        <v>129</v>
      </c>
      <c r="AI20" s="190">
        <v>132</v>
      </c>
      <c r="AJ20" s="190">
        <v>3</v>
      </c>
      <c r="AK20" s="190">
        <v>61</v>
      </c>
      <c r="AL20" s="190">
        <v>64</v>
      </c>
      <c r="AM20" s="190">
        <v>69</v>
      </c>
      <c r="AN20" s="190">
        <v>3446</v>
      </c>
      <c r="AO20" s="190">
        <v>3515</v>
      </c>
      <c r="AP20" s="190">
        <v>9733</v>
      </c>
      <c r="AQ20" s="190">
        <v>55353</v>
      </c>
      <c r="AR20" s="190">
        <v>65086</v>
      </c>
      <c r="AS20" s="190">
        <v>9733</v>
      </c>
      <c r="AT20" s="190">
        <v>55356</v>
      </c>
      <c r="AU20" s="190">
        <v>65089</v>
      </c>
      <c r="AV20" s="190">
        <v>0</v>
      </c>
      <c r="AW20" s="190">
        <v>-3</v>
      </c>
      <c r="AX20" s="190">
        <v>-3</v>
      </c>
      <c r="AY20" s="190">
        <v>479</v>
      </c>
      <c r="AZ20" s="190">
        <v>5085</v>
      </c>
      <c r="BA20" s="190">
        <v>5564</v>
      </c>
      <c r="BB20" s="190">
        <v>207</v>
      </c>
      <c r="BC20" s="190">
        <v>3</v>
      </c>
      <c r="BD20" s="190">
        <v>0</v>
      </c>
      <c r="BE20" s="190">
        <v>3368</v>
      </c>
      <c r="BF20" s="190">
        <v>70</v>
      </c>
      <c r="BG20" s="190">
        <v>23</v>
      </c>
      <c r="BH20" s="190">
        <v>210</v>
      </c>
      <c r="BI20" s="190">
        <v>3461</v>
      </c>
      <c r="BJ20" s="190">
        <v>3671</v>
      </c>
      <c r="BK20" s="190">
        <v>77</v>
      </c>
      <c r="BL20" s="190">
        <v>-77</v>
      </c>
      <c r="BM20" s="190">
        <v>0</v>
      </c>
      <c r="BN20" s="190">
        <v>13</v>
      </c>
      <c r="BO20" s="190">
        <v>60</v>
      </c>
      <c r="BP20" s="190">
        <v>73</v>
      </c>
      <c r="BQ20" s="190">
        <v>57</v>
      </c>
      <c r="BR20" s="190">
        <v>640</v>
      </c>
      <c r="BS20" s="190">
        <v>697</v>
      </c>
      <c r="BT20" s="190">
        <v>122</v>
      </c>
      <c r="BU20" s="190">
        <v>1001</v>
      </c>
      <c r="BV20" s="190">
        <v>1123</v>
      </c>
      <c r="BW20" s="190">
        <v>10212</v>
      </c>
      <c r="BX20" s="190">
        <v>60438</v>
      </c>
      <c r="BY20" s="190">
        <v>70650</v>
      </c>
      <c r="BZ20" s="190">
        <v>10148</v>
      </c>
      <c r="CA20" s="190">
        <v>59394</v>
      </c>
      <c r="CB20" s="190">
        <v>69542</v>
      </c>
      <c r="CC20" s="190">
        <v>163046</v>
      </c>
      <c r="CD20" s="190">
        <v>62</v>
      </c>
      <c r="CE20" s="190">
        <v>881</v>
      </c>
      <c r="CF20" s="190">
        <v>64</v>
      </c>
      <c r="CG20" s="190">
        <v>803</v>
      </c>
      <c r="CH20" s="190">
        <v>867</v>
      </c>
      <c r="CI20" s="190">
        <v>304</v>
      </c>
      <c r="CJ20" s="190">
        <v>19</v>
      </c>
      <c r="CK20" s="190">
        <v>0</v>
      </c>
      <c r="CL20" s="190">
        <v>241</v>
      </c>
      <c r="CM20" s="190">
        <v>241</v>
      </c>
      <c r="CN20" s="190">
        <v>465</v>
      </c>
      <c r="CO20" s="190">
        <v>5257</v>
      </c>
      <c r="CP20" s="190">
        <v>5722</v>
      </c>
      <c r="CQ20" s="190">
        <v>0</v>
      </c>
      <c r="CR20" s="190">
        <v>7</v>
      </c>
      <c r="CS20" s="190">
        <v>7</v>
      </c>
      <c r="CT20" s="190">
        <v>9747</v>
      </c>
      <c r="CU20" s="190">
        <v>55181</v>
      </c>
      <c r="CV20" s="190">
        <v>64928</v>
      </c>
      <c r="CW20" s="190">
        <v>520</v>
      </c>
      <c r="CX20" s="190">
        <v>2226</v>
      </c>
      <c r="CY20" s="190">
        <v>2746</v>
      </c>
      <c r="CZ20" s="190">
        <v>515</v>
      </c>
      <c r="DA20" s="190">
        <v>4</v>
      </c>
      <c r="DB20" s="190">
        <v>0</v>
      </c>
      <c r="DC20" s="190">
        <v>2113</v>
      </c>
      <c r="DD20" s="190">
        <v>34</v>
      </c>
      <c r="DE20" s="190">
        <v>2</v>
      </c>
      <c r="DF20" s="190">
        <v>519</v>
      </c>
      <c r="DG20" s="190">
        <v>2149</v>
      </c>
      <c r="DH20" s="190">
        <v>2668</v>
      </c>
      <c r="DI20" s="190">
        <v>1</v>
      </c>
      <c r="DJ20" s="190">
        <v>0</v>
      </c>
      <c r="DK20" s="190">
        <v>0</v>
      </c>
      <c r="DL20" s="190">
        <v>76</v>
      </c>
      <c r="DM20" s="190">
        <v>1</v>
      </c>
      <c r="DN20" s="190">
        <v>0</v>
      </c>
      <c r="DO20" s="190">
        <v>1</v>
      </c>
      <c r="DP20" s="190">
        <v>77</v>
      </c>
      <c r="DQ20" s="190">
        <v>78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726</v>
      </c>
      <c r="C21" s="190">
        <v>122</v>
      </c>
      <c r="D21" s="190">
        <v>793</v>
      </c>
      <c r="E21" s="190">
        <v>527</v>
      </c>
      <c r="F21" s="190">
        <v>0</v>
      </c>
      <c r="G21" s="190">
        <v>4</v>
      </c>
      <c r="H21" s="190">
        <v>4</v>
      </c>
      <c r="I21" s="190">
        <v>2</v>
      </c>
      <c r="J21" s="190">
        <v>238</v>
      </c>
      <c r="K21" s="190">
        <v>240</v>
      </c>
      <c r="L21" s="190">
        <v>2</v>
      </c>
      <c r="M21" s="190">
        <v>140</v>
      </c>
      <c r="N21" s="190">
        <v>142</v>
      </c>
      <c r="O21" s="190">
        <v>0</v>
      </c>
      <c r="P21" s="190">
        <v>98</v>
      </c>
      <c r="Q21" s="190">
        <v>98</v>
      </c>
      <c r="R21" s="190">
        <v>0</v>
      </c>
      <c r="S21" s="190">
        <v>1</v>
      </c>
      <c r="T21" s="190">
        <v>1</v>
      </c>
      <c r="U21" s="190">
        <v>0</v>
      </c>
      <c r="V21" s="190">
        <v>26</v>
      </c>
      <c r="W21" s="190">
        <v>26</v>
      </c>
      <c r="X21" s="190">
        <v>23</v>
      </c>
      <c r="Y21" s="190">
        <v>768</v>
      </c>
      <c r="Z21" s="190">
        <v>791</v>
      </c>
      <c r="AA21" s="190">
        <v>14</v>
      </c>
      <c r="AB21" s="190">
        <v>299</v>
      </c>
      <c r="AC21" s="190">
        <v>313</v>
      </c>
      <c r="AD21" s="190">
        <v>13</v>
      </c>
      <c r="AE21" s="190">
        <v>279</v>
      </c>
      <c r="AF21" s="190">
        <v>292</v>
      </c>
      <c r="AG21" s="190">
        <v>0</v>
      </c>
      <c r="AH21" s="190">
        <v>13</v>
      </c>
      <c r="AI21" s="190">
        <v>13</v>
      </c>
      <c r="AJ21" s="190">
        <v>1</v>
      </c>
      <c r="AK21" s="190">
        <v>7</v>
      </c>
      <c r="AL21" s="190">
        <v>8</v>
      </c>
      <c r="AM21" s="190">
        <v>9</v>
      </c>
      <c r="AN21" s="190">
        <v>469</v>
      </c>
      <c r="AO21" s="190">
        <v>478</v>
      </c>
      <c r="AP21" s="190">
        <v>1458</v>
      </c>
      <c r="AQ21" s="190">
        <v>8679</v>
      </c>
      <c r="AR21" s="190">
        <v>10137</v>
      </c>
      <c r="AS21" s="190">
        <v>1458</v>
      </c>
      <c r="AT21" s="190">
        <v>8680</v>
      </c>
      <c r="AU21" s="190">
        <v>10138</v>
      </c>
      <c r="AV21" s="190">
        <v>0</v>
      </c>
      <c r="AW21" s="190">
        <v>-1</v>
      </c>
      <c r="AX21" s="190">
        <v>-1</v>
      </c>
      <c r="AY21" s="190">
        <v>105</v>
      </c>
      <c r="AZ21" s="190">
        <v>738</v>
      </c>
      <c r="BA21" s="190">
        <v>843</v>
      </c>
      <c r="BB21" s="190">
        <v>25</v>
      </c>
      <c r="BC21" s="190">
        <v>1</v>
      </c>
      <c r="BD21" s="190">
        <v>0</v>
      </c>
      <c r="BE21" s="190">
        <v>489</v>
      </c>
      <c r="BF21" s="190">
        <v>11</v>
      </c>
      <c r="BG21" s="190">
        <v>1</v>
      </c>
      <c r="BH21" s="190">
        <v>26</v>
      </c>
      <c r="BI21" s="190">
        <v>501</v>
      </c>
      <c r="BJ21" s="190">
        <v>527</v>
      </c>
      <c r="BK21" s="190">
        <v>36</v>
      </c>
      <c r="BL21" s="190">
        <v>-36</v>
      </c>
      <c r="BM21" s="190">
        <v>0</v>
      </c>
      <c r="BN21" s="190">
        <v>4</v>
      </c>
      <c r="BO21" s="190">
        <v>16</v>
      </c>
      <c r="BP21" s="190">
        <v>20</v>
      </c>
      <c r="BQ21" s="190">
        <v>14</v>
      </c>
      <c r="BR21" s="190">
        <v>96</v>
      </c>
      <c r="BS21" s="190">
        <v>110</v>
      </c>
      <c r="BT21" s="190">
        <v>25</v>
      </c>
      <c r="BU21" s="190">
        <v>161</v>
      </c>
      <c r="BV21" s="190">
        <v>186</v>
      </c>
      <c r="BW21" s="190">
        <v>1563</v>
      </c>
      <c r="BX21" s="190">
        <v>9417</v>
      </c>
      <c r="BY21" s="190">
        <v>10980</v>
      </c>
      <c r="BZ21" s="190">
        <v>1540</v>
      </c>
      <c r="CA21" s="190">
        <v>9259</v>
      </c>
      <c r="CB21" s="190">
        <v>10799</v>
      </c>
      <c r="CC21" s="190">
        <v>24777</v>
      </c>
      <c r="CD21" s="190">
        <v>14</v>
      </c>
      <c r="CE21" s="190">
        <v>145</v>
      </c>
      <c r="CF21" s="190">
        <v>22</v>
      </c>
      <c r="CG21" s="190">
        <v>130</v>
      </c>
      <c r="CH21" s="190">
        <v>152</v>
      </c>
      <c r="CI21" s="190">
        <v>29</v>
      </c>
      <c r="CJ21" s="190">
        <v>10</v>
      </c>
      <c r="CK21" s="190">
        <v>1</v>
      </c>
      <c r="CL21" s="190">
        <v>28</v>
      </c>
      <c r="CM21" s="190">
        <v>29</v>
      </c>
      <c r="CN21" s="190">
        <v>81</v>
      </c>
      <c r="CO21" s="190">
        <v>774</v>
      </c>
      <c r="CP21" s="190">
        <v>855</v>
      </c>
      <c r="CQ21" s="190">
        <v>0</v>
      </c>
      <c r="CR21" s="190">
        <v>1</v>
      </c>
      <c r="CS21" s="190">
        <v>1</v>
      </c>
      <c r="CT21" s="190">
        <v>1482</v>
      </c>
      <c r="CU21" s="190">
        <v>8643</v>
      </c>
      <c r="CV21" s="190">
        <v>10125</v>
      </c>
      <c r="CW21" s="190">
        <v>89</v>
      </c>
      <c r="CX21" s="190">
        <v>396</v>
      </c>
      <c r="CY21" s="190">
        <v>485</v>
      </c>
      <c r="CZ21" s="190">
        <v>88</v>
      </c>
      <c r="DA21" s="190">
        <v>1</v>
      </c>
      <c r="DB21" s="190">
        <v>0</v>
      </c>
      <c r="DC21" s="190">
        <v>379</v>
      </c>
      <c r="DD21" s="190">
        <v>9</v>
      </c>
      <c r="DE21" s="190">
        <v>0</v>
      </c>
      <c r="DF21" s="190">
        <v>89</v>
      </c>
      <c r="DG21" s="190">
        <v>388</v>
      </c>
      <c r="DH21" s="190">
        <v>477</v>
      </c>
      <c r="DI21" s="190">
        <v>0</v>
      </c>
      <c r="DJ21" s="190">
        <v>0</v>
      </c>
      <c r="DK21" s="190">
        <v>0</v>
      </c>
      <c r="DL21" s="190">
        <v>8</v>
      </c>
      <c r="DM21" s="190">
        <v>0</v>
      </c>
      <c r="DN21" s="190">
        <v>0</v>
      </c>
      <c r="DO21" s="190">
        <v>0</v>
      </c>
      <c r="DP21" s="190">
        <v>8</v>
      </c>
      <c r="DQ21" s="190">
        <v>8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395</v>
      </c>
      <c r="C22" s="190">
        <v>59</v>
      </c>
      <c r="D22" s="190">
        <v>399</v>
      </c>
      <c r="E22" s="190">
        <v>285</v>
      </c>
      <c r="F22" s="190">
        <v>0</v>
      </c>
      <c r="G22" s="190">
        <v>9</v>
      </c>
      <c r="H22" s="190">
        <v>9</v>
      </c>
      <c r="I22" s="190">
        <v>0</v>
      </c>
      <c r="J22" s="190">
        <v>101</v>
      </c>
      <c r="K22" s="190">
        <v>101</v>
      </c>
      <c r="L22" s="190">
        <v>0</v>
      </c>
      <c r="M22" s="190">
        <v>40</v>
      </c>
      <c r="N22" s="190">
        <v>40</v>
      </c>
      <c r="O22" s="190">
        <v>0</v>
      </c>
      <c r="P22" s="190">
        <v>61</v>
      </c>
      <c r="Q22" s="190">
        <v>61</v>
      </c>
      <c r="R22" s="190">
        <v>0</v>
      </c>
      <c r="S22" s="190">
        <v>2</v>
      </c>
      <c r="T22" s="190">
        <v>2</v>
      </c>
      <c r="U22" s="190">
        <v>0</v>
      </c>
      <c r="V22" s="190">
        <v>13</v>
      </c>
      <c r="W22" s="190">
        <v>13</v>
      </c>
      <c r="X22" s="190">
        <v>7</v>
      </c>
      <c r="Y22" s="190">
        <v>392</v>
      </c>
      <c r="Z22" s="190">
        <v>399</v>
      </c>
      <c r="AA22" s="190">
        <v>4</v>
      </c>
      <c r="AB22" s="190">
        <v>193</v>
      </c>
      <c r="AC22" s="190">
        <v>197</v>
      </c>
      <c r="AD22" s="190">
        <v>4</v>
      </c>
      <c r="AE22" s="190">
        <v>179</v>
      </c>
      <c r="AF22" s="190">
        <v>183</v>
      </c>
      <c r="AG22" s="190">
        <v>0</v>
      </c>
      <c r="AH22" s="190">
        <v>8</v>
      </c>
      <c r="AI22" s="190">
        <v>8</v>
      </c>
      <c r="AJ22" s="190">
        <v>0</v>
      </c>
      <c r="AK22" s="190">
        <v>6</v>
      </c>
      <c r="AL22" s="190">
        <v>6</v>
      </c>
      <c r="AM22" s="190">
        <v>3</v>
      </c>
      <c r="AN22" s="190">
        <v>199</v>
      </c>
      <c r="AO22" s="190">
        <v>202</v>
      </c>
      <c r="AP22" s="190">
        <v>566</v>
      </c>
      <c r="AQ22" s="190">
        <v>5447</v>
      </c>
      <c r="AR22" s="190">
        <v>6013</v>
      </c>
      <c r="AS22" s="190">
        <v>566</v>
      </c>
      <c r="AT22" s="190">
        <v>5447</v>
      </c>
      <c r="AU22" s="190">
        <v>6013</v>
      </c>
      <c r="AV22" s="190">
        <v>0</v>
      </c>
      <c r="AW22" s="190">
        <v>0</v>
      </c>
      <c r="AX22" s="190">
        <v>0</v>
      </c>
      <c r="AY22" s="190">
        <v>26</v>
      </c>
      <c r="AZ22" s="190">
        <v>522</v>
      </c>
      <c r="BA22" s="190">
        <v>548</v>
      </c>
      <c r="BB22" s="190">
        <v>6</v>
      </c>
      <c r="BC22" s="190">
        <v>1</v>
      </c>
      <c r="BD22" s="190">
        <v>0</v>
      </c>
      <c r="BE22" s="190">
        <v>277</v>
      </c>
      <c r="BF22" s="190">
        <v>1</v>
      </c>
      <c r="BG22" s="190">
        <v>0</v>
      </c>
      <c r="BH22" s="190">
        <v>7</v>
      </c>
      <c r="BI22" s="190">
        <v>278</v>
      </c>
      <c r="BJ22" s="190">
        <v>285</v>
      </c>
      <c r="BK22" s="190">
        <v>-2</v>
      </c>
      <c r="BL22" s="190">
        <v>2</v>
      </c>
      <c r="BM22" s="190">
        <v>0</v>
      </c>
      <c r="BN22" s="190">
        <v>0</v>
      </c>
      <c r="BO22" s="190">
        <v>12</v>
      </c>
      <c r="BP22" s="190">
        <v>12</v>
      </c>
      <c r="BQ22" s="190">
        <v>3</v>
      </c>
      <c r="BR22" s="190">
        <v>26</v>
      </c>
      <c r="BS22" s="190">
        <v>29</v>
      </c>
      <c r="BT22" s="190">
        <v>18</v>
      </c>
      <c r="BU22" s="190">
        <v>204</v>
      </c>
      <c r="BV22" s="190">
        <v>222</v>
      </c>
      <c r="BW22" s="190">
        <v>592</v>
      </c>
      <c r="BX22" s="190">
        <v>5969</v>
      </c>
      <c r="BY22" s="190">
        <v>6561</v>
      </c>
      <c r="BZ22" s="190">
        <v>585</v>
      </c>
      <c r="CA22" s="190">
        <v>5939</v>
      </c>
      <c r="CB22" s="190">
        <v>6524</v>
      </c>
      <c r="CC22" s="190">
        <v>12273</v>
      </c>
      <c r="CD22" s="190">
        <v>5</v>
      </c>
      <c r="CE22" s="190">
        <v>33</v>
      </c>
      <c r="CF22" s="190">
        <v>7</v>
      </c>
      <c r="CG22" s="190">
        <v>25</v>
      </c>
      <c r="CH22" s="190">
        <v>32</v>
      </c>
      <c r="CI22" s="190">
        <v>6</v>
      </c>
      <c r="CJ22" s="190">
        <v>1</v>
      </c>
      <c r="CK22" s="190">
        <v>0</v>
      </c>
      <c r="CL22" s="190">
        <v>5</v>
      </c>
      <c r="CM22" s="190">
        <v>5</v>
      </c>
      <c r="CN22" s="190">
        <v>41</v>
      </c>
      <c r="CO22" s="190">
        <v>527</v>
      </c>
      <c r="CP22" s="190">
        <v>568</v>
      </c>
      <c r="CQ22" s="190">
        <v>0</v>
      </c>
      <c r="CR22" s="190">
        <v>0</v>
      </c>
      <c r="CS22" s="190">
        <v>0</v>
      </c>
      <c r="CT22" s="190">
        <v>551</v>
      </c>
      <c r="CU22" s="190">
        <v>5442</v>
      </c>
      <c r="CV22" s="190">
        <v>5993</v>
      </c>
      <c r="CW22" s="190">
        <v>47</v>
      </c>
      <c r="CX22" s="190">
        <v>302</v>
      </c>
      <c r="CY22" s="190">
        <v>349</v>
      </c>
      <c r="CZ22" s="190">
        <v>46</v>
      </c>
      <c r="DA22" s="190">
        <v>1</v>
      </c>
      <c r="DB22" s="190">
        <v>0</v>
      </c>
      <c r="DC22" s="190">
        <v>298</v>
      </c>
      <c r="DD22" s="190">
        <v>1</v>
      </c>
      <c r="DE22" s="190">
        <v>0</v>
      </c>
      <c r="DF22" s="190">
        <v>47</v>
      </c>
      <c r="DG22" s="190">
        <v>299</v>
      </c>
      <c r="DH22" s="190">
        <v>346</v>
      </c>
      <c r="DI22" s="190">
        <v>0</v>
      </c>
      <c r="DJ22" s="190">
        <v>0</v>
      </c>
      <c r="DK22" s="190">
        <v>0</v>
      </c>
      <c r="DL22" s="190">
        <v>3</v>
      </c>
      <c r="DM22" s="190">
        <v>0</v>
      </c>
      <c r="DN22" s="190">
        <v>0</v>
      </c>
      <c r="DO22" s="190">
        <v>0</v>
      </c>
      <c r="DP22" s="190">
        <v>3</v>
      </c>
      <c r="DQ22" s="190">
        <v>3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79</v>
      </c>
      <c r="C23" s="190">
        <v>4</v>
      </c>
      <c r="D23" s="190">
        <v>84</v>
      </c>
      <c r="E23" s="190">
        <v>62</v>
      </c>
      <c r="F23" s="190">
        <v>1</v>
      </c>
      <c r="G23" s="190">
        <v>3</v>
      </c>
      <c r="H23" s="190">
        <v>4</v>
      </c>
      <c r="I23" s="190">
        <v>0</v>
      </c>
      <c r="J23" s="190">
        <v>21</v>
      </c>
      <c r="K23" s="190">
        <v>21</v>
      </c>
      <c r="L23" s="190">
        <v>0</v>
      </c>
      <c r="M23" s="190">
        <v>14</v>
      </c>
      <c r="N23" s="190">
        <v>14</v>
      </c>
      <c r="O23" s="190">
        <v>0</v>
      </c>
      <c r="P23" s="190">
        <v>7</v>
      </c>
      <c r="Q23" s="190">
        <v>7</v>
      </c>
      <c r="R23" s="190">
        <v>0</v>
      </c>
      <c r="S23" s="190">
        <v>1</v>
      </c>
      <c r="T23" s="190">
        <v>1</v>
      </c>
      <c r="U23" s="190">
        <v>0</v>
      </c>
      <c r="V23" s="190">
        <v>1</v>
      </c>
      <c r="W23" s="190">
        <v>1</v>
      </c>
      <c r="X23" s="190">
        <v>5</v>
      </c>
      <c r="Y23" s="190">
        <v>79</v>
      </c>
      <c r="Z23" s="190">
        <v>84</v>
      </c>
      <c r="AA23" s="190">
        <v>1</v>
      </c>
      <c r="AB23" s="190">
        <v>43</v>
      </c>
      <c r="AC23" s="190">
        <v>44</v>
      </c>
      <c r="AD23" s="190">
        <v>1</v>
      </c>
      <c r="AE23" s="190">
        <v>36</v>
      </c>
      <c r="AF23" s="190">
        <v>37</v>
      </c>
      <c r="AG23" s="190">
        <v>0</v>
      </c>
      <c r="AH23" s="190">
        <v>4</v>
      </c>
      <c r="AI23" s="190">
        <v>4</v>
      </c>
      <c r="AJ23" s="190">
        <v>0</v>
      </c>
      <c r="AK23" s="190">
        <v>3</v>
      </c>
      <c r="AL23" s="190">
        <v>3</v>
      </c>
      <c r="AM23" s="190">
        <v>4</v>
      </c>
      <c r="AN23" s="190">
        <v>36</v>
      </c>
      <c r="AO23" s="190">
        <v>40</v>
      </c>
      <c r="AP23" s="190">
        <v>215</v>
      </c>
      <c r="AQ23" s="190">
        <v>1242</v>
      </c>
      <c r="AR23" s="190">
        <v>1457</v>
      </c>
      <c r="AS23" s="190">
        <v>215</v>
      </c>
      <c r="AT23" s="190">
        <v>1242</v>
      </c>
      <c r="AU23" s="190">
        <v>1457</v>
      </c>
      <c r="AV23" s="190">
        <v>0</v>
      </c>
      <c r="AW23" s="190">
        <v>0</v>
      </c>
      <c r="AX23" s="190">
        <v>0</v>
      </c>
      <c r="AY23" s="190">
        <v>31</v>
      </c>
      <c r="AZ23" s="190">
        <v>110</v>
      </c>
      <c r="BA23" s="190">
        <v>141</v>
      </c>
      <c r="BB23" s="190">
        <v>8</v>
      </c>
      <c r="BC23" s="190">
        <v>0</v>
      </c>
      <c r="BD23" s="190">
        <v>0</v>
      </c>
      <c r="BE23" s="190">
        <v>53</v>
      </c>
      <c r="BF23" s="190">
        <v>1</v>
      </c>
      <c r="BG23" s="190">
        <v>0</v>
      </c>
      <c r="BH23" s="190">
        <v>8</v>
      </c>
      <c r="BI23" s="190">
        <v>54</v>
      </c>
      <c r="BJ23" s="190">
        <v>62</v>
      </c>
      <c r="BK23" s="190">
        <v>9</v>
      </c>
      <c r="BL23" s="190">
        <v>-9</v>
      </c>
      <c r="BM23" s="190">
        <v>0</v>
      </c>
      <c r="BN23" s="190">
        <v>2</v>
      </c>
      <c r="BO23" s="190">
        <v>1</v>
      </c>
      <c r="BP23" s="190">
        <v>3</v>
      </c>
      <c r="BQ23" s="190">
        <v>3</v>
      </c>
      <c r="BR23" s="190">
        <v>34</v>
      </c>
      <c r="BS23" s="190">
        <v>37</v>
      </c>
      <c r="BT23" s="190">
        <v>9</v>
      </c>
      <c r="BU23" s="190">
        <v>30</v>
      </c>
      <c r="BV23" s="190">
        <v>39</v>
      </c>
      <c r="BW23" s="190">
        <v>246</v>
      </c>
      <c r="BX23" s="190">
        <v>1352</v>
      </c>
      <c r="BY23" s="190">
        <v>1598</v>
      </c>
      <c r="BZ23" s="190">
        <v>246</v>
      </c>
      <c r="CA23" s="190">
        <v>1349</v>
      </c>
      <c r="CB23" s="190">
        <v>1595</v>
      </c>
      <c r="CC23" s="190">
        <v>3123</v>
      </c>
      <c r="CD23" s="190">
        <v>0</v>
      </c>
      <c r="CE23" s="190">
        <v>4</v>
      </c>
      <c r="CF23" s="190">
        <v>0</v>
      </c>
      <c r="CG23" s="190">
        <v>3</v>
      </c>
      <c r="CH23" s="190">
        <v>3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21</v>
      </c>
      <c r="CO23" s="190">
        <v>163</v>
      </c>
      <c r="CP23" s="190">
        <v>184</v>
      </c>
      <c r="CQ23" s="190">
        <v>0</v>
      </c>
      <c r="CR23" s="190">
        <v>0</v>
      </c>
      <c r="CS23" s="190">
        <v>0</v>
      </c>
      <c r="CT23" s="190">
        <v>225</v>
      </c>
      <c r="CU23" s="190">
        <v>1189</v>
      </c>
      <c r="CV23" s="190">
        <v>1414</v>
      </c>
      <c r="CW23" s="190">
        <v>12</v>
      </c>
      <c r="CX23" s="190">
        <v>50</v>
      </c>
      <c r="CY23" s="190">
        <v>62</v>
      </c>
      <c r="CZ23" s="190">
        <v>12</v>
      </c>
      <c r="DA23" s="190">
        <v>0</v>
      </c>
      <c r="DB23" s="190">
        <v>0</v>
      </c>
      <c r="DC23" s="190">
        <v>50</v>
      </c>
      <c r="DD23" s="190">
        <v>0</v>
      </c>
      <c r="DE23" s="190">
        <v>0</v>
      </c>
      <c r="DF23" s="190">
        <v>12</v>
      </c>
      <c r="DG23" s="190">
        <v>50</v>
      </c>
      <c r="DH23" s="190">
        <v>62</v>
      </c>
      <c r="DI23" s="190">
        <v>0</v>
      </c>
      <c r="DJ23" s="190">
        <v>0</v>
      </c>
      <c r="DK23" s="190">
        <v>0</v>
      </c>
      <c r="DL23" s="190">
        <v>0</v>
      </c>
      <c r="DM23" s="190">
        <v>0</v>
      </c>
      <c r="DN23" s="190">
        <v>0</v>
      </c>
      <c r="DO23" s="190">
        <v>0</v>
      </c>
      <c r="DP23" s="190">
        <v>0</v>
      </c>
      <c r="DQ23" s="190">
        <v>0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29023</v>
      </c>
      <c r="C24" s="190">
        <v>5497</v>
      </c>
      <c r="D24" s="190">
        <v>33430</v>
      </c>
      <c r="E24" s="190">
        <v>25508</v>
      </c>
      <c r="F24" s="190">
        <v>71</v>
      </c>
      <c r="G24" s="190">
        <v>355</v>
      </c>
      <c r="H24" s="190">
        <v>426</v>
      </c>
      <c r="I24" s="190">
        <v>16</v>
      </c>
      <c r="J24" s="190">
        <v>6735</v>
      </c>
      <c r="K24" s="190">
        <v>6751</v>
      </c>
      <c r="L24" s="190">
        <v>9</v>
      </c>
      <c r="M24" s="190">
        <v>2257</v>
      </c>
      <c r="N24" s="190">
        <v>2266</v>
      </c>
      <c r="O24" s="190">
        <v>7</v>
      </c>
      <c r="P24" s="190">
        <v>4478</v>
      </c>
      <c r="Q24" s="190">
        <v>4485</v>
      </c>
      <c r="R24" s="190">
        <v>1</v>
      </c>
      <c r="S24" s="190">
        <v>120</v>
      </c>
      <c r="T24" s="190">
        <v>121</v>
      </c>
      <c r="U24" s="190">
        <v>0</v>
      </c>
      <c r="V24" s="190">
        <v>1171</v>
      </c>
      <c r="W24" s="190">
        <v>1171</v>
      </c>
      <c r="X24" s="190">
        <v>2004</v>
      </c>
      <c r="Y24" s="190">
        <v>29242</v>
      </c>
      <c r="Z24" s="190">
        <v>31246</v>
      </c>
      <c r="AA24" s="190">
        <v>1325</v>
      </c>
      <c r="AB24" s="190">
        <v>14802</v>
      </c>
      <c r="AC24" s="190">
        <v>16127</v>
      </c>
      <c r="AD24" s="190">
        <v>1041</v>
      </c>
      <c r="AE24" s="190">
        <v>13354</v>
      </c>
      <c r="AF24" s="190">
        <v>14395</v>
      </c>
      <c r="AG24" s="190">
        <v>79</v>
      </c>
      <c r="AH24" s="190">
        <v>561</v>
      </c>
      <c r="AI24" s="190">
        <v>640</v>
      </c>
      <c r="AJ24" s="190">
        <v>205</v>
      </c>
      <c r="AK24" s="190">
        <v>887</v>
      </c>
      <c r="AL24" s="190">
        <v>1092</v>
      </c>
      <c r="AM24" s="190">
        <v>679</v>
      </c>
      <c r="AN24" s="190">
        <v>14440</v>
      </c>
      <c r="AO24" s="190">
        <v>15119</v>
      </c>
      <c r="AP24" s="190">
        <v>83220</v>
      </c>
      <c r="AQ24" s="190">
        <v>422576</v>
      </c>
      <c r="AR24" s="190">
        <v>505796</v>
      </c>
      <c r="AS24" s="190">
        <v>84915</v>
      </c>
      <c r="AT24" s="190">
        <v>438195</v>
      </c>
      <c r="AU24" s="190">
        <v>523110</v>
      </c>
      <c r="AV24" s="190">
        <v>-1695</v>
      </c>
      <c r="AW24" s="190">
        <v>-15619</v>
      </c>
      <c r="AX24" s="190">
        <v>-17314</v>
      </c>
      <c r="AY24" s="190">
        <v>3996</v>
      </c>
      <c r="AZ24" s="190">
        <v>39980</v>
      </c>
      <c r="BA24" s="190">
        <v>43976</v>
      </c>
      <c r="BB24" s="190">
        <v>2230</v>
      </c>
      <c r="BC24" s="190">
        <v>40</v>
      </c>
      <c r="BD24" s="190">
        <v>4</v>
      </c>
      <c r="BE24" s="190">
        <v>22791</v>
      </c>
      <c r="BF24" s="190">
        <v>247</v>
      </c>
      <c r="BG24" s="190">
        <v>196</v>
      </c>
      <c r="BH24" s="190">
        <v>2274</v>
      </c>
      <c r="BI24" s="190">
        <v>23234</v>
      </c>
      <c r="BJ24" s="190">
        <v>25508</v>
      </c>
      <c r="BK24" s="190">
        <v>-1637</v>
      </c>
      <c r="BL24" s="190">
        <v>1637</v>
      </c>
      <c r="BM24" s="190">
        <v>0</v>
      </c>
      <c r="BN24" s="190">
        <v>39</v>
      </c>
      <c r="BO24" s="190">
        <v>167</v>
      </c>
      <c r="BP24" s="190">
        <v>206</v>
      </c>
      <c r="BQ24" s="190">
        <v>289</v>
      </c>
      <c r="BR24" s="190">
        <v>1985</v>
      </c>
      <c r="BS24" s="190">
        <v>2274</v>
      </c>
      <c r="BT24" s="190">
        <v>3031</v>
      </c>
      <c r="BU24" s="190">
        <v>12957</v>
      </c>
      <c r="BV24" s="190">
        <v>15988</v>
      </c>
      <c r="BW24" s="190">
        <v>87216</v>
      </c>
      <c r="BX24" s="190">
        <v>462556</v>
      </c>
      <c r="BY24" s="190">
        <v>549772</v>
      </c>
      <c r="BZ24" s="190">
        <v>84709</v>
      </c>
      <c r="CA24" s="190">
        <v>453764</v>
      </c>
      <c r="CB24" s="190">
        <v>538473</v>
      </c>
      <c r="CC24" s="190">
        <v>1092025</v>
      </c>
      <c r="CD24" s="190">
        <v>631</v>
      </c>
      <c r="CE24" s="190">
        <v>9227</v>
      </c>
      <c r="CF24" s="190">
        <v>2254</v>
      </c>
      <c r="CG24" s="190">
        <v>5456</v>
      </c>
      <c r="CH24" s="190">
        <v>7710</v>
      </c>
      <c r="CI24" s="190">
        <v>4029</v>
      </c>
      <c r="CJ24" s="190">
        <v>545</v>
      </c>
      <c r="CK24" s="190">
        <v>253</v>
      </c>
      <c r="CL24" s="190">
        <v>3336</v>
      </c>
      <c r="CM24" s="190">
        <v>3589</v>
      </c>
      <c r="CN24" s="190">
        <v>3586</v>
      </c>
      <c r="CO24" s="190">
        <v>25364</v>
      </c>
      <c r="CP24" s="190">
        <v>28950</v>
      </c>
      <c r="CQ24" s="190">
        <v>104</v>
      </c>
      <c r="CR24" s="190">
        <v>308</v>
      </c>
      <c r="CS24" s="190">
        <v>412</v>
      </c>
      <c r="CT24" s="190">
        <v>83630</v>
      </c>
      <c r="CU24" s="190">
        <v>437192</v>
      </c>
      <c r="CV24" s="190">
        <v>520822</v>
      </c>
      <c r="CW24" s="190">
        <v>4838</v>
      </c>
      <c r="CX24" s="190">
        <v>15226</v>
      </c>
      <c r="CY24" s="190">
        <v>20064</v>
      </c>
      <c r="CZ24" s="190">
        <v>4670</v>
      </c>
      <c r="DA24" s="190">
        <v>144</v>
      </c>
      <c r="DB24" s="190">
        <v>3</v>
      </c>
      <c r="DC24" s="190">
        <v>14740</v>
      </c>
      <c r="DD24" s="190">
        <v>263</v>
      </c>
      <c r="DE24" s="190">
        <v>78</v>
      </c>
      <c r="DF24" s="190">
        <v>4817</v>
      </c>
      <c r="DG24" s="190">
        <v>15081</v>
      </c>
      <c r="DH24" s="190">
        <v>19898</v>
      </c>
      <c r="DI24" s="190">
        <v>21</v>
      </c>
      <c r="DJ24" s="190">
        <v>0</v>
      </c>
      <c r="DK24" s="190">
        <v>0</v>
      </c>
      <c r="DL24" s="190">
        <v>139</v>
      </c>
      <c r="DM24" s="190">
        <v>6</v>
      </c>
      <c r="DN24" s="190">
        <v>0</v>
      </c>
      <c r="DO24" s="190">
        <v>21</v>
      </c>
      <c r="DP24" s="190">
        <v>145</v>
      </c>
      <c r="DQ24" s="190">
        <v>166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586</v>
      </c>
      <c r="C25" s="190">
        <v>84</v>
      </c>
      <c r="D25" s="190">
        <v>652</v>
      </c>
      <c r="E25" s="190">
        <v>428</v>
      </c>
      <c r="F25" s="190">
        <v>0</v>
      </c>
      <c r="G25" s="190">
        <v>10</v>
      </c>
      <c r="H25" s="190">
        <v>10</v>
      </c>
      <c r="I25" s="190">
        <v>0</v>
      </c>
      <c r="J25" s="190">
        <v>199</v>
      </c>
      <c r="K25" s="190">
        <v>199</v>
      </c>
      <c r="L25" s="190">
        <v>0</v>
      </c>
      <c r="M25" s="190">
        <v>85</v>
      </c>
      <c r="N25" s="190">
        <v>85</v>
      </c>
      <c r="O25" s="190">
        <v>0</v>
      </c>
      <c r="P25" s="190">
        <v>114</v>
      </c>
      <c r="Q25" s="190">
        <v>114</v>
      </c>
      <c r="R25" s="190">
        <v>0</v>
      </c>
      <c r="S25" s="190">
        <v>3</v>
      </c>
      <c r="T25" s="190">
        <v>3</v>
      </c>
      <c r="U25" s="190">
        <v>0</v>
      </c>
      <c r="V25" s="190">
        <v>25</v>
      </c>
      <c r="W25" s="190">
        <v>25</v>
      </c>
      <c r="X25" s="190">
        <v>17</v>
      </c>
      <c r="Y25" s="190">
        <v>635</v>
      </c>
      <c r="Z25" s="190">
        <v>652</v>
      </c>
      <c r="AA25" s="190">
        <v>8</v>
      </c>
      <c r="AB25" s="190">
        <v>257</v>
      </c>
      <c r="AC25" s="190">
        <v>265</v>
      </c>
      <c r="AD25" s="190">
        <v>6</v>
      </c>
      <c r="AE25" s="190">
        <v>245</v>
      </c>
      <c r="AF25" s="190">
        <v>251</v>
      </c>
      <c r="AG25" s="190">
        <v>1</v>
      </c>
      <c r="AH25" s="190">
        <v>5</v>
      </c>
      <c r="AI25" s="190">
        <v>6</v>
      </c>
      <c r="AJ25" s="190">
        <v>1</v>
      </c>
      <c r="AK25" s="190">
        <v>7</v>
      </c>
      <c r="AL25" s="190">
        <v>8</v>
      </c>
      <c r="AM25" s="190">
        <v>9</v>
      </c>
      <c r="AN25" s="190">
        <v>378</v>
      </c>
      <c r="AO25" s="190">
        <v>387</v>
      </c>
      <c r="AP25" s="190">
        <v>1720</v>
      </c>
      <c r="AQ25" s="190">
        <v>9496</v>
      </c>
      <c r="AR25" s="190">
        <v>11216</v>
      </c>
      <c r="AS25" s="190">
        <v>1720</v>
      </c>
      <c r="AT25" s="190">
        <v>9496</v>
      </c>
      <c r="AU25" s="190">
        <v>11216</v>
      </c>
      <c r="AV25" s="190">
        <v>0</v>
      </c>
      <c r="AW25" s="190">
        <v>0</v>
      </c>
      <c r="AX25" s="190">
        <v>0</v>
      </c>
      <c r="AY25" s="190">
        <v>102</v>
      </c>
      <c r="AZ25" s="190">
        <v>622</v>
      </c>
      <c r="BA25" s="190">
        <v>724</v>
      </c>
      <c r="BB25" s="190">
        <v>20</v>
      </c>
      <c r="BC25" s="190">
        <v>0</v>
      </c>
      <c r="BD25" s="190">
        <v>0</v>
      </c>
      <c r="BE25" s="190">
        <v>406</v>
      </c>
      <c r="BF25" s="190">
        <v>2</v>
      </c>
      <c r="BG25" s="190">
        <v>0</v>
      </c>
      <c r="BH25" s="190">
        <v>20</v>
      </c>
      <c r="BI25" s="190">
        <v>408</v>
      </c>
      <c r="BJ25" s="190">
        <v>428</v>
      </c>
      <c r="BK25" s="190">
        <v>42</v>
      </c>
      <c r="BL25" s="190">
        <v>-42</v>
      </c>
      <c r="BM25" s="190">
        <v>0</v>
      </c>
      <c r="BN25" s="190">
        <v>7</v>
      </c>
      <c r="BO25" s="190">
        <v>17</v>
      </c>
      <c r="BP25" s="190">
        <v>24</v>
      </c>
      <c r="BQ25" s="190">
        <v>7</v>
      </c>
      <c r="BR25" s="190">
        <v>121</v>
      </c>
      <c r="BS25" s="190">
        <v>128</v>
      </c>
      <c r="BT25" s="190">
        <v>26</v>
      </c>
      <c r="BU25" s="190">
        <v>118</v>
      </c>
      <c r="BV25" s="190">
        <v>144</v>
      </c>
      <c r="BW25" s="190">
        <v>1822</v>
      </c>
      <c r="BX25" s="190">
        <v>10118</v>
      </c>
      <c r="BY25" s="190">
        <v>11940</v>
      </c>
      <c r="BZ25" s="190">
        <v>1806</v>
      </c>
      <c r="CA25" s="190">
        <v>10048</v>
      </c>
      <c r="CB25" s="190">
        <v>11854</v>
      </c>
      <c r="CC25" s="190">
        <v>28922</v>
      </c>
      <c r="CD25" s="190">
        <v>2</v>
      </c>
      <c r="CE25" s="190">
        <v>77</v>
      </c>
      <c r="CF25" s="190">
        <v>15</v>
      </c>
      <c r="CG25" s="190">
        <v>61</v>
      </c>
      <c r="CH25" s="190">
        <v>76</v>
      </c>
      <c r="CI25" s="190">
        <v>9</v>
      </c>
      <c r="CJ25" s="190">
        <v>9</v>
      </c>
      <c r="CK25" s="190">
        <v>1</v>
      </c>
      <c r="CL25" s="190">
        <v>9</v>
      </c>
      <c r="CM25" s="190">
        <v>10</v>
      </c>
      <c r="CN25" s="190">
        <v>94</v>
      </c>
      <c r="CO25" s="190">
        <v>729</v>
      </c>
      <c r="CP25" s="190">
        <v>823</v>
      </c>
      <c r="CQ25" s="190">
        <v>0</v>
      </c>
      <c r="CR25" s="190">
        <v>0</v>
      </c>
      <c r="CS25" s="190">
        <v>0</v>
      </c>
      <c r="CT25" s="190">
        <v>1728</v>
      </c>
      <c r="CU25" s="190">
        <v>9389</v>
      </c>
      <c r="CV25" s="190">
        <v>11117</v>
      </c>
      <c r="CW25" s="190">
        <v>85</v>
      </c>
      <c r="CX25" s="190">
        <v>448</v>
      </c>
      <c r="CY25" s="190">
        <v>533</v>
      </c>
      <c r="CZ25" s="190">
        <v>84</v>
      </c>
      <c r="DA25" s="190">
        <v>1</v>
      </c>
      <c r="DB25" s="190">
        <v>0</v>
      </c>
      <c r="DC25" s="190">
        <v>441</v>
      </c>
      <c r="DD25" s="190">
        <v>1</v>
      </c>
      <c r="DE25" s="190">
        <v>1</v>
      </c>
      <c r="DF25" s="190">
        <v>85</v>
      </c>
      <c r="DG25" s="190">
        <v>443</v>
      </c>
      <c r="DH25" s="190">
        <v>528</v>
      </c>
      <c r="DI25" s="190">
        <v>0</v>
      </c>
      <c r="DJ25" s="190">
        <v>0</v>
      </c>
      <c r="DK25" s="190">
        <v>0</v>
      </c>
      <c r="DL25" s="190">
        <v>5</v>
      </c>
      <c r="DM25" s="190">
        <v>0</v>
      </c>
      <c r="DN25" s="190">
        <v>0</v>
      </c>
      <c r="DO25" s="190">
        <v>0</v>
      </c>
      <c r="DP25" s="190">
        <v>5</v>
      </c>
      <c r="DQ25" s="190">
        <v>5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402</v>
      </c>
      <c r="C26" s="190">
        <v>98</v>
      </c>
      <c r="D26" s="190">
        <v>409</v>
      </c>
      <c r="E26" s="190">
        <v>271</v>
      </c>
      <c r="F26" s="190">
        <v>0</v>
      </c>
      <c r="G26" s="190">
        <v>6</v>
      </c>
      <c r="H26" s="190">
        <v>6</v>
      </c>
      <c r="I26" s="190">
        <v>0</v>
      </c>
      <c r="J26" s="190">
        <v>120</v>
      </c>
      <c r="K26" s="190">
        <v>120</v>
      </c>
      <c r="L26" s="190">
        <v>0</v>
      </c>
      <c r="M26" s="190">
        <v>59</v>
      </c>
      <c r="N26" s="190">
        <v>59</v>
      </c>
      <c r="O26" s="190">
        <v>0</v>
      </c>
      <c r="P26" s="190">
        <v>61</v>
      </c>
      <c r="Q26" s="190">
        <v>61</v>
      </c>
      <c r="R26" s="190">
        <v>0</v>
      </c>
      <c r="S26" s="190">
        <v>1</v>
      </c>
      <c r="T26" s="190">
        <v>1</v>
      </c>
      <c r="U26" s="190">
        <v>0</v>
      </c>
      <c r="V26" s="190">
        <v>18</v>
      </c>
      <c r="W26" s="190">
        <v>18</v>
      </c>
      <c r="X26" s="190">
        <v>10</v>
      </c>
      <c r="Y26" s="190">
        <v>398</v>
      </c>
      <c r="Z26" s="190">
        <v>408</v>
      </c>
      <c r="AA26" s="190">
        <v>6</v>
      </c>
      <c r="AB26" s="190">
        <v>181</v>
      </c>
      <c r="AC26" s="190">
        <v>187</v>
      </c>
      <c r="AD26" s="190">
        <v>5</v>
      </c>
      <c r="AE26" s="190">
        <v>172</v>
      </c>
      <c r="AF26" s="190">
        <v>177</v>
      </c>
      <c r="AG26" s="190">
        <v>1</v>
      </c>
      <c r="AH26" s="190">
        <v>6</v>
      </c>
      <c r="AI26" s="190">
        <v>7</v>
      </c>
      <c r="AJ26" s="190">
        <v>0</v>
      </c>
      <c r="AK26" s="190">
        <v>3</v>
      </c>
      <c r="AL26" s="190">
        <v>3</v>
      </c>
      <c r="AM26" s="190">
        <v>4</v>
      </c>
      <c r="AN26" s="190">
        <v>217</v>
      </c>
      <c r="AO26" s="190">
        <v>221</v>
      </c>
      <c r="AP26" s="190">
        <v>549</v>
      </c>
      <c r="AQ26" s="190">
        <v>5128</v>
      </c>
      <c r="AR26" s="190">
        <v>5677</v>
      </c>
      <c r="AS26" s="190">
        <v>549</v>
      </c>
      <c r="AT26" s="190">
        <v>5128</v>
      </c>
      <c r="AU26" s="190">
        <v>5677</v>
      </c>
      <c r="AV26" s="190">
        <v>0</v>
      </c>
      <c r="AW26" s="190">
        <v>0</v>
      </c>
      <c r="AX26" s="190">
        <v>0</v>
      </c>
      <c r="AY26" s="190">
        <v>21</v>
      </c>
      <c r="AZ26" s="190">
        <v>453</v>
      </c>
      <c r="BA26" s="190">
        <v>474</v>
      </c>
      <c r="BB26" s="190">
        <v>12</v>
      </c>
      <c r="BC26" s="190">
        <v>0</v>
      </c>
      <c r="BD26" s="190">
        <v>0</v>
      </c>
      <c r="BE26" s="190">
        <v>252</v>
      </c>
      <c r="BF26" s="190">
        <v>2</v>
      </c>
      <c r="BG26" s="190">
        <v>5</v>
      </c>
      <c r="BH26" s="190">
        <v>12</v>
      </c>
      <c r="BI26" s="190">
        <v>259</v>
      </c>
      <c r="BJ26" s="190">
        <v>271</v>
      </c>
      <c r="BK26" s="190">
        <v>-12</v>
      </c>
      <c r="BL26" s="190">
        <v>12</v>
      </c>
      <c r="BM26" s="190">
        <v>0</v>
      </c>
      <c r="BN26" s="190">
        <v>2</v>
      </c>
      <c r="BO26" s="190">
        <v>7</v>
      </c>
      <c r="BP26" s="190">
        <v>9</v>
      </c>
      <c r="BQ26" s="190">
        <v>2</v>
      </c>
      <c r="BR26" s="190">
        <v>51</v>
      </c>
      <c r="BS26" s="190">
        <v>53</v>
      </c>
      <c r="BT26" s="190">
        <v>17</v>
      </c>
      <c r="BU26" s="190">
        <v>124</v>
      </c>
      <c r="BV26" s="190">
        <v>141</v>
      </c>
      <c r="BW26" s="190">
        <v>570</v>
      </c>
      <c r="BX26" s="190">
        <v>5581</v>
      </c>
      <c r="BY26" s="190">
        <v>6151</v>
      </c>
      <c r="BZ26" s="190">
        <v>535</v>
      </c>
      <c r="CA26" s="190">
        <v>5283</v>
      </c>
      <c r="CB26" s="190">
        <v>5818</v>
      </c>
      <c r="CC26" s="190">
        <v>9803</v>
      </c>
      <c r="CD26" s="190">
        <v>7</v>
      </c>
      <c r="CE26" s="190">
        <v>310</v>
      </c>
      <c r="CF26" s="190">
        <v>32</v>
      </c>
      <c r="CG26" s="190">
        <v>233</v>
      </c>
      <c r="CH26" s="190">
        <v>265</v>
      </c>
      <c r="CI26" s="190">
        <v>66</v>
      </c>
      <c r="CJ26" s="190">
        <v>11</v>
      </c>
      <c r="CK26" s="190">
        <v>3</v>
      </c>
      <c r="CL26" s="190">
        <v>65</v>
      </c>
      <c r="CM26" s="190">
        <v>68</v>
      </c>
      <c r="CN26" s="190">
        <v>30</v>
      </c>
      <c r="CO26" s="190">
        <v>611</v>
      </c>
      <c r="CP26" s="190">
        <v>641</v>
      </c>
      <c r="CQ26" s="190">
        <v>0</v>
      </c>
      <c r="CR26" s="190">
        <v>0</v>
      </c>
      <c r="CS26" s="190">
        <v>0</v>
      </c>
      <c r="CT26" s="190">
        <v>540</v>
      </c>
      <c r="CU26" s="190">
        <v>4970</v>
      </c>
      <c r="CV26" s="190">
        <v>5510</v>
      </c>
      <c r="CW26" s="190">
        <v>31</v>
      </c>
      <c r="CX26" s="190">
        <v>187</v>
      </c>
      <c r="CY26" s="190">
        <v>218</v>
      </c>
      <c r="CZ26" s="190">
        <v>28</v>
      </c>
      <c r="DA26" s="190">
        <v>3</v>
      </c>
      <c r="DB26" s="190">
        <v>0</v>
      </c>
      <c r="DC26" s="190">
        <v>172</v>
      </c>
      <c r="DD26" s="190">
        <v>9</v>
      </c>
      <c r="DE26" s="190">
        <v>3</v>
      </c>
      <c r="DF26" s="190">
        <v>31</v>
      </c>
      <c r="DG26" s="190">
        <v>184</v>
      </c>
      <c r="DH26" s="190">
        <v>215</v>
      </c>
      <c r="DI26" s="190">
        <v>0</v>
      </c>
      <c r="DJ26" s="190">
        <v>0</v>
      </c>
      <c r="DK26" s="190">
        <v>0</v>
      </c>
      <c r="DL26" s="190">
        <v>3</v>
      </c>
      <c r="DM26" s="190">
        <v>0</v>
      </c>
      <c r="DN26" s="190">
        <v>0</v>
      </c>
      <c r="DO26" s="190">
        <v>0</v>
      </c>
      <c r="DP26" s="190">
        <v>3</v>
      </c>
      <c r="DQ26" s="190">
        <v>3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79</v>
      </c>
      <c r="C27" s="190">
        <v>15</v>
      </c>
      <c r="D27" s="190">
        <v>83</v>
      </c>
      <c r="E27" s="190">
        <v>49</v>
      </c>
      <c r="F27" s="190">
        <v>0</v>
      </c>
      <c r="G27" s="190">
        <v>3</v>
      </c>
      <c r="H27" s="190">
        <v>3</v>
      </c>
      <c r="I27" s="190">
        <v>0</v>
      </c>
      <c r="J27" s="190">
        <v>30</v>
      </c>
      <c r="K27" s="190">
        <v>30</v>
      </c>
      <c r="L27" s="190">
        <v>0</v>
      </c>
      <c r="M27" s="190">
        <v>11</v>
      </c>
      <c r="N27" s="190">
        <v>11</v>
      </c>
      <c r="O27" s="190">
        <v>0</v>
      </c>
      <c r="P27" s="190">
        <v>19</v>
      </c>
      <c r="Q27" s="190">
        <v>19</v>
      </c>
      <c r="R27" s="190">
        <v>0</v>
      </c>
      <c r="S27" s="190">
        <v>1</v>
      </c>
      <c r="T27" s="190">
        <v>1</v>
      </c>
      <c r="U27" s="190">
        <v>0</v>
      </c>
      <c r="V27" s="190">
        <v>4</v>
      </c>
      <c r="W27" s="190">
        <v>4</v>
      </c>
      <c r="X27" s="190">
        <v>0</v>
      </c>
      <c r="Y27" s="190">
        <v>83</v>
      </c>
      <c r="Z27" s="190">
        <v>83</v>
      </c>
      <c r="AA27" s="190">
        <v>0</v>
      </c>
      <c r="AB27" s="190">
        <v>36</v>
      </c>
      <c r="AC27" s="190">
        <v>36</v>
      </c>
      <c r="AD27" s="190">
        <v>0</v>
      </c>
      <c r="AE27" s="190">
        <v>12</v>
      </c>
      <c r="AF27" s="190">
        <v>12</v>
      </c>
      <c r="AG27" s="190">
        <v>0</v>
      </c>
      <c r="AH27" s="190">
        <v>19</v>
      </c>
      <c r="AI27" s="190">
        <v>19</v>
      </c>
      <c r="AJ27" s="190">
        <v>0</v>
      </c>
      <c r="AK27" s="190">
        <v>5</v>
      </c>
      <c r="AL27" s="190">
        <v>5</v>
      </c>
      <c r="AM27" s="190">
        <v>0</v>
      </c>
      <c r="AN27" s="190">
        <v>47</v>
      </c>
      <c r="AO27" s="190">
        <v>47</v>
      </c>
      <c r="AP27" s="190">
        <v>88</v>
      </c>
      <c r="AQ27" s="190">
        <v>834</v>
      </c>
      <c r="AR27" s="190">
        <v>922</v>
      </c>
      <c r="AS27" s="190">
        <v>88</v>
      </c>
      <c r="AT27" s="190">
        <v>834</v>
      </c>
      <c r="AU27" s="190">
        <v>922</v>
      </c>
      <c r="AV27" s="190">
        <v>0</v>
      </c>
      <c r="AW27" s="190">
        <v>0</v>
      </c>
      <c r="AX27" s="190">
        <v>0</v>
      </c>
      <c r="AY27" s="190">
        <v>7</v>
      </c>
      <c r="AZ27" s="190">
        <v>88</v>
      </c>
      <c r="BA27" s="190">
        <v>95</v>
      </c>
      <c r="BB27" s="190">
        <v>0</v>
      </c>
      <c r="BC27" s="190">
        <v>0</v>
      </c>
      <c r="BD27" s="190">
        <v>0</v>
      </c>
      <c r="BE27" s="190">
        <v>48</v>
      </c>
      <c r="BF27" s="190">
        <v>1</v>
      </c>
      <c r="BG27" s="190">
        <v>0</v>
      </c>
      <c r="BH27" s="190">
        <v>0</v>
      </c>
      <c r="BI27" s="190">
        <v>49</v>
      </c>
      <c r="BJ27" s="190">
        <v>49</v>
      </c>
      <c r="BK27" s="190">
        <v>3</v>
      </c>
      <c r="BL27" s="190">
        <v>-3</v>
      </c>
      <c r="BM27" s="190">
        <v>0</v>
      </c>
      <c r="BN27" s="190">
        <v>1</v>
      </c>
      <c r="BO27" s="190">
        <v>4</v>
      </c>
      <c r="BP27" s="190">
        <v>5</v>
      </c>
      <c r="BQ27" s="190">
        <v>0</v>
      </c>
      <c r="BR27" s="190">
        <v>10</v>
      </c>
      <c r="BS27" s="190">
        <v>10</v>
      </c>
      <c r="BT27" s="190">
        <v>3</v>
      </c>
      <c r="BU27" s="190">
        <v>28</v>
      </c>
      <c r="BV27" s="190">
        <v>31</v>
      </c>
      <c r="BW27" s="190">
        <v>95</v>
      </c>
      <c r="BX27" s="190">
        <v>922</v>
      </c>
      <c r="BY27" s="190">
        <v>1017</v>
      </c>
      <c r="BZ27" s="190">
        <v>94</v>
      </c>
      <c r="CA27" s="190">
        <v>918</v>
      </c>
      <c r="CB27" s="190">
        <v>1012</v>
      </c>
      <c r="CC27" s="190">
        <v>1846</v>
      </c>
      <c r="CD27" s="190">
        <v>1</v>
      </c>
      <c r="CE27" s="190">
        <v>3</v>
      </c>
      <c r="CF27" s="190">
        <v>1</v>
      </c>
      <c r="CG27" s="190">
        <v>3</v>
      </c>
      <c r="CH27" s="190">
        <v>4</v>
      </c>
      <c r="CI27" s="190">
        <v>1</v>
      </c>
      <c r="CJ27" s="190">
        <v>0</v>
      </c>
      <c r="CK27" s="190">
        <v>0</v>
      </c>
      <c r="CL27" s="190">
        <v>1</v>
      </c>
      <c r="CM27" s="190">
        <v>1</v>
      </c>
      <c r="CN27" s="190">
        <v>5</v>
      </c>
      <c r="CO27" s="190">
        <v>83</v>
      </c>
      <c r="CP27" s="190">
        <v>88</v>
      </c>
      <c r="CQ27" s="190">
        <v>0</v>
      </c>
      <c r="CR27" s="190">
        <v>4</v>
      </c>
      <c r="CS27" s="190">
        <v>4</v>
      </c>
      <c r="CT27" s="190">
        <v>90</v>
      </c>
      <c r="CU27" s="190">
        <v>839</v>
      </c>
      <c r="CV27" s="190">
        <v>929</v>
      </c>
      <c r="CW27" s="190">
        <v>6</v>
      </c>
      <c r="CX27" s="190">
        <v>43</v>
      </c>
      <c r="CY27" s="190">
        <v>49</v>
      </c>
      <c r="CZ27" s="190">
        <v>6</v>
      </c>
      <c r="DA27" s="190">
        <v>0</v>
      </c>
      <c r="DB27" s="190">
        <v>0</v>
      </c>
      <c r="DC27" s="190">
        <v>42</v>
      </c>
      <c r="DD27" s="190">
        <v>0</v>
      </c>
      <c r="DE27" s="190">
        <v>1</v>
      </c>
      <c r="DF27" s="190">
        <v>6</v>
      </c>
      <c r="DG27" s="190">
        <v>43</v>
      </c>
      <c r="DH27" s="190">
        <v>49</v>
      </c>
      <c r="DI27" s="190">
        <v>0</v>
      </c>
      <c r="DJ27" s="190">
        <v>0</v>
      </c>
      <c r="DK27" s="190">
        <v>0</v>
      </c>
      <c r="DL27" s="190">
        <v>0</v>
      </c>
      <c r="DM27" s="190">
        <v>0</v>
      </c>
      <c r="DN27" s="190">
        <v>0</v>
      </c>
      <c r="DO27" s="190">
        <v>0</v>
      </c>
      <c r="DP27" s="190">
        <v>0</v>
      </c>
      <c r="DQ27" s="190">
        <v>0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403</v>
      </c>
      <c r="C28" s="190">
        <v>42</v>
      </c>
      <c r="D28" s="190">
        <v>417</v>
      </c>
      <c r="E28" s="190">
        <v>334</v>
      </c>
      <c r="F28" s="190">
        <v>1</v>
      </c>
      <c r="G28" s="190">
        <v>29</v>
      </c>
      <c r="H28" s="190">
        <v>30</v>
      </c>
      <c r="I28" s="190">
        <v>0</v>
      </c>
      <c r="J28" s="190">
        <v>78</v>
      </c>
      <c r="K28" s="190">
        <v>78</v>
      </c>
      <c r="L28" s="190">
        <v>0</v>
      </c>
      <c r="M28" s="190">
        <v>25</v>
      </c>
      <c r="N28" s="190">
        <v>25</v>
      </c>
      <c r="O28" s="190">
        <v>0</v>
      </c>
      <c r="P28" s="190">
        <v>53</v>
      </c>
      <c r="Q28" s="190">
        <v>53</v>
      </c>
      <c r="R28" s="190">
        <v>0</v>
      </c>
      <c r="S28" s="190">
        <v>5</v>
      </c>
      <c r="T28" s="190">
        <v>5</v>
      </c>
      <c r="U28" s="190">
        <v>0</v>
      </c>
      <c r="V28" s="190">
        <v>5</v>
      </c>
      <c r="W28" s="190">
        <v>5</v>
      </c>
      <c r="X28" s="190">
        <v>14</v>
      </c>
      <c r="Y28" s="190">
        <v>403</v>
      </c>
      <c r="Z28" s="190">
        <v>417</v>
      </c>
      <c r="AA28" s="190">
        <v>11</v>
      </c>
      <c r="AB28" s="190">
        <v>234</v>
      </c>
      <c r="AC28" s="190">
        <v>245</v>
      </c>
      <c r="AD28" s="190">
        <v>11</v>
      </c>
      <c r="AE28" s="190">
        <v>222</v>
      </c>
      <c r="AF28" s="190">
        <v>233</v>
      </c>
      <c r="AG28" s="190">
        <v>0</v>
      </c>
      <c r="AH28" s="190">
        <v>4</v>
      </c>
      <c r="AI28" s="190">
        <v>4</v>
      </c>
      <c r="AJ28" s="190">
        <v>0</v>
      </c>
      <c r="AK28" s="190">
        <v>8</v>
      </c>
      <c r="AL28" s="190">
        <v>8</v>
      </c>
      <c r="AM28" s="190">
        <v>3</v>
      </c>
      <c r="AN28" s="190">
        <v>169</v>
      </c>
      <c r="AO28" s="190">
        <v>172</v>
      </c>
      <c r="AP28" s="190">
        <v>534</v>
      </c>
      <c r="AQ28" s="190">
        <v>5213</v>
      </c>
      <c r="AR28" s="190">
        <v>5747</v>
      </c>
      <c r="AS28" s="190">
        <v>534</v>
      </c>
      <c r="AT28" s="190">
        <v>5213</v>
      </c>
      <c r="AU28" s="190">
        <v>5747</v>
      </c>
      <c r="AV28" s="190">
        <v>0</v>
      </c>
      <c r="AW28" s="190">
        <v>0</v>
      </c>
      <c r="AX28" s="190">
        <v>0</v>
      </c>
      <c r="AY28" s="190">
        <v>43</v>
      </c>
      <c r="AZ28" s="190">
        <v>555</v>
      </c>
      <c r="BA28" s="190">
        <v>598</v>
      </c>
      <c r="BB28" s="190">
        <v>17</v>
      </c>
      <c r="BC28" s="190">
        <v>0</v>
      </c>
      <c r="BD28" s="190">
        <v>0</v>
      </c>
      <c r="BE28" s="190">
        <v>315</v>
      </c>
      <c r="BF28" s="190">
        <v>1</v>
      </c>
      <c r="BG28" s="190">
        <v>1</v>
      </c>
      <c r="BH28" s="190">
        <v>17</v>
      </c>
      <c r="BI28" s="190">
        <v>317</v>
      </c>
      <c r="BJ28" s="190">
        <v>334</v>
      </c>
      <c r="BK28" s="190">
        <v>8</v>
      </c>
      <c r="BL28" s="190">
        <v>-8</v>
      </c>
      <c r="BM28" s="190">
        <v>0</v>
      </c>
      <c r="BN28" s="190">
        <v>4</v>
      </c>
      <c r="BO28" s="190">
        <v>7</v>
      </c>
      <c r="BP28" s="190">
        <v>11</v>
      </c>
      <c r="BQ28" s="190">
        <v>4</v>
      </c>
      <c r="BR28" s="190">
        <v>87</v>
      </c>
      <c r="BS28" s="190">
        <v>91</v>
      </c>
      <c r="BT28" s="190">
        <v>10</v>
      </c>
      <c r="BU28" s="190">
        <v>152</v>
      </c>
      <c r="BV28" s="190">
        <v>162</v>
      </c>
      <c r="BW28" s="190">
        <v>577</v>
      </c>
      <c r="BX28" s="190">
        <v>5768</v>
      </c>
      <c r="BY28" s="190">
        <v>6345</v>
      </c>
      <c r="BZ28" s="190">
        <v>568</v>
      </c>
      <c r="CA28" s="190">
        <v>5723</v>
      </c>
      <c r="CB28" s="190">
        <v>6291</v>
      </c>
      <c r="CC28" s="190">
        <v>11875</v>
      </c>
      <c r="CD28" s="190">
        <v>2</v>
      </c>
      <c r="CE28" s="190">
        <v>45</v>
      </c>
      <c r="CF28" s="190">
        <v>8</v>
      </c>
      <c r="CG28" s="190">
        <v>35</v>
      </c>
      <c r="CH28" s="190">
        <v>43</v>
      </c>
      <c r="CI28" s="190">
        <v>12</v>
      </c>
      <c r="CJ28" s="190">
        <v>1</v>
      </c>
      <c r="CK28" s="190">
        <v>1</v>
      </c>
      <c r="CL28" s="190">
        <v>10</v>
      </c>
      <c r="CM28" s="190">
        <v>11</v>
      </c>
      <c r="CN28" s="190">
        <v>50</v>
      </c>
      <c r="CO28" s="190">
        <v>570</v>
      </c>
      <c r="CP28" s="190">
        <v>620</v>
      </c>
      <c r="CQ28" s="190">
        <v>0</v>
      </c>
      <c r="CR28" s="190">
        <v>0</v>
      </c>
      <c r="CS28" s="190">
        <v>0</v>
      </c>
      <c r="CT28" s="190">
        <v>527</v>
      </c>
      <c r="CU28" s="190">
        <v>5198</v>
      </c>
      <c r="CV28" s="190">
        <v>5725</v>
      </c>
      <c r="CW28" s="190">
        <v>27</v>
      </c>
      <c r="CX28" s="190">
        <v>201</v>
      </c>
      <c r="CY28" s="190">
        <v>228</v>
      </c>
      <c r="CZ28" s="190">
        <v>26</v>
      </c>
      <c r="DA28" s="190">
        <v>1</v>
      </c>
      <c r="DB28" s="190">
        <v>0</v>
      </c>
      <c r="DC28" s="190">
        <v>195</v>
      </c>
      <c r="DD28" s="190">
        <v>4</v>
      </c>
      <c r="DE28" s="190">
        <v>1</v>
      </c>
      <c r="DF28" s="190">
        <v>27</v>
      </c>
      <c r="DG28" s="190">
        <v>200</v>
      </c>
      <c r="DH28" s="190">
        <v>227</v>
      </c>
      <c r="DI28" s="190">
        <v>0</v>
      </c>
      <c r="DJ28" s="190">
        <v>0</v>
      </c>
      <c r="DK28" s="190">
        <v>0</v>
      </c>
      <c r="DL28" s="190">
        <v>1</v>
      </c>
      <c r="DM28" s="190">
        <v>0</v>
      </c>
      <c r="DN28" s="190">
        <v>0</v>
      </c>
      <c r="DO28" s="190">
        <v>0</v>
      </c>
      <c r="DP28" s="190">
        <v>1</v>
      </c>
      <c r="DQ28" s="190">
        <v>1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1340</v>
      </c>
      <c r="C29" s="190">
        <v>210</v>
      </c>
      <c r="D29" s="190">
        <v>1523</v>
      </c>
      <c r="E29" s="190">
        <v>920</v>
      </c>
      <c r="F29" s="190">
        <v>7</v>
      </c>
      <c r="G29" s="190">
        <v>54</v>
      </c>
      <c r="H29" s="190">
        <v>61</v>
      </c>
      <c r="I29" s="190">
        <v>1</v>
      </c>
      <c r="J29" s="190">
        <v>495</v>
      </c>
      <c r="K29" s="190">
        <v>496</v>
      </c>
      <c r="L29" s="190">
        <v>1</v>
      </c>
      <c r="M29" s="190">
        <v>210</v>
      </c>
      <c r="N29" s="190">
        <v>211</v>
      </c>
      <c r="O29" s="190">
        <v>0</v>
      </c>
      <c r="P29" s="190">
        <v>285</v>
      </c>
      <c r="Q29" s="190">
        <v>285</v>
      </c>
      <c r="R29" s="190">
        <v>1</v>
      </c>
      <c r="S29" s="190">
        <v>23</v>
      </c>
      <c r="T29" s="190">
        <v>24</v>
      </c>
      <c r="U29" s="190">
        <v>0</v>
      </c>
      <c r="V29" s="190">
        <v>107</v>
      </c>
      <c r="W29" s="190">
        <v>107</v>
      </c>
      <c r="X29" s="190">
        <v>36</v>
      </c>
      <c r="Y29" s="190">
        <v>1487</v>
      </c>
      <c r="Z29" s="190">
        <v>1523</v>
      </c>
      <c r="AA29" s="190">
        <v>23</v>
      </c>
      <c r="AB29" s="190">
        <v>567</v>
      </c>
      <c r="AC29" s="190">
        <v>590</v>
      </c>
      <c r="AD29" s="190">
        <v>23</v>
      </c>
      <c r="AE29" s="190">
        <v>544</v>
      </c>
      <c r="AF29" s="190">
        <v>567</v>
      </c>
      <c r="AG29" s="190">
        <v>0</v>
      </c>
      <c r="AH29" s="190">
        <v>17</v>
      </c>
      <c r="AI29" s="190">
        <v>17</v>
      </c>
      <c r="AJ29" s="190">
        <v>0</v>
      </c>
      <c r="AK29" s="190">
        <v>6</v>
      </c>
      <c r="AL29" s="190">
        <v>6</v>
      </c>
      <c r="AM29" s="190">
        <v>13</v>
      </c>
      <c r="AN29" s="190">
        <v>920</v>
      </c>
      <c r="AO29" s="190">
        <v>933</v>
      </c>
      <c r="AP29" s="190">
        <v>3580</v>
      </c>
      <c r="AQ29" s="190">
        <v>18811</v>
      </c>
      <c r="AR29" s="190">
        <v>22391</v>
      </c>
      <c r="AS29" s="190">
        <v>3580</v>
      </c>
      <c r="AT29" s="190">
        <v>18811</v>
      </c>
      <c r="AU29" s="190">
        <v>22391</v>
      </c>
      <c r="AV29" s="190">
        <v>0</v>
      </c>
      <c r="AW29" s="190">
        <v>0</v>
      </c>
      <c r="AX29" s="190">
        <v>0</v>
      </c>
      <c r="AY29" s="190">
        <v>99</v>
      </c>
      <c r="AZ29" s="190">
        <v>1603</v>
      </c>
      <c r="BA29" s="190">
        <v>1702</v>
      </c>
      <c r="BB29" s="190">
        <v>46</v>
      </c>
      <c r="BC29" s="190">
        <v>1</v>
      </c>
      <c r="BD29" s="190">
        <v>0</v>
      </c>
      <c r="BE29" s="190">
        <v>868</v>
      </c>
      <c r="BF29" s="190">
        <v>3</v>
      </c>
      <c r="BG29" s="190">
        <v>2</v>
      </c>
      <c r="BH29" s="190">
        <v>47</v>
      </c>
      <c r="BI29" s="190">
        <v>873</v>
      </c>
      <c r="BJ29" s="190">
        <v>920</v>
      </c>
      <c r="BK29" s="190">
        <v>-45</v>
      </c>
      <c r="BL29" s="190">
        <v>45</v>
      </c>
      <c r="BM29" s="190">
        <v>0</v>
      </c>
      <c r="BN29" s="190">
        <v>5</v>
      </c>
      <c r="BO29" s="190">
        <v>48</v>
      </c>
      <c r="BP29" s="190">
        <v>53</v>
      </c>
      <c r="BQ29" s="190">
        <v>24</v>
      </c>
      <c r="BR29" s="190">
        <v>205</v>
      </c>
      <c r="BS29" s="190">
        <v>229</v>
      </c>
      <c r="BT29" s="190">
        <v>68</v>
      </c>
      <c r="BU29" s="190">
        <v>432</v>
      </c>
      <c r="BV29" s="190">
        <v>500</v>
      </c>
      <c r="BW29" s="190">
        <v>3679</v>
      </c>
      <c r="BX29" s="190">
        <v>20414</v>
      </c>
      <c r="BY29" s="190">
        <v>24093</v>
      </c>
      <c r="BZ29" s="190">
        <v>3663</v>
      </c>
      <c r="CA29" s="190">
        <v>20317</v>
      </c>
      <c r="CB29" s="190">
        <v>23980</v>
      </c>
      <c r="CC29" s="190">
        <v>55763</v>
      </c>
      <c r="CD29" s="190">
        <v>3</v>
      </c>
      <c r="CE29" s="190">
        <v>108</v>
      </c>
      <c r="CF29" s="190">
        <v>15</v>
      </c>
      <c r="CG29" s="190">
        <v>85</v>
      </c>
      <c r="CH29" s="190">
        <v>100</v>
      </c>
      <c r="CI29" s="190">
        <v>12</v>
      </c>
      <c r="CJ29" s="190">
        <v>2</v>
      </c>
      <c r="CK29" s="190">
        <v>1</v>
      </c>
      <c r="CL29" s="190">
        <v>12</v>
      </c>
      <c r="CM29" s="190">
        <v>13</v>
      </c>
      <c r="CN29" s="190">
        <v>149</v>
      </c>
      <c r="CO29" s="190">
        <v>1554</v>
      </c>
      <c r="CP29" s="190">
        <v>1703</v>
      </c>
      <c r="CQ29" s="190">
        <v>0</v>
      </c>
      <c r="CR29" s="190">
        <v>25</v>
      </c>
      <c r="CS29" s="190">
        <v>25</v>
      </c>
      <c r="CT29" s="190">
        <v>3530</v>
      </c>
      <c r="CU29" s="190">
        <v>18860</v>
      </c>
      <c r="CV29" s="190">
        <v>22390</v>
      </c>
      <c r="CW29" s="190">
        <v>184</v>
      </c>
      <c r="CX29" s="190">
        <v>847</v>
      </c>
      <c r="CY29" s="190">
        <v>1031</v>
      </c>
      <c r="CZ29" s="190">
        <v>183</v>
      </c>
      <c r="DA29" s="190">
        <v>0</v>
      </c>
      <c r="DB29" s="190">
        <v>0</v>
      </c>
      <c r="DC29" s="190">
        <v>830</v>
      </c>
      <c r="DD29" s="190">
        <v>4</v>
      </c>
      <c r="DE29" s="190">
        <v>0</v>
      </c>
      <c r="DF29" s="190">
        <v>183</v>
      </c>
      <c r="DG29" s="190">
        <v>834</v>
      </c>
      <c r="DH29" s="190">
        <v>1017</v>
      </c>
      <c r="DI29" s="190">
        <v>1</v>
      </c>
      <c r="DJ29" s="190">
        <v>0</v>
      </c>
      <c r="DK29" s="190">
        <v>0</v>
      </c>
      <c r="DL29" s="190">
        <v>13</v>
      </c>
      <c r="DM29" s="190">
        <v>0</v>
      </c>
      <c r="DN29" s="190">
        <v>0</v>
      </c>
      <c r="DO29" s="190">
        <v>1</v>
      </c>
      <c r="DP29" s="190">
        <v>13</v>
      </c>
      <c r="DQ29" s="190">
        <v>14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31</v>
      </c>
      <c r="C30" s="190">
        <v>4</v>
      </c>
      <c r="D30" s="190">
        <v>31</v>
      </c>
      <c r="E30" s="190">
        <v>25</v>
      </c>
      <c r="F30" s="190">
        <v>0</v>
      </c>
      <c r="G30" s="190">
        <v>1</v>
      </c>
      <c r="H30" s="190">
        <v>1</v>
      </c>
      <c r="I30" s="190">
        <v>0</v>
      </c>
      <c r="J30" s="190">
        <v>5</v>
      </c>
      <c r="K30" s="190">
        <v>5</v>
      </c>
      <c r="L30" s="190">
        <v>0</v>
      </c>
      <c r="M30" s="190">
        <v>3</v>
      </c>
      <c r="N30" s="190">
        <v>3</v>
      </c>
      <c r="O30" s="190">
        <v>0</v>
      </c>
      <c r="P30" s="190">
        <v>2</v>
      </c>
      <c r="Q30" s="190">
        <v>2</v>
      </c>
      <c r="R30" s="190">
        <v>0</v>
      </c>
      <c r="S30" s="190">
        <v>1</v>
      </c>
      <c r="T30" s="190">
        <v>1</v>
      </c>
      <c r="U30" s="190">
        <v>0</v>
      </c>
      <c r="V30" s="190">
        <v>1</v>
      </c>
      <c r="W30" s="190">
        <v>1</v>
      </c>
      <c r="X30" s="190">
        <v>0</v>
      </c>
      <c r="Y30" s="190">
        <v>31</v>
      </c>
      <c r="Z30" s="190">
        <v>31</v>
      </c>
      <c r="AA30" s="190">
        <v>0</v>
      </c>
      <c r="AB30" s="190">
        <v>12</v>
      </c>
      <c r="AC30" s="190">
        <v>12</v>
      </c>
      <c r="AD30" s="190">
        <v>0</v>
      </c>
      <c r="AE30" s="190">
        <v>12</v>
      </c>
      <c r="AF30" s="190">
        <v>12</v>
      </c>
      <c r="AG30" s="190">
        <v>0</v>
      </c>
      <c r="AH30" s="190">
        <v>0</v>
      </c>
      <c r="AI30" s="190">
        <v>0</v>
      </c>
      <c r="AJ30" s="190">
        <v>0</v>
      </c>
      <c r="AK30" s="190">
        <v>0</v>
      </c>
      <c r="AL30" s="190">
        <v>0</v>
      </c>
      <c r="AM30" s="190">
        <v>0</v>
      </c>
      <c r="AN30" s="190">
        <v>19</v>
      </c>
      <c r="AO30" s="190">
        <v>19</v>
      </c>
      <c r="AP30" s="190">
        <v>72</v>
      </c>
      <c r="AQ30" s="190">
        <v>437</v>
      </c>
      <c r="AR30" s="190">
        <v>509</v>
      </c>
      <c r="AS30" s="190">
        <v>72</v>
      </c>
      <c r="AT30" s="190">
        <v>437</v>
      </c>
      <c r="AU30" s="190">
        <v>509</v>
      </c>
      <c r="AV30" s="190">
        <v>0</v>
      </c>
      <c r="AW30" s="190">
        <v>0</v>
      </c>
      <c r="AX30" s="190">
        <v>0</v>
      </c>
      <c r="AY30" s="190">
        <v>6</v>
      </c>
      <c r="AZ30" s="190">
        <v>37</v>
      </c>
      <c r="BA30" s="190">
        <v>43</v>
      </c>
      <c r="BB30" s="190">
        <v>0</v>
      </c>
      <c r="BC30" s="190">
        <v>0</v>
      </c>
      <c r="BD30" s="190">
        <v>0</v>
      </c>
      <c r="BE30" s="190">
        <v>25</v>
      </c>
      <c r="BF30" s="190">
        <v>0</v>
      </c>
      <c r="BG30" s="190">
        <v>0</v>
      </c>
      <c r="BH30" s="190">
        <v>0</v>
      </c>
      <c r="BI30" s="190">
        <v>25</v>
      </c>
      <c r="BJ30" s="190">
        <v>25</v>
      </c>
      <c r="BK30" s="190">
        <v>4</v>
      </c>
      <c r="BL30" s="190">
        <v>-4</v>
      </c>
      <c r="BM30" s="190">
        <v>0</v>
      </c>
      <c r="BN30" s="190">
        <v>0</v>
      </c>
      <c r="BO30" s="190">
        <v>2</v>
      </c>
      <c r="BP30" s="190">
        <v>2</v>
      </c>
      <c r="BQ30" s="190">
        <v>0</v>
      </c>
      <c r="BR30" s="190">
        <v>2</v>
      </c>
      <c r="BS30" s="190">
        <v>2</v>
      </c>
      <c r="BT30" s="190">
        <v>2</v>
      </c>
      <c r="BU30" s="190">
        <v>12</v>
      </c>
      <c r="BV30" s="190">
        <v>14</v>
      </c>
      <c r="BW30" s="190">
        <v>78</v>
      </c>
      <c r="BX30" s="190">
        <v>474</v>
      </c>
      <c r="BY30" s="190">
        <v>552</v>
      </c>
      <c r="BZ30" s="190">
        <v>77</v>
      </c>
      <c r="CA30" s="190">
        <v>473</v>
      </c>
      <c r="CB30" s="190">
        <v>550</v>
      </c>
      <c r="CC30" s="190">
        <v>1175</v>
      </c>
      <c r="CD30" s="190">
        <v>0</v>
      </c>
      <c r="CE30" s="190">
        <v>1</v>
      </c>
      <c r="CF30" s="190">
        <v>1</v>
      </c>
      <c r="CG30" s="190">
        <v>0</v>
      </c>
      <c r="CH30" s="190">
        <v>1</v>
      </c>
      <c r="CI30" s="190">
        <v>2</v>
      </c>
      <c r="CJ30" s="190">
        <v>0</v>
      </c>
      <c r="CK30" s="190">
        <v>0</v>
      </c>
      <c r="CL30" s="190">
        <v>1</v>
      </c>
      <c r="CM30" s="190">
        <v>1</v>
      </c>
      <c r="CN30" s="190">
        <v>8</v>
      </c>
      <c r="CO30" s="190">
        <v>38</v>
      </c>
      <c r="CP30" s="190">
        <v>46</v>
      </c>
      <c r="CQ30" s="190">
        <v>0</v>
      </c>
      <c r="CR30" s="190">
        <v>0</v>
      </c>
      <c r="CS30" s="190">
        <v>0</v>
      </c>
      <c r="CT30" s="190">
        <v>70</v>
      </c>
      <c r="CU30" s="190">
        <v>436</v>
      </c>
      <c r="CV30" s="190">
        <v>506</v>
      </c>
      <c r="CW30" s="190">
        <v>1</v>
      </c>
      <c r="CX30" s="190">
        <v>17</v>
      </c>
      <c r="CY30" s="190">
        <v>18</v>
      </c>
      <c r="CZ30" s="190">
        <v>1</v>
      </c>
      <c r="DA30" s="190">
        <v>0</v>
      </c>
      <c r="DB30" s="190">
        <v>0</v>
      </c>
      <c r="DC30" s="190">
        <v>17</v>
      </c>
      <c r="DD30" s="190">
        <v>0</v>
      </c>
      <c r="DE30" s="190">
        <v>0</v>
      </c>
      <c r="DF30" s="190">
        <v>1</v>
      </c>
      <c r="DG30" s="190">
        <v>17</v>
      </c>
      <c r="DH30" s="190">
        <v>18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22</v>
      </c>
      <c r="C31" s="190">
        <v>5</v>
      </c>
      <c r="D31" s="190">
        <v>26</v>
      </c>
      <c r="E31" s="190">
        <v>15</v>
      </c>
      <c r="F31" s="190">
        <v>0</v>
      </c>
      <c r="G31" s="190">
        <v>1</v>
      </c>
      <c r="H31" s="190">
        <v>1</v>
      </c>
      <c r="I31" s="190">
        <v>0</v>
      </c>
      <c r="J31" s="190">
        <v>8</v>
      </c>
      <c r="K31" s="190">
        <v>8</v>
      </c>
      <c r="L31" s="190">
        <v>0</v>
      </c>
      <c r="M31" s="190">
        <v>3</v>
      </c>
      <c r="N31" s="190">
        <v>3</v>
      </c>
      <c r="O31" s="190">
        <v>0</v>
      </c>
      <c r="P31" s="190">
        <v>5</v>
      </c>
      <c r="Q31" s="190">
        <v>5</v>
      </c>
      <c r="R31" s="190">
        <v>0</v>
      </c>
      <c r="S31" s="190">
        <v>0</v>
      </c>
      <c r="T31" s="190">
        <v>0</v>
      </c>
      <c r="U31" s="190">
        <v>0</v>
      </c>
      <c r="V31" s="190">
        <v>3</v>
      </c>
      <c r="W31" s="190">
        <v>3</v>
      </c>
      <c r="X31" s="190">
        <v>0</v>
      </c>
      <c r="Y31" s="190">
        <v>26</v>
      </c>
      <c r="Z31" s="190">
        <v>26</v>
      </c>
      <c r="AA31" s="190">
        <v>0</v>
      </c>
      <c r="AB31" s="190">
        <v>11</v>
      </c>
      <c r="AC31" s="190">
        <v>11</v>
      </c>
      <c r="AD31" s="190">
        <v>0</v>
      </c>
      <c r="AE31" s="190">
        <v>10</v>
      </c>
      <c r="AF31" s="190">
        <v>10</v>
      </c>
      <c r="AG31" s="190">
        <v>0</v>
      </c>
      <c r="AH31" s="190">
        <v>0</v>
      </c>
      <c r="AI31" s="190">
        <v>0</v>
      </c>
      <c r="AJ31" s="190">
        <v>0</v>
      </c>
      <c r="AK31" s="190">
        <v>1</v>
      </c>
      <c r="AL31" s="190">
        <v>1</v>
      </c>
      <c r="AM31" s="190">
        <v>0</v>
      </c>
      <c r="AN31" s="190">
        <v>15</v>
      </c>
      <c r="AO31" s="190">
        <v>15</v>
      </c>
      <c r="AP31" s="190">
        <v>10</v>
      </c>
      <c r="AQ31" s="190">
        <v>418</v>
      </c>
      <c r="AR31" s="190">
        <v>428</v>
      </c>
      <c r="AS31" s="190">
        <v>10</v>
      </c>
      <c r="AT31" s="190">
        <v>418</v>
      </c>
      <c r="AU31" s="190">
        <v>428</v>
      </c>
      <c r="AV31" s="190">
        <v>0</v>
      </c>
      <c r="AW31" s="190">
        <v>0</v>
      </c>
      <c r="AX31" s="190">
        <v>0</v>
      </c>
      <c r="AY31" s="190">
        <v>0</v>
      </c>
      <c r="AZ31" s="190">
        <v>30</v>
      </c>
      <c r="BA31" s="190">
        <v>30</v>
      </c>
      <c r="BB31" s="190">
        <v>0</v>
      </c>
      <c r="BC31" s="190">
        <v>0</v>
      </c>
      <c r="BD31" s="190">
        <v>0</v>
      </c>
      <c r="BE31" s="190">
        <v>15</v>
      </c>
      <c r="BF31" s="190">
        <v>0</v>
      </c>
      <c r="BG31" s="190">
        <v>0</v>
      </c>
      <c r="BH31" s="190">
        <v>0</v>
      </c>
      <c r="BI31" s="190">
        <v>15</v>
      </c>
      <c r="BJ31" s="190">
        <v>15</v>
      </c>
      <c r="BK31" s="190">
        <v>0</v>
      </c>
      <c r="BL31" s="190">
        <v>0</v>
      </c>
      <c r="BM31" s="190">
        <v>0</v>
      </c>
      <c r="BN31" s="190">
        <v>0</v>
      </c>
      <c r="BO31" s="190">
        <v>4</v>
      </c>
      <c r="BP31" s="190">
        <v>4</v>
      </c>
      <c r="BQ31" s="190">
        <v>0</v>
      </c>
      <c r="BR31" s="190">
        <v>3</v>
      </c>
      <c r="BS31" s="190">
        <v>3</v>
      </c>
      <c r="BT31" s="190">
        <v>0</v>
      </c>
      <c r="BU31" s="190">
        <v>8</v>
      </c>
      <c r="BV31" s="190">
        <v>8</v>
      </c>
      <c r="BW31" s="190">
        <v>10</v>
      </c>
      <c r="BX31" s="190">
        <v>448</v>
      </c>
      <c r="BY31" s="190">
        <v>458</v>
      </c>
      <c r="BZ31" s="190">
        <v>10</v>
      </c>
      <c r="CA31" s="190">
        <v>445</v>
      </c>
      <c r="CB31" s="190">
        <v>455</v>
      </c>
      <c r="CC31" s="190">
        <v>748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2</v>
      </c>
      <c r="CO31" s="190">
        <v>56</v>
      </c>
      <c r="CP31" s="190">
        <v>58</v>
      </c>
      <c r="CQ31" s="190">
        <v>0</v>
      </c>
      <c r="CR31" s="190">
        <v>0</v>
      </c>
      <c r="CS31" s="190">
        <v>0</v>
      </c>
      <c r="CT31" s="190">
        <v>8</v>
      </c>
      <c r="CU31" s="190">
        <v>392</v>
      </c>
      <c r="CV31" s="190">
        <v>400</v>
      </c>
      <c r="CW31" s="190">
        <v>0</v>
      </c>
      <c r="CX31" s="190">
        <v>10</v>
      </c>
      <c r="CY31" s="190">
        <v>10</v>
      </c>
      <c r="CZ31" s="190">
        <v>0</v>
      </c>
      <c r="DA31" s="190">
        <v>0</v>
      </c>
      <c r="DB31" s="190">
        <v>0</v>
      </c>
      <c r="DC31" s="190">
        <v>10</v>
      </c>
      <c r="DD31" s="190">
        <v>0</v>
      </c>
      <c r="DE31" s="190">
        <v>0</v>
      </c>
      <c r="DF31" s="190">
        <v>0</v>
      </c>
      <c r="DG31" s="190">
        <v>10</v>
      </c>
      <c r="DH31" s="190">
        <v>10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1585</v>
      </c>
      <c r="C32" s="190">
        <v>348</v>
      </c>
      <c r="D32" s="190">
        <v>1936</v>
      </c>
      <c r="E32" s="190">
        <v>1273</v>
      </c>
      <c r="F32" s="190">
        <v>1</v>
      </c>
      <c r="G32" s="190">
        <v>15</v>
      </c>
      <c r="H32" s="190">
        <v>16</v>
      </c>
      <c r="I32" s="190">
        <v>0</v>
      </c>
      <c r="J32" s="190">
        <v>582</v>
      </c>
      <c r="K32" s="190">
        <v>582</v>
      </c>
      <c r="L32" s="190">
        <v>0</v>
      </c>
      <c r="M32" s="190">
        <v>343</v>
      </c>
      <c r="N32" s="190">
        <v>343</v>
      </c>
      <c r="O32" s="190">
        <v>0</v>
      </c>
      <c r="P32" s="190">
        <v>239</v>
      </c>
      <c r="Q32" s="190">
        <v>239</v>
      </c>
      <c r="R32" s="190">
        <v>0</v>
      </c>
      <c r="S32" s="190">
        <v>6</v>
      </c>
      <c r="T32" s="190">
        <v>6</v>
      </c>
      <c r="U32" s="190">
        <v>0</v>
      </c>
      <c r="V32" s="190">
        <v>81</v>
      </c>
      <c r="W32" s="190">
        <v>81</v>
      </c>
      <c r="X32" s="190">
        <v>25</v>
      </c>
      <c r="Y32" s="190">
        <v>1911</v>
      </c>
      <c r="Z32" s="190">
        <v>1936</v>
      </c>
      <c r="AA32" s="190">
        <v>14</v>
      </c>
      <c r="AB32" s="190">
        <v>618</v>
      </c>
      <c r="AC32" s="190">
        <v>632</v>
      </c>
      <c r="AD32" s="190">
        <v>14</v>
      </c>
      <c r="AE32" s="190">
        <v>594</v>
      </c>
      <c r="AF32" s="190">
        <v>608</v>
      </c>
      <c r="AG32" s="190">
        <v>0</v>
      </c>
      <c r="AH32" s="190">
        <v>11</v>
      </c>
      <c r="AI32" s="190">
        <v>11</v>
      </c>
      <c r="AJ32" s="190">
        <v>0</v>
      </c>
      <c r="AK32" s="190">
        <v>13</v>
      </c>
      <c r="AL32" s="190">
        <v>13</v>
      </c>
      <c r="AM32" s="190">
        <v>11</v>
      </c>
      <c r="AN32" s="190">
        <v>1293</v>
      </c>
      <c r="AO32" s="190">
        <v>1304</v>
      </c>
      <c r="AP32" s="190">
        <v>2725</v>
      </c>
      <c r="AQ32" s="190">
        <v>18783</v>
      </c>
      <c r="AR32" s="190">
        <v>21508</v>
      </c>
      <c r="AS32" s="190">
        <v>2725</v>
      </c>
      <c r="AT32" s="190">
        <v>18783</v>
      </c>
      <c r="AU32" s="190">
        <v>21508</v>
      </c>
      <c r="AV32" s="190">
        <v>0</v>
      </c>
      <c r="AW32" s="190">
        <v>0</v>
      </c>
      <c r="AX32" s="190">
        <v>0</v>
      </c>
      <c r="AY32" s="190">
        <v>520</v>
      </c>
      <c r="AZ32" s="190">
        <v>1581</v>
      </c>
      <c r="BA32" s="190">
        <v>2101</v>
      </c>
      <c r="BB32" s="190">
        <v>43</v>
      </c>
      <c r="BC32" s="190">
        <v>0</v>
      </c>
      <c r="BD32" s="190">
        <v>0</v>
      </c>
      <c r="BE32" s="190">
        <v>1217</v>
      </c>
      <c r="BF32" s="190">
        <v>13</v>
      </c>
      <c r="BG32" s="190">
        <v>0</v>
      </c>
      <c r="BH32" s="190">
        <v>43</v>
      </c>
      <c r="BI32" s="190">
        <v>1230</v>
      </c>
      <c r="BJ32" s="190">
        <v>1273</v>
      </c>
      <c r="BK32" s="190">
        <v>413</v>
      </c>
      <c r="BL32" s="190">
        <v>-413</v>
      </c>
      <c r="BM32" s="190">
        <v>0</v>
      </c>
      <c r="BN32" s="190">
        <v>4</v>
      </c>
      <c r="BO32" s="190">
        <v>24</v>
      </c>
      <c r="BP32" s="190">
        <v>28</v>
      </c>
      <c r="BQ32" s="190">
        <v>20</v>
      </c>
      <c r="BR32" s="190">
        <v>144</v>
      </c>
      <c r="BS32" s="190">
        <v>164</v>
      </c>
      <c r="BT32" s="190">
        <v>40</v>
      </c>
      <c r="BU32" s="190">
        <v>596</v>
      </c>
      <c r="BV32" s="190">
        <v>636</v>
      </c>
      <c r="BW32" s="190">
        <v>3245</v>
      </c>
      <c r="BX32" s="190">
        <v>20364</v>
      </c>
      <c r="BY32" s="190">
        <v>23609</v>
      </c>
      <c r="BZ32" s="190">
        <v>3218</v>
      </c>
      <c r="CA32" s="190">
        <v>20075</v>
      </c>
      <c r="CB32" s="190">
        <v>23293</v>
      </c>
      <c r="CC32" s="190">
        <v>52366</v>
      </c>
      <c r="CD32" s="190">
        <v>13</v>
      </c>
      <c r="CE32" s="190">
        <v>309</v>
      </c>
      <c r="CF32" s="190">
        <v>26</v>
      </c>
      <c r="CG32" s="190">
        <v>262</v>
      </c>
      <c r="CH32" s="190">
        <v>288</v>
      </c>
      <c r="CI32" s="190">
        <v>30</v>
      </c>
      <c r="CJ32" s="190">
        <v>8</v>
      </c>
      <c r="CK32" s="190">
        <v>1</v>
      </c>
      <c r="CL32" s="190">
        <v>27</v>
      </c>
      <c r="CM32" s="190">
        <v>28</v>
      </c>
      <c r="CN32" s="190">
        <v>123</v>
      </c>
      <c r="CO32" s="190">
        <v>1508</v>
      </c>
      <c r="CP32" s="190">
        <v>1631</v>
      </c>
      <c r="CQ32" s="190">
        <v>0</v>
      </c>
      <c r="CR32" s="190">
        <v>4</v>
      </c>
      <c r="CS32" s="190">
        <v>4</v>
      </c>
      <c r="CT32" s="190">
        <v>3122</v>
      </c>
      <c r="CU32" s="190">
        <v>18856</v>
      </c>
      <c r="CV32" s="190">
        <v>21978</v>
      </c>
      <c r="CW32" s="190">
        <v>127</v>
      </c>
      <c r="CX32" s="190">
        <v>780</v>
      </c>
      <c r="CY32" s="190">
        <v>907</v>
      </c>
      <c r="CZ32" s="190">
        <v>124</v>
      </c>
      <c r="DA32" s="190">
        <v>3</v>
      </c>
      <c r="DB32" s="190">
        <v>0</v>
      </c>
      <c r="DC32" s="190">
        <v>757</v>
      </c>
      <c r="DD32" s="190">
        <v>8</v>
      </c>
      <c r="DE32" s="190">
        <v>0</v>
      </c>
      <c r="DF32" s="190">
        <v>127</v>
      </c>
      <c r="DG32" s="190">
        <v>765</v>
      </c>
      <c r="DH32" s="190">
        <v>892</v>
      </c>
      <c r="DI32" s="190">
        <v>0</v>
      </c>
      <c r="DJ32" s="190">
        <v>0</v>
      </c>
      <c r="DK32" s="190">
        <v>0</v>
      </c>
      <c r="DL32" s="190">
        <v>15</v>
      </c>
      <c r="DM32" s="190">
        <v>0</v>
      </c>
      <c r="DN32" s="190">
        <v>0</v>
      </c>
      <c r="DO32" s="190">
        <v>0</v>
      </c>
      <c r="DP32" s="190">
        <v>15</v>
      </c>
      <c r="DQ32" s="190">
        <v>15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279</v>
      </c>
      <c r="C33" s="190">
        <v>76</v>
      </c>
      <c r="D33" s="190">
        <v>268</v>
      </c>
      <c r="E33" s="190">
        <v>133</v>
      </c>
      <c r="F33" s="190">
        <v>0</v>
      </c>
      <c r="G33" s="190">
        <v>8</v>
      </c>
      <c r="H33" s="190">
        <v>8</v>
      </c>
      <c r="I33" s="190">
        <v>0</v>
      </c>
      <c r="J33" s="190">
        <v>102</v>
      </c>
      <c r="K33" s="190">
        <v>102</v>
      </c>
      <c r="L33" s="190">
        <v>0</v>
      </c>
      <c r="M33" s="190">
        <v>32</v>
      </c>
      <c r="N33" s="190">
        <v>32</v>
      </c>
      <c r="O33" s="190">
        <v>0</v>
      </c>
      <c r="P33" s="190">
        <v>70</v>
      </c>
      <c r="Q33" s="190">
        <v>70</v>
      </c>
      <c r="R33" s="190">
        <v>0</v>
      </c>
      <c r="S33" s="190">
        <v>1</v>
      </c>
      <c r="T33" s="190">
        <v>1</v>
      </c>
      <c r="U33" s="190">
        <v>0</v>
      </c>
      <c r="V33" s="190">
        <v>33</v>
      </c>
      <c r="W33" s="190">
        <v>33</v>
      </c>
      <c r="X33" s="190">
        <v>3</v>
      </c>
      <c r="Y33" s="190">
        <v>265</v>
      </c>
      <c r="Z33" s="190">
        <v>268</v>
      </c>
      <c r="AA33" s="190">
        <v>1</v>
      </c>
      <c r="AB33" s="190">
        <v>87</v>
      </c>
      <c r="AC33" s="190">
        <v>88</v>
      </c>
      <c r="AD33" s="190">
        <v>1</v>
      </c>
      <c r="AE33" s="190">
        <v>82</v>
      </c>
      <c r="AF33" s="190">
        <v>83</v>
      </c>
      <c r="AG33" s="190">
        <v>0</v>
      </c>
      <c r="AH33" s="190">
        <v>3</v>
      </c>
      <c r="AI33" s="190">
        <v>3</v>
      </c>
      <c r="AJ33" s="190">
        <v>0</v>
      </c>
      <c r="AK33" s="190">
        <v>2</v>
      </c>
      <c r="AL33" s="190">
        <v>2</v>
      </c>
      <c r="AM33" s="190">
        <v>2</v>
      </c>
      <c r="AN33" s="190">
        <v>178</v>
      </c>
      <c r="AO33" s="190">
        <v>180</v>
      </c>
      <c r="AP33" s="190">
        <v>294</v>
      </c>
      <c r="AQ33" s="190">
        <v>2808</v>
      </c>
      <c r="AR33" s="190">
        <v>3102</v>
      </c>
      <c r="AS33" s="190">
        <v>294</v>
      </c>
      <c r="AT33" s="190">
        <v>2808</v>
      </c>
      <c r="AU33" s="190">
        <v>3102</v>
      </c>
      <c r="AV33" s="190">
        <v>0</v>
      </c>
      <c r="AW33" s="190">
        <v>0</v>
      </c>
      <c r="AX33" s="190">
        <v>0</v>
      </c>
      <c r="AY33" s="190">
        <v>19</v>
      </c>
      <c r="AZ33" s="190">
        <v>253</v>
      </c>
      <c r="BA33" s="190">
        <v>272</v>
      </c>
      <c r="BB33" s="190">
        <v>7</v>
      </c>
      <c r="BC33" s="190">
        <v>0</v>
      </c>
      <c r="BD33" s="190">
        <v>0</v>
      </c>
      <c r="BE33" s="190">
        <v>121</v>
      </c>
      <c r="BF33" s="190">
        <v>5</v>
      </c>
      <c r="BG33" s="190">
        <v>0</v>
      </c>
      <c r="BH33" s="190">
        <v>7</v>
      </c>
      <c r="BI33" s="190">
        <v>126</v>
      </c>
      <c r="BJ33" s="190">
        <v>133</v>
      </c>
      <c r="BK33" s="190">
        <v>2</v>
      </c>
      <c r="BL33" s="190">
        <v>-2</v>
      </c>
      <c r="BM33" s="190">
        <v>0</v>
      </c>
      <c r="BN33" s="190">
        <v>1</v>
      </c>
      <c r="BO33" s="190">
        <v>8</v>
      </c>
      <c r="BP33" s="190">
        <v>9</v>
      </c>
      <c r="BQ33" s="190">
        <v>3</v>
      </c>
      <c r="BR33" s="190">
        <v>18</v>
      </c>
      <c r="BS33" s="190">
        <v>21</v>
      </c>
      <c r="BT33" s="190">
        <v>6</v>
      </c>
      <c r="BU33" s="190">
        <v>103</v>
      </c>
      <c r="BV33" s="190">
        <v>109</v>
      </c>
      <c r="BW33" s="190">
        <v>313</v>
      </c>
      <c r="BX33" s="190">
        <v>3061</v>
      </c>
      <c r="BY33" s="190">
        <v>3374</v>
      </c>
      <c r="BZ33" s="190">
        <v>304</v>
      </c>
      <c r="CA33" s="190">
        <v>3011</v>
      </c>
      <c r="CB33" s="190">
        <v>3315</v>
      </c>
      <c r="CC33" s="190">
        <v>6784</v>
      </c>
      <c r="CD33" s="190">
        <v>3</v>
      </c>
      <c r="CE33" s="190">
        <v>56</v>
      </c>
      <c r="CF33" s="190">
        <v>9</v>
      </c>
      <c r="CG33" s="190">
        <v>45</v>
      </c>
      <c r="CH33" s="190">
        <v>54</v>
      </c>
      <c r="CI33" s="190">
        <v>5</v>
      </c>
      <c r="CJ33" s="190">
        <v>0</v>
      </c>
      <c r="CK33" s="190">
        <v>0</v>
      </c>
      <c r="CL33" s="190">
        <v>5</v>
      </c>
      <c r="CM33" s="190">
        <v>5</v>
      </c>
      <c r="CN33" s="190">
        <v>16</v>
      </c>
      <c r="CO33" s="190">
        <v>243</v>
      </c>
      <c r="CP33" s="190">
        <v>259</v>
      </c>
      <c r="CQ33" s="190">
        <v>0</v>
      </c>
      <c r="CR33" s="190">
        <v>0</v>
      </c>
      <c r="CS33" s="190">
        <v>0</v>
      </c>
      <c r="CT33" s="190">
        <v>297</v>
      </c>
      <c r="CU33" s="190">
        <v>2818</v>
      </c>
      <c r="CV33" s="190">
        <v>3115</v>
      </c>
      <c r="CW33" s="190">
        <v>20</v>
      </c>
      <c r="CX33" s="190">
        <v>156</v>
      </c>
      <c r="CY33" s="190">
        <v>176</v>
      </c>
      <c r="CZ33" s="190">
        <v>20</v>
      </c>
      <c r="DA33" s="190">
        <v>0</v>
      </c>
      <c r="DB33" s="190">
        <v>0</v>
      </c>
      <c r="DC33" s="190">
        <v>151</v>
      </c>
      <c r="DD33" s="190">
        <v>2</v>
      </c>
      <c r="DE33" s="190">
        <v>2</v>
      </c>
      <c r="DF33" s="190">
        <v>20</v>
      </c>
      <c r="DG33" s="190">
        <v>155</v>
      </c>
      <c r="DH33" s="190">
        <v>175</v>
      </c>
      <c r="DI33" s="190">
        <v>0</v>
      </c>
      <c r="DJ33" s="190">
        <v>0</v>
      </c>
      <c r="DK33" s="190">
        <v>0</v>
      </c>
      <c r="DL33" s="190">
        <v>1</v>
      </c>
      <c r="DM33" s="190">
        <v>0</v>
      </c>
      <c r="DN33" s="190">
        <v>0</v>
      </c>
      <c r="DO33" s="190">
        <v>0</v>
      </c>
      <c r="DP33" s="190">
        <v>1</v>
      </c>
      <c r="DQ33" s="190">
        <v>1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375</v>
      </c>
      <c r="C34" s="190">
        <v>125</v>
      </c>
      <c r="D34" s="190">
        <v>353</v>
      </c>
      <c r="E34" s="190">
        <v>215</v>
      </c>
      <c r="F34" s="190">
        <v>1</v>
      </c>
      <c r="G34" s="190">
        <v>32</v>
      </c>
      <c r="H34" s="190">
        <v>33</v>
      </c>
      <c r="I34" s="190">
        <v>0</v>
      </c>
      <c r="J34" s="190">
        <v>127</v>
      </c>
      <c r="K34" s="190">
        <v>127</v>
      </c>
      <c r="L34" s="190">
        <v>0</v>
      </c>
      <c r="M34" s="190">
        <v>45</v>
      </c>
      <c r="N34" s="190">
        <v>45</v>
      </c>
      <c r="O34" s="190">
        <v>0</v>
      </c>
      <c r="P34" s="190">
        <v>82</v>
      </c>
      <c r="Q34" s="190">
        <v>82</v>
      </c>
      <c r="R34" s="190">
        <v>0</v>
      </c>
      <c r="S34" s="190">
        <v>7</v>
      </c>
      <c r="T34" s="190">
        <v>7</v>
      </c>
      <c r="U34" s="190">
        <v>0</v>
      </c>
      <c r="V34" s="190">
        <v>11</v>
      </c>
      <c r="W34" s="190">
        <v>11</v>
      </c>
      <c r="X34" s="190">
        <v>3</v>
      </c>
      <c r="Y34" s="190">
        <v>350</v>
      </c>
      <c r="Z34" s="190">
        <v>353</v>
      </c>
      <c r="AA34" s="190">
        <v>2</v>
      </c>
      <c r="AB34" s="190">
        <v>157</v>
      </c>
      <c r="AC34" s="190">
        <v>159</v>
      </c>
      <c r="AD34" s="190">
        <v>2</v>
      </c>
      <c r="AE34" s="190">
        <v>128</v>
      </c>
      <c r="AF34" s="190">
        <v>130</v>
      </c>
      <c r="AG34" s="190">
        <v>0</v>
      </c>
      <c r="AH34" s="190">
        <v>6</v>
      </c>
      <c r="AI34" s="190">
        <v>6</v>
      </c>
      <c r="AJ34" s="190">
        <v>0</v>
      </c>
      <c r="AK34" s="190">
        <v>23</v>
      </c>
      <c r="AL34" s="190">
        <v>23</v>
      </c>
      <c r="AM34" s="190">
        <v>1</v>
      </c>
      <c r="AN34" s="190">
        <v>193</v>
      </c>
      <c r="AO34" s="190">
        <v>194</v>
      </c>
      <c r="AP34" s="190">
        <v>232</v>
      </c>
      <c r="AQ34" s="190">
        <v>3617</v>
      </c>
      <c r="AR34" s="190">
        <v>3849</v>
      </c>
      <c r="AS34" s="190">
        <v>232</v>
      </c>
      <c r="AT34" s="190">
        <v>3618</v>
      </c>
      <c r="AU34" s="190">
        <v>3850</v>
      </c>
      <c r="AV34" s="190">
        <v>0</v>
      </c>
      <c r="AW34" s="190">
        <v>-1</v>
      </c>
      <c r="AX34" s="190">
        <v>-1</v>
      </c>
      <c r="AY34" s="190">
        <v>13</v>
      </c>
      <c r="AZ34" s="190">
        <v>340</v>
      </c>
      <c r="BA34" s="190">
        <v>353</v>
      </c>
      <c r="BB34" s="190">
        <v>3</v>
      </c>
      <c r="BC34" s="190">
        <v>0</v>
      </c>
      <c r="BD34" s="190">
        <v>0</v>
      </c>
      <c r="BE34" s="190">
        <v>208</v>
      </c>
      <c r="BF34" s="190">
        <v>3</v>
      </c>
      <c r="BG34" s="190">
        <v>1</v>
      </c>
      <c r="BH34" s="190">
        <v>3</v>
      </c>
      <c r="BI34" s="190">
        <v>212</v>
      </c>
      <c r="BJ34" s="190">
        <v>215</v>
      </c>
      <c r="BK34" s="190">
        <v>2</v>
      </c>
      <c r="BL34" s="190">
        <v>-2</v>
      </c>
      <c r="BM34" s="190">
        <v>0</v>
      </c>
      <c r="BN34" s="190">
        <v>1</v>
      </c>
      <c r="BO34" s="190">
        <v>9</v>
      </c>
      <c r="BP34" s="190">
        <v>10</v>
      </c>
      <c r="BQ34" s="190">
        <v>0</v>
      </c>
      <c r="BR34" s="190">
        <v>48</v>
      </c>
      <c r="BS34" s="190">
        <v>48</v>
      </c>
      <c r="BT34" s="190">
        <v>7</v>
      </c>
      <c r="BU34" s="190">
        <v>73</v>
      </c>
      <c r="BV34" s="190">
        <v>80</v>
      </c>
      <c r="BW34" s="190">
        <v>245</v>
      </c>
      <c r="BX34" s="190">
        <v>3957</v>
      </c>
      <c r="BY34" s="190">
        <v>4202</v>
      </c>
      <c r="BZ34" s="190">
        <v>244</v>
      </c>
      <c r="CA34" s="190">
        <v>3944</v>
      </c>
      <c r="CB34" s="190">
        <v>4188</v>
      </c>
      <c r="CC34" s="190">
        <v>7314</v>
      </c>
      <c r="CD34" s="190">
        <v>2</v>
      </c>
      <c r="CE34" s="190">
        <v>12</v>
      </c>
      <c r="CF34" s="190">
        <v>1</v>
      </c>
      <c r="CG34" s="190">
        <v>12</v>
      </c>
      <c r="CH34" s="190">
        <v>13</v>
      </c>
      <c r="CI34" s="190">
        <v>1</v>
      </c>
      <c r="CJ34" s="190">
        <v>0</v>
      </c>
      <c r="CK34" s="190">
        <v>0</v>
      </c>
      <c r="CL34" s="190">
        <v>1</v>
      </c>
      <c r="CM34" s="190">
        <v>1</v>
      </c>
      <c r="CN34" s="190">
        <v>17</v>
      </c>
      <c r="CO34" s="190">
        <v>410</v>
      </c>
      <c r="CP34" s="190">
        <v>427</v>
      </c>
      <c r="CQ34" s="190">
        <v>0</v>
      </c>
      <c r="CR34" s="190">
        <v>4</v>
      </c>
      <c r="CS34" s="190">
        <v>4</v>
      </c>
      <c r="CT34" s="190">
        <v>228</v>
      </c>
      <c r="CU34" s="190">
        <v>3547</v>
      </c>
      <c r="CV34" s="190">
        <v>3775</v>
      </c>
      <c r="CW34" s="190">
        <v>11</v>
      </c>
      <c r="CX34" s="190">
        <v>146</v>
      </c>
      <c r="CY34" s="190">
        <v>157</v>
      </c>
      <c r="CZ34" s="190">
        <v>11</v>
      </c>
      <c r="DA34" s="190">
        <v>0</v>
      </c>
      <c r="DB34" s="190">
        <v>0</v>
      </c>
      <c r="DC34" s="190">
        <v>142</v>
      </c>
      <c r="DD34" s="190">
        <v>0</v>
      </c>
      <c r="DE34" s="190">
        <v>0</v>
      </c>
      <c r="DF34" s="190">
        <v>11</v>
      </c>
      <c r="DG34" s="190">
        <v>142</v>
      </c>
      <c r="DH34" s="190">
        <v>153</v>
      </c>
      <c r="DI34" s="190">
        <v>0</v>
      </c>
      <c r="DJ34" s="190">
        <v>0</v>
      </c>
      <c r="DK34" s="190">
        <v>0</v>
      </c>
      <c r="DL34" s="190">
        <v>4</v>
      </c>
      <c r="DM34" s="190">
        <v>0</v>
      </c>
      <c r="DN34" s="190">
        <v>0</v>
      </c>
      <c r="DO34" s="190">
        <v>0</v>
      </c>
      <c r="DP34" s="190">
        <v>4</v>
      </c>
      <c r="DQ34" s="190">
        <v>4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6186</v>
      </c>
      <c r="C35" s="190">
        <v>1550</v>
      </c>
      <c r="D35" s="190">
        <v>6170</v>
      </c>
      <c r="E35" s="190">
        <v>4249</v>
      </c>
      <c r="F35" s="190">
        <v>0</v>
      </c>
      <c r="G35" s="190">
        <v>42</v>
      </c>
      <c r="H35" s="190">
        <v>42</v>
      </c>
      <c r="I35" s="190">
        <v>0</v>
      </c>
      <c r="J35" s="190">
        <v>1662</v>
      </c>
      <c r="K35" s="190">
        <v>1662</v>
      </c>
      <c r="L35" s="190">
        <v>0</v>
      </c>
      <c r="M35" s="190">
        <v>756</v>
      </c>
      <c r="N35" s="190">
        <v>756</v>
      </c>
      <c r="O35" s="190">
        <v>0</v>
      </c>
      <c r="P35" s="190">
        <v>906</v>
      </c>
      <c r="Q35" s="190">
        <v>906</v>
      </c>
      <c r="R35" s="190">
        <v>0</v>
      </c>
      <c r="S35" s="190">
        <v>4</v>
      </c>
      <c r="T35" s="190">
        <v>4</v>
      </c>
      <c r="U35" s="190">
        <v>0</v>
      </c>
      <c r="V35" s="190">
        <v>259</v>
      </c>
      <c r="W35" s="190">
        <v>259</v>
      </c>
      <c r="X35" s="190">
        <v>75</v>
      </c>
      <c r="Y35" s="190">
        <v>4545</v>
      </c>
      <c r="Z35" s="190">
        <v>4620</v>
      </c>
      <c r="AA35" s="190">
        <v>39</v>
      </c>
      <c r="AB35" s="190">
        <v>1711</v>
      </c>
      <c r="AC35" s="190">
        <v>1750</v>
      </c>
      <c r="AD35" s="190">
        <v>39</v>
      </c>
      <c r="AE35" s="190">
        <v>1703</v>
      </c>
      <c r="AF35" s="190">
        <v>1742</v>
      </c>
      <c r="AG35" s="190">
        <v>0</v>
      </c>
      <c r="AH35" s="190">
        <v>5</v>
      </c>
      <c r="AI35" s="190">
        <v>5</v>
      </c>
      <c r="AJ35" s="190">
        <v>0</v>
      </c>
      <c r="AK35" s="190">
        <v>3</v>
      </c>
      <c r="AL35" s="190">
        <v>3</v>
      </c>
      <c r="AM35" s="190">
        <v>36</v>
      </c>
      <c r="AN35" s="190">
        <v>2834</v>
      </c>
      <c r="AO35" s="190">
        <v>2870</v>
      </c>
      <c r="AP35" s="190">
        <v>9725</v>
      </c>
      <c r="AQ35" s="190">
        <v>100600</v>
      </c>
      <c r="AR35" s="190">
        <v>110325</v>
      </c>
      <c r="AS35" s="190">
        <v>9826</v>
      </c>
      <c r="AT35" s="190">
        <v>100439</v>
      </c>
      <c r="AU35" s="190">
        <v>110265</v>
      </c>
      <c r="AV35" s="190">
        <v>-101</v>
      </c>
      <c r="AW35" s="190">
        <v>161</v>
      </c>
      <c r="AX35" s="190">
        <v>60</v>
      </c>
      <c r="AY35" s="190">
        <v>478</v>
      </c>
      <c r="AZ35" s="190">
        <v>8542</v>
      </c>
      <c r="BA35" s="190">
        <v>9020</v>
      </c>
      <c r="BB35" s="190">
        <v>190</v>
      </c>
      <c r="BC35" s="190">
        <v>8</v>
      </c>
      <c r="BD35" s="190">
        <v>0</v>
      </c>
      <c r="BE35" s="190">
        <v>3929</v>
      </c>
      <c r="BF35" s="190">
        <v>67</v>
      </c>
      <c r="BG35" s="190">
        <v>55</v>
      </c>
      <c r="BH35" s="190">
        <v>198</v>
      </c>
      <c r="BI35" s="190">
        <v>4051</v>
      </c>
      <c r="BJ35" s="190">
        <v>4249</v>
      </c>
      <c r="BK35" s="190">
        <v>-84</v>
      </c>
      <c r="BL35" s="190">
        <v>84</v>
      </c>
      <c r="BM35" s="190">
        <v>0</v>
      </c>
      <c r="BN35" s="190">
        <v>10</v>
      </c>
      <c r="BO35" s="190">
        <v>91</v>
      </c>
      <c r="BP35" s="190">
        <v>101</v>
      </c>
      <c r="BQ35" s="190">
        <v>58</v>
      </c>
      <c r="BR35" s="190">
        <v>910</v>
      </c>
      <c r="BS35" s="190">
        <v>968</v>
      </c>
      <c r="BT35" s="190">
        <v>296</v>
      </c>
      <c r="BU35" s="190">
        <v>3406</v>
      </c>
      <c r="BV35" s="190">
        <v>3702</v>
      </c>
      <c r="BW35" s="190">
        <v>10203</v>
      </c>
      <c r="BX35" s="190">
        <v>109142</v>
      </c>
      <c r="BY35" s="190">
        <v>119345</v>
      </c>
      <c r="BZ35" s="190">
        <v>9998</v>
      </c>
      <c r="CA35" s="190">
        <v>105977</v>
      </c>
      <c r="CB35" s="190">
        <v>115975</v>
      </c>
      <c r="CC35" s="190">
        <v>243939</v>
      </c>
      <c r="CD35" s="190">
        <v>279</v>
      </c>
      <c r="CE35" s="190">
        <v>2957</v>
      </c>
      <c r="CF35" s="190">
        <v>202</v>
      </c>
      <c r="CG35" s="190">
        <v>2041</v>
      </c>
      <c r="CH35" s="190">
        <v>2243</v>
      </c>
      <c r="CI35" s="190">
        <v>1557</v>
      </c>
      <c r="CJ35" s="190">
        <v>13</v>
      </c>
      <c r="CK35" s="190">
        <v>3</v>
      </c>
      <c r="CL35" s="190">
        <v>1124</v>
      </c>
      <c r="CM35" s="190">
        <v>1127</v>
      </c>
      <c r="CN35" s="190">
        <v>539</v>
      </c>
      <c r="CO35" s="190">
        <v>10473</v>
      </c>
      <c r="CP35" s="190">
        <v>11012</v>
      </c>
      <c r="CQ35" s="190">
        <v>0</v>
      </c>
      <c r="CR35" s="190">
        <v>0</v>
      </c>
      <c r="CS35" s="190">
        <v>0</v>
      </c>
      <c r="CT35" s="190">
        <v>9664</v>
      </c>
      <c r="CU35" s="190">
        <v>98669</v>
      </c>
      <c r="CV35" s="190">
        <v>108333</v>
      </c>
      <c r="CW35" s="190">
        <v>610</v>
      </c>
      <c r="CX35" s="190">
        <v>6093</v>
      </c>
      <c r="CY35" s="190">
        <v>6703</v>
      </c>
      <c r="CZ35" s="190">
        <v>585</v>
      </c>
      <c r="DA35" s="190">
        <v>13</v>
      </c>
      <c r="DB35" s="190">
        <v>0</v>
      </c>
      <c r="DC35" s="190">
        <v>4635</v>
      </c>
      <c r="DD35" s="190">
        <v>95</v>
      </c>
      <c r="DE35" s="190">
        <v>33</v>
      </c>
      <c r="DF35" s="190">
        <v>598</v>
      </c>
      <c r="DG35" s="190">
        <v>4763</v>
      </c>
      <c r="DH35" s="190">
        <v>5361</v>
      </c>
      <c r="DI35" s="190">
        <v>12</v>
      </c>
      <c r="DJ35" s="190">
        <v>0</v>
      </c>
      <c r="DK35" s="190">
        <v>0</v>
      </c>
      <c r="DL35" s="190">
        <v>1276</v>
      </c>
      <c r="DM35" s="190">
        <v>40</v>
      </c>
      <c r="DN35" s="190">
        <v>14</v>
      </c>
      <c r="DO35" s="190">
        <v>12</v>
      </c>
      <c r="DP35" s="190">
        <v>1330</v>
      </c>
      <c r="DQ35" s="190">
        <v>1342</v>
      </c>
      <c r="DR35" s="190">
        <v>4</v>
      </c>
      <c r="DS35" s="190">
        <v>79</v>
      </c>
      <c r="DT35" s="191">
        <v>83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594</v>
      </c>
      <c r="C36" s="190">
        <v>244</v>
      </c>
      <c r="D36" s="190">
        <v>565</v>
      </c>
      <c r="E36" s="190">
        <v>275</v>
      </c>
      <c r="F36" s="190">
        <v>0</v>
      </c>
      <c r="G36" s="190">
        <v>0</v>
      </c>
      <c r="H36" s="190">
        <v>0</v>
      </c>
      <c r="I36" s="190">
        <v>0</v>
      </c>
      <c r="J36" s="190">
        <v>261</v>
      </c>
      <c r="K36" s="190">
        <v>261</v>
      </c>
      <c r="L36" s="190">
        <v>0</v>
      </c>
      <c r="M36" s="190">
        <v>66</v>
      </c>
      <c r="N36" s="190">
        <v>66</v>
      </c>
      <c r="O36" s="190">
        <v>0</v>
      </c>
      <c r="P36" s="190">
        <v>195</v>
      </c>
      <c r="Q36" s="190">
        <v>195</v>
      </c>
      <c r="R36" s="190">
        <v>0</v>
      </c>
      <c r="S36" s="190">
        <v>17</v>
      </c>
      <c r="T36" s="190">
        <v>17</v>
      </c>
      <c r="U36" s="190">
        <v>0</v>
      </c>
      <c r="V36" s="190">
        <v>29</v>
      </c>
      <c r="W36" s="190">
        <v>29</v>
      </c>
      <c r="X36" s="190">
        <v>5</v>
      </c>
      <c r="Y36" s="190">
        <v>352</v>
      </c>
      <c r="Z36" s="190">
        <v>357</v>
      </c>
      <c r="AA36" s="190">
        <v>3</v>
      </c>
      <c r="AB36" s="190">
        <v>171</v>
      </c>
      <c r="AC36" s="190">
        <v>174</v>
      </c>
      <c r="AD36" s="190">
        <v>3</v>
      </c>
      <c r="AE36" s="190">
        <v>165</v>
      </c>
      <c r="AF36" s="190">
        <v>168</v>
      </c>
      <c r="AG36" s="190">
        <v>0</v>
      </c>
      <c r="AH36" s="190">
        <v>5</v>
      </c>
      <c r="AI36" s="190">
        <v>5</v>
      </c>
      <c r="AJ36" s="190">
        <v>0</v>
      </c>
      <c r="AK36" s="190">
        <v>1</v>
      </c>
      <c r="AL36" s="190">
        <v>1</v>
      </c>
      <c r="AM36" s="190">
        <v>2</v>
      </c>
      <c r="AN36" s="190">
        <v>181</v>
      </c>
      <c r="AO36" s="190">
        <v>183</v>
      </c>
      <c r="AP36" s="190">
        <v>648</v>
      </c>
      <c r="AQ36" s="190">
        <v>7575</v>
      </c>
      <c r="AR36" s="190">
        <v>8223</v>
      </c>
      <c r="AS36" s="190">
        <v>637</v>
      </c>
      <c r="AT36" s="190">
        <v>7342</v>
      </c>
      <c r="AU36" s="190">
        <v>7979</v>
      </c>
      <c r="AV36" s="190">
        <v>11</v>
      </c>
      <c r="AW36" s="190">
        <v>233</v>
      </c>
      <c r="AX36" s="190">
        <v>244</v>
      </c>
      <c r="AY36" s="190">
        <v>39</v>
      </c>
      <c r="AZ36" s="190">
        <v>575</v>
      </c>
      <c r="BA36" s="190">
        <v>614</v>
      </c>
      <c r="BB36" s="190">
        <v>14</v>
      </c>
      <c r="BC36" s="190">
        <v>1</v>
      </c>
      <c r="BD36" s="190">
        <v>0</v>
      </c>
      <c r="BE36" s="190">
        <v>257</v>
      </c>
      <c r="BF36" s="190">
        <v>0</v>
      </c>
      <c r="BG36" s="190">
        <v>3</v>
      </c>
      <c r="BH36" s="190">
        <v>15</v>
      </c>
      <c r="BI36" s="190">
        <v>260</v>
      </c>
      <c r="BJ36" s="190">
        <v>275</v>
      </c>
      <c r="BK36" s="190">
        <v>-1</v>
      </c>
      <c r="BL36" s="190">
        <v>1</v>
      </c>
      <c r="BM36" s="190">
        <v>0</v>
      </c>
      <c r="BN36" s="190">
        <v>3</v>
      </c>
      <c r="BO36" s="190">
        <v>40</v>
      </c>
      <c r="BP36" s="190">
        <v>43</v>
      </c>
      <c r="BQ36" s="190">
        <v>4</v>
      </c>
      <c r="BR36" s="190">
        <v>82</v>
      </c>
      <c r="BS36" s="190">
        <v>86</v>
      </c>
      <c r="BT36" s="190">
        <v>18</v>
      </c>
      <c r="BU36" s="190">
        <v>192</v>
      </c>
      <c r="BV36" s="190">
        <v>210</v>
      </c>
      <c r="BW36" s="190">
        <v>687</v>
      </c>
      <c r="BX36" s="190">
        <v>8150</v>
      </c>
      <c r="BY36" s="190">
        <v>8837</v>
      </c>
      <c r="BZ36" s="190">
        <v>677</v>
      </c>
      <c r="CA36" s="190">
        <v>8076</v>
      </c>
      <c r="CB36" s="190">
        <v>8753</v>
      </c>
      <c r="CC36" s="190">
        <v>16251</v>
      </c>
      <c r="CD36" s="190">
        <v>5</v>
      </c>
      <c r="CE36" s="190">
        <v>63</v>
      </c>
      <c r="CF36" s="190">
        <v>8</v>
      </c>
      <c r="CG36" s="190">
        <v>40</v>
      </c>
      <c r="CH36" s="190">
        <v>48</v>
      </c>
      <c r="CI36" s="190">
        <v>50</v>
      </c>
      <c r="CJ36" s="190">
        <v>7</v>
      </c>
      <c r="CK36" s="190">
        <v>2</v>
      </c>
      <c r="CL36" s="190">
        <v>34</v>
      </c>
      <c r="CM36" s="190">
        <v>36</v>
      </c>
      <c r="CN36" s="190">
        <v>53</v>
      </c>
      <c r="CO36" s="190">
        <v>915</v>
      </c>
      <c r="CP36" s="190">
        <v>968</v>
      </c>
      <c r="CQ36" s="190">
        <v>0</v>
      </c>
      <c r="CR36" s="190">
        <v>0</v>
      </c>
      <c r="CS36" s="190">
        <v>0</v>
      </c>
      <c r="CT36" s="190">
        <v>634</v>
      </c>
      <c r="CU36" s="190">
        <v>7235</v>
      </c>
      <c r="CV36" s="190">
        <v>7869</v>
      </c>
      <c r="CW36" s="190">
        <v>35</v>
      </c>
      <c r="CX36" s="190">
        <v>302</v>
      </c>
      <c r="CY36" s="190">
        <v>337</v>
      </c>
      <c r="CZ36" s="190">
        <v>35</v>
      </c>
      <c r="DA36" s="190">
        <v>0</v>
      </c>
      <c r="DB36" s="190">
        <v>0</v>
      </c>
      <c r="DC36" s="190">
        <v>299</v>
      </c>
      <c r="DD36" s="190">
        <v>1</v>
      </c>
      <c r="DE36" s="190">
        <v>0</v>
      </c>
      <c r="DF36" s="190">
        <v>35</v>
      </c>
      <c r="DG36" s="190">
        <v>300</v>
      </c>
      <c r="DH36" s="190">
        <v>335</v>
      </c>
      <c r="DI36" s="190">
        <v>0</v>
      </c>
      <c r="DJ36" s="190">
        <v>0</v>
      </c>
      <c r="DK36" s="190">
        <v>0</v>
      </c>
      <c r="DL36" s="190">
        <v>2</v>
      </c>
      <c r="DM36" s="190">
        <v>0</v>
      </c>
      <c r="DN36" s="190">
        <v>0</v>
      </c>
      <c r="DO36" s="190">
        <v>0</v>
      </c>
      <c r="DP36" s="190">
        <v>2</v>
      </c>
      <c r="DQ36" s="190">
        <v>2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103</v>
      </c>
      <c r="C37" s="190">
        <v>18</v>
      </c>
      <c r="D37" s="190">
        <v>93</v>
      </c>
      <c r="E37" s="190">
        <v>56</v>
      </c>
      <c r="F37" s="190">
        <v>0</v>
      </c>
      <c r="G37" s="190">
        <v>4</v>
      </c>
      <c r="H37" s="190">
        <v>4</v>
      </c>
      <c r="I37" s="190">
        <v>0</v>
      </c>
      <c r="J37" s="190">
        <v>34</v>
      </c>
      <c r="K37" s="190">
        <v>34</v>
      </c>
      <c r="L37" s="190">
        <v>0</v>
      </c>
      <c r="M37" s="190">
        <v>8</v>
      </c>
      <c r="N37" s="190">
        <v>8</v>
      </c>
      <c r="O37" s="190">
        <v>0</v>
      </c>
      <c r="P37" s="190">
        <v>26</v>
      </c>
      <c r="Q37" s="190">
        <v>26</v>
      </c>
      <c r="R37" s="190">
        <v>0</v>
      </c>
      <c r="S37" s="190">
        <v>0</v>
      </c>
      <c r="T37" s="190">
        <v>0</v>
      </c>
      <c r="U37" s="190">
        <v>0</v>
      </c>
      <c r="V37" s="190">
        <v>3</v>
      </c>
      <c r="W37" s="190">
        <v>3</v>
      </c>
      <c r="X37" s="190">
        <v>0</v>
      </c>
      <c r="Y37" s="190">
        <v>93</v>
      </c>
      <c r="Z37" s="190">
        <v>93</v>
      </c>
      <c r="AA37" s="190">
        <v>0</v>
      </c>
      <c r="AB37" s="190">
        <v>31</v>
      </c>
      <c r="AC37" s="190">
        <v>31</v>
      </c>
      <c r="AD37" s="190">
        <v>0</v>
      </c>
      <c r="AE37" s="190">
        <v>28</v>
      </c>
      <c r="AF37" s="190">
        <v>28</v>
      </c>
      <c r="AG37" s="190">
        <v>0</v>
      </c>
      <c r="AH37" s="190">
        <v>3</v>
      </c>
      <c r="AI37" s="190">
        <v>3</v>
      </c>
      <c r="AJ37" s="190">
        <v>0</v>
      </c>
      <c r="AK37" s="190">
        <v>0</v>
      </c>
      <c r="AL37" s="190">
        <v>0</v>
      </c>
      <c r="AM37" s="190">
        <v>0</v>
      </c>
      <c r="AN37" s="190">
        <v>62</v>
      </c>
      <c r="AO37" s="190">
        <v>62</v>
      </c>
      <c r="AP37" s="190">
        <v>82</v>
      </c>
      <c r="AQ37" s="190">
        <v>974</v>
      </c>
      <c r="AR37" s="190">
        <v>1056</v>
      </c>
      <c r="AS37" s="190">
        <v>82</v>
      </c>
      <c r="AT37" s="190">
        <v>974</v>
      </c>
      <c r="AU37" s="190">
        <v>1056</v>
      </c>
      <c r="AV37" s="190">
        <v>0</v>
      </c>
      <c r="AW37" s="190">
        <v>0</v>
      </c>
      <c r="AX37" s="190">
        <v>0</v>
      </c>
      <c r="AY37" s="190">
        <v>7</v>
      </c>
      <c r="AZ37" s="190">
        <v>108</v>
      </c>
      <c r="BA37" s="190">
        <v>115</v>
      </c>
      <c r="BB37" s="190">
        <v>0</v>
      </c>
      <c r="BC37" s="190">
        <v>0</v>
      </c>
      <c r="BD37" s="190">
        <v>0</v>
      </c>
      <c r="BE37" s="190">
        <v>56</v>
      </c>
      <c r="BF37" s="190">
        <v>0</v>
      </c>
      <c r="BG37" s="190">
        <v>0</v>
      </c>
      <c r="BH37" s="190">
        <v>0</v>
      </c>
      <c r="BI37" s="190">
        <v>56</v>
      </c>
      <c r="BJ37" s="190">
        <v>56</v>
      </c>
      <c r="BK37" s="190">
        <v>4</v>
      </c>
      <c r="BL37" s="190">
        <v>-4</v>
      </c>
      <c r="BM37" s="190">
        <v>0</v>
      </c>
      <c r="BN37" s="190">
        <v>1</v>
      </c>
      <c r="BO37" s="190">
        <v>1</v>
      </c>
      <c r="BP37" s="190">
        <v>2</v>
      </c>
      <c r="BQ37" s="190">
        <v>1</v>
      </c>
      <c r="BR37" s="190">
        <v>26</v>
      </c>
      <c r="BS37" s="190">
        <v>27</v>
      </c>
      <c r="BT37" s="190">
        <v>1</v>
      </c>
      <c r="BU37" s="190">
        <v>29</v>
      </c>
      <c r="BV37" s="190">
        <v>30</v>
      </c>
      <c r="BW37" s="190">
        <v>89</v>
      </c>
      <c r="BX37" s="190">
        <v>1082</v>
      </c>
      <c r="BY37" s="190">
        <v>1171</v>
      </c>
      <c r="BZ37" s="190">
        <v>89</v>
      </c>
      <c r="CA37" s="190">
        <v>1081</v>
      </c>
      <c r="CB37" s="190">
        <v>1170</v>
      </c>
      <c r="CC37" s="190">
        <v>2109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4</v>
      </c>
      <c r="CO37" s="190">
        <v>113</v>
      </c>
      <c r="CP37" s="190">
        <v>117</v>
      </c>
      <c r="CQ37" s="190">
        <v>0</v>
      </c>
      <c r="CR37" s="190">
        <v>0</v>
      </c>
      <c r="CS37" s="190">
        <v>0</v>
      </c>
      <c r="CT37" s="190">
        <v>85</v>
      </c>
      <c r="CU37" s="190">
        <v>969</v>
      </c>
      <c r="CV37" s="190">
        <v>1054</v>
      </c>
      <c r="CW37" s="190">
        <v>4</v>
      </c>
      <c r="CX37" s="190">
        <v>39</v>
      </c>
      <c r="CY37" s="190">
        <v>43</v>
      </c>
      <c r="CZ37" s="190">
        <v>4</v>
      </c>
      <c r="DA37" s="190">
        <v>0</v>
      </c>
      <c r="DB37" s="190">
        <v>0</v>
      </c>
      <c r="DC37" s="190">
        <v>39</v>
      </c>
      <c r="DD37" s="190">
        <v>0</v>
      </c>
      <c r="DE37" s="190">
        <v>0</v>
      </c>
      <c r="DF37" s="190">
        <v>4</v>
      </c>
      <c r="DG37" s="190">
        <v>39</v>
      </c>
      <c r="DH37" s="190">
        <v>43</v>
      </c>
      <c r="DI37" s="190">
        <v>0</v>
      </c>
      <c r="DJ37" s="190">
        <v>0</v>
      </c>
      <c r="DK37" s="190">
        <v>0</v>
      </c>
      <c r="DL37" s="190">
        <v>0</v>
      </c>
      <c r="DM37" s="190">
        <v>0</v>
      </c>
      <c r="DN37" s="190">
        <v>0</v>
      </c>
      <c r="DO37" s="190">
        <v>0</v>
      </c>
      <c r="DP37" s="190">
        <v>0</v>
      </c>
      <c r="DQ37" s="190">
        <v>0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8800</v>
      </c>
      <c r="C38" s="190">
        <v>2396</v>
      </c>
      <c r="D38" s="190">
        <v>9456</v>
      </c>
      <c r="E38" s="190">
        <v>5620</v>
      </c>
      <c r="F38" s="190">
        <v>1</v>
      </c>
      <c r="G38" s="190">
        <v>30</v>
      </c>
      <c r="H38" s="190">
        <v>31</v>
      </c>
      <c r="I38" s="190">
        <v>5</v>
      </c>
      <c r="J38" s="190">
        <v>3501</v>
      </c>
      <c r="K38" s="190">
        <v>3506</v>
      </c>
      <c r="L38" s="190">
        <v>5</v>
      </c>
      <c r="M38" s="190">
        <v>1408</v>
      </c>
      <c r="N38" s="190">
        <v>1413</v>
      </c>
      <c r="O38" s="190">
        <v>0</v>
      </c>
      <c r="P38" s="190">
        <v>2093</v>
      </c>
      <c r="Q38" s="190">
        <v>2093</v>
      </c>
      <c r="R38" s="190">
        <v>0</v>
      </c>
      <c r="S38" s="190">
        <v>17</v>
      </c>
      <c r="T38" s="190">
        <v>17</v>
      </c>
      <c r="U38" s="190">
        <v>0</v>
      </c>
      <c r="V38" s="190">
        <v>330</v>
      </c>
      <c r="W38" s="190">
        <v>330</v>
      </c>
      <c r="X38" s="190">
        <v>228</v>
      </c>
      <c r="Y38" s="190">
        <v>9228</v>
      </c>
      <c r="Z38" s="190">
        <v>9456</v>
      </c>
      <c r="AA38" s="190">
        <v>168</v>
      </c>
      <c r="AB38" s="190">
        <v>3895</v>
      </c>
      <c r="AC38" s="190">
        <v>4063</v>
      </c>
      <c r="AD38" s="190">
        <v>158</v>
      </c>
      <c r="AE38" s="190">
        <v>3687</v>
      </c>
      <c r="AF38" s="190">
        <v>3845</v>
      </c>
      <c r="AG38" s="190">
        <v>3</v>
      </c>
      <c r="AH38" s="190">
        <v>117</v>
      </c>
      <c r="AI38" s="190">
        <v>120</v>
      </c>
      <c r="AJ38" s="190">
        <v>7</v>
      </c>
      <c r="AK38" s="190">
        <v>91</v>
      </c>
      <c r="AL38" s="190">
        <v>98</v>
      </c>
      <c r="AM38" s="190">
        <v>60</v>
      </c>
      <c r="AN38" s="190">
        <v>5333</v>
      </c>
      <c r="AO38" s="190">
        <v>5393</v>
      </c>
      <c r="AP38" s="190">
        <v>14240</v>
      </c>
      <c r="AQ38" s="190">
        <v>101567</v>
      </c>
      <c r="AR38" s="190">
        <v>115807</v>
      </c>
      <c r="AS38" s="190">
        <v>14240</v>
      </c>
      <c r="AT38" s="190">
        <v>101567</v>
      </c>
      <c r="AU38" s="190">
        <v>115807</v>
      </c>
      <c r="AV38" s="190">
        <v>0</v>
      </c>
      <c r="AW38" s="190">
        <v>0</v>
      </c>
      <c r="AX38" s="190">
        <v>0</v>
      </c>
      <c r="AY38" s="190">
        <v>648</v>
      </c>
      <c r="AZ38" s="190">
        <v>9182</v>
      </c>
      <c r="BA38" s="190">
        <v>9830</v>
      </c>
      <c r="BB38" s="190">
        <v>270</v>
      </c>
      <c r="BC38" s="190">
        <v>1</v>
      </c>
      <c r="BD38" s="190">
        <v>0</v>
      </c>
      <c r="BE38" s="190">
        <v>5289</v>
      </c>
      <c r="BF38" s="190">
        <v>42</v>
      </c>
      <c r="BG38" s="190">
        <v>18</v>
      </c>
      <c r="BH38" s="190">
        <v>271</v>
      </c>
      <c r="BI38" s="190">
        <v>5349</v>
      </c>
      <c r="BJ38" s="190">
        <v>5620</v>
      </c>
      <c r="BK38" s="190">
        <v>-45</v>
      </c>
      <c r="BL38" s="190">
        <v>45</v>
      </c>
      <c r="BM38" s="190">
        <v>0</v>
      </c>
      <c r="BN38" s="190">
        <v>24</v>
      </c>
      <c r="BO38" s="190">
        <v>153</v>
      </c>
      <c r="BP38" s="190">
        <v>177</v>
      </c>
      <c r="BQ38" s="190">
        <v>121</v>
      </c>
      <c r="BR38" s="190">
        <v>1616</v>
      </c>
      <c r="BS38" s="190">
        <v>1737</v>
      </c>
      <c r="BT38" s="190">
        <v>277</v>
      </c>
      <c r="BU38" s="190">
        <v>2019</v>
      </c>
      <c r="BV38" s="190">
        <v>2296</v>
      </c>
      <c r="BW38" s="190">
        <v>14888</v>
      </c>
      <c r="BX38" s="190">
        <v>110749</v>
      </c>
      <c r="BY38" s="190">
        <v>125637</v>
      </c>
      <c r="BZ38" s="190">
        <v>14773</v>
      </c>
      <c r="CA38" s="190">
        <v>109751</v>
      </c>
      <c r="CB38" s="190">
        <v>124524</v>
      </c>
      <c r="CC38" s="190">
        <v>276697</v>
      </c>
      <c r="CD38" s="190">
        <v>115</v>
      </c>
      <c r="CE38" s="190">
        <v>926</v>
      </c>
      <c r="CF38" s="190">
        <v>107</v>
      </c>
      <c r="CG38" s="190">
        <v>811</v>
      </c>
      <c r="CH38" s="190">
        <v>918</v>
      </c>
      <c r="CI38" s="190">
        <v>223</v>
      </c>
      <c r="CJ38" s="190">
        <v>31</v>
      </c>
      <c r="CK38" s="190">
        <v>8</v>
      </c>
      <c r="CL38" s="190">
        <v>187</v>
      </c>
      <c r="CM38" s="190">
        <v>195</v>
      </c>
      <c r="CN38" s="190">
        <v>774</v>
      </c>
      <c r="CO38" s="190">
        <v>10251</v>
      </c>
      <c r="CP38" s="190">
        <v>11025</v>
      </c>
      <c r="CQ38" s="190">
        <v>1</v>
      </c>
      <c r="CR38" s="190">
        <v>97</v>
      </c>
      <c r="CS38" s="190">
        <v>98</v>
      </c>
      <c r="CT38" s="190">
        <v>14114</v>
      </c>
      <c r="CU38" s="190">
        <v>100498</v>
      </c>
      <c r="CV38" s="190">
        <v>114612</v>
      </c>
      <c r="CW38" s="190">
        <v>943</v>
      </c>
      <c r="CX38" s="190">
        <v>4591</v>
      </c>
      <c r="CY38" s="190">
        <v>5534</v>
      </c>
      <c r="CZ38" s="190">
        <v>931</v>
      </c>
      <c r="DA38" s="190">
        <v>10</v>
      </c>
      <c r="DB38" s="190">
        <v>0</v>
      </c>
      <c r="DC38" s="190">
        <v>4507</v>
      </c>
      <c r="DD38" s="190">
        <v>31</v>
      </c>
      <c r="DE38" s="190">
        <v>5</v>
      </c>
      <c r="DF38" s="190">
        <v>941</v>
      </c>
      <c r="DG38" s="190">
        <v>4543</v>
      </c>
      <c r="DH38" s="190">
        <v>5484</v>
      </c>
      <c r="DI38" s="190">
        <v>2</v>
      </c>
      <c r="DJ38" s="190">
        <v>0</v>
      </c>
      <c r="DK38" s="190">
        <v>0</v>
      </c>
      <c r="DL38" s="190">
        <v>47</v>
      </c>
      <c r="DM38" s="190">
        <v>1</v>
      </c>
      <c r="DN38" s="190">
        <v>0</v>
      </c>
      <c r="DO38" s="190">
        <v>2</v>
      </c>
      <c r="DP38" s="190">
        <v>48</v>
      </c>
      <c r="DQ38" s="190">
        <v>50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6831</v>
      </c>
      <c r="C39" s="190">
        <v>1943</v>
      </c>
      <c r="D39" s="190">
        <v>6085</v>
      </c>
      <c r="E39" s="190">
        <v>3735</v>
      </c>
      <c r="F39" s="190">
        <v>5</v>
      </c>
      <c r="G39" s="190">
        <v>30</v>
      </c>
      <c r="H39" s="190">
        <v>35</v>
      </c>
      <c r="I39" s="190">
        <v>0</v>
      </c>
      <c r="J39" s="190">
        <v>2184</v>
      </c>
      <c r="K39" s="190">
        <v>2184</v>
      </c>
      <c r="L39" s="190">
        <v>0</v>
      </c>
      <c r="M39" s="190">
        <v>661</v>
      </c>
      <c r="N39" s="190">
        <v>661</v>
      </c>
      <c r="O39" s="190">
        <v>0</v>
      </c>
      <c r="P39" s="190">
        <v>1523</v>
      </c>
      <c r="Q39" s="190">
        <v>1523</v>
      </c>
      <c r="R39" s="190">
        <v>0</v>
      </c>
      <c r="S39" s="190">
        <v>97</v>
      </c>
      <c r="T39" s="190">
        <v>97</v>
      </c>
      <c r="U39" s="190">
        <v>0</v>
      </c>
      <c r="V39" s="190">
        <v>166</v>
      </c>
      <c r="W39" s="190">
        <v>166</v>
      </c>
      <c r="X39" s="190">
        <v>248</v>
      </c>
      <c r="Y39" s="190">
        <v>5837</v>
      </c>
      <c r="Z39" s="190">
        <v>6085</v>
      </c>
      <c r="AA39" s="190">
        <v>109</v>
      </c>
      <c r="AB39" s="190">
        <v>1555</v>
      </c>
      <c r="AC39" s="190">
        <v>1664</v>
      </c>
      <c r="AD39" s="190">
        <v>108</v>
      </c>
      <c r="AE39" s="190">
        <v>1545</v>
      </c>
      <c r="AF39" s="190">
        <v>1653</v>
      </c>
      <c r="AG39" s="190">
        <v>1</v>
      </c>
      <c r="AH39" s="190">
        <v>7</v>
      </c>
      <c r="AI39" s="190">
        <v>8</v>
      </c>
      <c r="AJ39" s="190">
        <v>0</v>
      </c>
      <c r="AK39" s="190">
        <v>3</v>
      </c>
      <c r="AL39" s="190">
        <v>3</v>
      </c>
      <c r="AM39" s="190">
        <v>139</v>
      </c>
      <c r="AN39" s="190">
        <v>4282</v>
      </c>
      <c r="AO39" s="190">
        <v>4421</v>
      </c>
      <c r="AP39" s="190">
        <v>13544</v>
      </c>
      <c r="AQ39" s="190">
        <v>78118</v>
      </c>
      <c r="AR39" s="190">
        <v>91662</v>
      </c>
      <c r="AS39" s="190">
        <v>13413</v>
      </c>
      <c r="AT39" s="190">
        <v>77430</v>
      </c>
      <c r="AU39" s="190">
        <v>90843</v>
      </c>
      <c r="AV39" s="190">
        <v>131</v>
      </c>
      <c r="AW39" s="190">
        <v>688</v>
      </c>
      <c r="AX39" s="190">
        <v>819</v>
      </c>
      <c r="AY39" s="190">
        <v>770</v>
      </c>
      <c r="AZ39" s="190">
        <v>7266</v>
      </c>
      <c r="BA39" s="190">
        <v>8036</v>
      </c>
      <c r="BB39" s="190">
        <v>397</v>
      </c>
      <c r="BC39" s="190">
        <v>20</v>
      </c>
      <c r="BD39" s="190">
        <v>0</v>
      </c>
      <c r="BE39" s="190">
        <v>3245</v>
      </c>
      <c r="BF39" s="190">
        <v>40</v>
      </c>
      <c r="BG39" s="190">
        <v>33</v>
      </c>
      <c r="BH39" s="190">
        <v>417</v>
      </c>
      <c r="BI39" s="190">
        <v>3318</v>
      </c>
      <c r="BJ39" s="190">
        <v>3735</v>
      </c>
      <c r="BK39" s="190">
        <v>-205</v>
      </c>
      <c r="BL39" s="190">
        <v>205</v>
      </c>
      <c r="BM39" s="190">
        <v>0</v>
      </c>
      <c r="BN39" s="190">
        <v>8</v>
      </c>
      <c r="BO39" s="190">
        <v>91</v>
      </c>
      <c r="BP39" s="190">
        <v>99</v>
      </c>
      <c r="BQ39" s="190">
        <v>50</v>
      </c>
      <c r="BR39" s="190">
        <v>576</v>
      </c>
      <c r="BS39" s="190">
        <v>626</v>
      </c>
      <c r="BT39" s="190">
        <v>500</v>
      </c>
      <c r="BU39" s="190">
        <v>3076</v>
      </c>
      <c r="BV39" s="190">
        <v>3576</v>
      </c>
      <c r="BW39" s="190">
        <v>14314</v>
      </c>
      <c r="BX39" s="190">
        <v>85384</v>
      </c>
      <c r="BY39" s="190">
        <v>99698</v>
      </c>
      <c r="BZ39" s="190">
        <v>13707</v>
      </c>
      <c r="CA39" s="190">
        <v>83426</v>
      </c>
      <c r="CB39" s="190">
        <v>97133</v>
      </c>
      <c r="CC39" s="190">
        <v>208535</v>
      </c>
      <c r="CD39" s="190">
        <v>134</v>
      </c>
      <c r="CE39" s="190">
        <v>2671</v>
      </c>
      <c r="CF39" s="190">
        <v>598</v>
      </c>
      <c r="CG39" s="190">
        <v>1385</v>
      </c>
      <c r="CH39" s="190">
        <v>1983</v>
      </c>
      <c r="CI39" s="190">
        <v>769</v>
      </c>
      <c r="CJ39" s="190">
        <v>27</v>
      </c>
      <c r="CK39" s="190">
        <v>9</v>
      </c>
      <c r="CL39" s="190">
        <v>573</v>
      </c>
      <c r="CM39" s="190">
        <v>582</v>
      </c>
      <c r="CN39" s="190">
        <v>957</v>
      </c>
      <c r="CO39" s="190">
        <v>8100</v>
      </c>
      <c r="CP39" s="190">
        <v>9057</v>
      </c>
      <c r="CQ39" s="190">
        <v>0</v>
      </c>
      <c r="CR39" s="190">
        <v>19</v>
      </c>
      <c r="CS39" s="190">
        <v>19</v>
      </c>
      <c r="CT39" s="190">
        <v>13357</v>
      </c>
      <c r="CU39" s="190">
        <v>77284</v>
      </c>
      <c r="CV39" s="190">
        <v>90641</v>
      </c>
      <c r="CW39" s="190">
        <v>842</v>
      </c>
      <c r="CX39" s="190">
        <v>4194</v>
      </c>
      <c r="CY39" s="190">
        <v>5036</v>
      </c>
      <c r="CZ39" s="190">
        <v>784</v>
      </c>
      <c r="DA39" s="190">
        <v>27</v>
      </c>
      <c r="DB39" s="190">
        <v>0</v>
      </c>
      <c r="DC39" s="190">
        <v>3837</v>
      </c>
      <c r="DD39" s="190">
        <v>71</v>
      </c>
      <c r="DE39" s="190">
        <v>12</v>
      </c>
      <c r="DF39" s="190">
        <v>811</v>
      </c>
      <c r="DG39" s="190">
        <v>3920</v>
      </c>
      <c r="DH39" s="190">
        <v>4731</v>
      </c>
      <c r="DI39" s="190">
        <v>30</v>
      </c>
      <c r="DJ39" s="190">
        <v>1</v>
      </c>
      <c r="DK39" s="190">
        <v>0</v>
      </c>
      <c r="DL39" s="190">
        <v>266</v>
      </c>
      <c r="DM39" s="190">
        <v>7</v>
      </c>
      <c r="DN39" s="190">
        <v>1</v>
      </c>
      <c r="DO39" s="190">
        <v>31</v>
      </c>
      <c r="DP39" s="190">
        <v>274</v>
      </c>
      <c r="DQ39" s="190">
        <v>305</v>
      </c>
      <c r="DR39" s="190">
        <v>4</v>
      </c>
      <c r="DS39" s="190">
        <v>20</v>
      </c>
      <c r="DT39" s="191">
        <v>24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137</v>
      </c>
      <c r="C40" s="190">
        <v>29</v>
      </c>
      <c r="D40" s="190">
        <v>199</v>
      </c>
      <c r="E40" s="190">
        <v>121</v>
      </c>
      <c r="F40" s="190">
        <v>0</v>
      </c>
      <c r="G40" s="190">
        <v>9</v>
      </c>
      <c r="H40" s="190">
        <v>9</v>
      </c>
      <c r="I40" s="190">
        <v>0</v>
      </c>
      <c r="J40" s="190">
        <v>66</v>
      </c>
      <c r="K40" s="190">
        <v>66</v>
      </c>
      <c r="L40" s="190">
        <v>0</v>
      </c>
      <c r="M40" s="190">
        <v>20</v>
      </c>
      <c r="N40" s="190">
        <v>20</v>
      </c>
      <c r="O40" s="190">
        <v>0</v>
      </c>
      <c r="P40" s="190">
        <v>46</v>
      </c>
      <c r="Q40" s="190">
        <v>46</v>
      </c>
      <c r="R40" s="190">
        <v>0</v>
      </c>
      <c r="S40" s="190">
        <v>3</v>
      </c>
      <c r="T40" s="190">
        <v>3</v>
      </c>
      <c r="U40" s="190">
        <v>0</v>
      </c>
      <c r="V40" s="190">
        <v>12</v>
      </c>
      <c r="W40" s="190">
        <v>12</v>
      </c>
      <c r="X40" s="190">
        <v>6</v>
      </c>
      <c r="Y40" s="190">
        <v>193</v>
      </c>
      <c r="Z40" s="190">
        <v>199</v>
      </c>
      <c r="AA40" s="190">
        <v>3</v>
      </c>
      <c r="AB40" s="190">
        <v>58</v>
      </c>
      <c r="AC40" s="190">
        <v>61</v>
      </c>
      <c r="AD40" s="190">
        <v>3</v>
      </c>
      <c r="AE40" s="190">
        <v>53</v>
      </c>
      <c r="AF40" s="190">
        <v>56</v>
      </c>
      <c r="AG40" s="190">
        <v>0</v>
      </c>
      <c r="AH40" s="190">
        <v>0</v>
      </c>
      <c r="AI40" s="190">
        <v>0</v>
      </c>
      <c r="AJ40" s="190">
        <v>0</v>
      </c>
      <c r="AK40" s="190">
        <v>5</v>
      </c>
      <c r="AL40" s="190">
        <v>5</v>
      </c>
      <c r="AM40" s="190">
        <v>3</v>
      </c>
      <c r="AN40" s="190">
        <v>135</v>
      </c>
      <c r="AO40" s="190">
        <v>138</v>
      </c>
      <c r="AP40" s="190">
        <v>250</v>
      </c>
      <c r="AQ40" s="190">
        <v>1877</v>
      </c>
      <c r="AR40" s="190">
        <v>2127</v>
      </c>
      <c r="AS40" s="190">
        <v>250</v>
      </c>
      <c r="AT40" s="190">
        <v>1877</v>
      </c>
      <c r="AU40" s="190">
        <v>2127</v>
      </c>
      <c r="AV40" s="190">
        <v>0</v>
      </c>
      <c r="AW40" s="190">
        <v>0</v>
      </c>
      <c r="AX40" s="190">
        <v>0</v>
      </c>
      <c r="AY40" s="190">
        <v>11</v>
      </c>
      <c r="AZ40" s="190">
        <v>242</v>
      </c>
      <c r="BA40" s="190">
        <v>253</v>
      </c>
      <c r="BB40" s="190">
        <v>8</v>
      </c>
      <c r="BC40" s="190">
        <v>0</v>
      </c>
      <c r="BD40" s="190">
        <v>0</v>
      </c>
      <c r="BE40" s="190">
        <v>112</v>
      </c>
      <c r="BF40" s="190">
        <v>1</v>
      </c>
      <c r="BG40" s="190">
        <v>0</v>
      </c>
      <c r="BH40" s="190">
        <v>8</v>
      </c>
      <c r="BI40" s="190">
        <v>113</v>
      </c>
      <c r="BJ40" s="190">
        <v>121</v>
      </c>
      <c r="BK40" s="190">
        <v>-4</v>
      </c>
      <c r="BL40" s="190">
        <v>4</v>
      </c>
      <c r="BM40" s="190">
        <v>0</v>
      </c>
      <c r="BN40" s="190">
        <v>2</v>
      </c>
      <c r="BO40" s="190">
        <v>6</v>
      </c>
      <c r="BP40" s="190">
        <v>8</v>
      </c>
      <c r="BQ40" s="190">
        <v>0</v>
      </c>
      <c r="BR40" s="190">
        <v>22</v>
      </c>
      <c r="BS40" s="190">
        <v>22</v>
      </c>
      <c r="BT40" s="190">
        <v>5</v>
      </c>
      <c r="BU40" s="190">
        <v>97</v>
      </c>
      <c r="BV40" s="190">
        <v>102</v>
      </c>
      <c r="BW40" s="190">
        <v>261</v>
      </c>
      <c r="BX40" s="190">
        <v>2119</v>
      </c>
      <c r="BY40" s="190">
        <v>2380</v>
      </c>
      <c r="BZ40" s="190">
        <v>260</v>
      </c>
      <c r="CA40" s="190">
        <v>2098</v>
      </c>
      <c r="CB40" s="190">
        <v>2358</v>
      </c>
      <c r="CC40" s="190">
        <v>5339</v>
      </c>
      <c r="CD40" s="190">
        <v>3</v>
      </c>
      <c r="CE40" s="190">
        <v>20</v>
      </c>
      <c r="CF40" s="190">
        <v>1</v>
      </c>
      <c r="CG40" s="190">
        <v>20</v>
      </c>
      <c r="CH40" s="190">
        <v>21</v>
      </c>
      <c r="CI40" s="190">
        <v>1</v>
      </c>
      <c r="CJ40" s="190">
        <v>0</v>
      </c>
      <c r="CK40" s="190">
        <v>0</v>
      </c>
      <c r="CL40" s="190">
        <v>1</v>
      </c>
      <c r="CM40" s="190">
        <v>1</v>
      </c>
      <c r="CN40" s="190">
        <v>7</v>
      </c>
      <c r="CO40" s="190">
        <v>166</v>
      </c>
      <c r="CP40" s="190">
        <v>173</v>
      </c>
      <c r="CQ40" s="190">
        <v>0</v>
      </c>
      <c r="CR40" s="190">
        <v>0</v>
      </c>
      <c r="CS40" s="190">
        <v>0</v>
      </c>
      <c r="CT40" s="190">
        <v>254</v>
      </c>
      <c r="CU40" s="190">
        <v>1953</v>
      </c>
      <c r="CV40" s="190">
        <v>2207</v>
      </c>
      <c r="CW40" s="190">
        <v>10</v>
      </c>
      <c r="CX40" s="190">
        <v>130</v>
      </c>
      <c r="CY40" s="190">
        <v>140</v>
      </c>
      <c r="CZ40" s="190">
        <v>10</v>
      </c>
      <c r="DA40" s="190">
        <v>0</v>
      </c>
      <c r="DB40" s="190">
        <v>0</v>
      </c>
      <c r="DC40" s="190">
        <v>125</v>
      </c>
      <c r="DD40" s="190">
        <v>2</v>
      </c>
      <c r="DE40" s="190">
        <v>0</v>
      </c>
      <c r="DF40" s="190">
        <v>10</v>
      </c>
      <c r="DG40" s="190">
        <v>127</v>
      </c>
      <c r="DH40" s="190">
        <v>137</v>
      </c>
      <c r="DI40" s="190">
        <v>0</v>
      </c>
      <c r="DJ40" s="190">
        <v>0</v>
      </c>
      <c r="DK40" s="190">
        <v>0</v>
      </c>
      <c r="DL40" s="190">
        <v>3</v>
      </c>
      <c r="DM40" s="190">
        <v>0</v>
      </c>
      <c r="DN40" s="190">
        <v>0</v>
      </c>
      <c r="DO40" s="190">
        <v>0</v>
      </c>
      <c r="DP40" s="190">
        <v>3</v>
      </c>
      <c r="DQ40" s="190">
        <v>3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10864</v>
      </c>
      <c r="C41" s="190">
        <v>2961</v>
      </c>
      <c r="D41" s="190">
        <v>11250</v>
      </c>
      <c r="E41" s="190">
        <v>7944</v>
      </c>
      <c r="F41" s="190">
        <v>7</v>
      </c>
      <c r="G41" s="190">
        <v>48</v>
      </c>
      <c r="H41" s="190">
        <v>55</v>
      </c>
      <c r="I41" s="190">
        <v>2</v>
      </c>
      <c r="J41" s="190">
        <v>3037</v>
      </c>
      <c r="K41" s="190">
        <v>3039</v>
      </c>
      <c r="L41" s="190">
        <v>2</v>
      </c>
      <c r="M41" s="190">
        <v>1290</v>
      </c>
      <c r="N41" s="190">
        <v>1292</v>
      </c>
      <c r="O41" s="190">
        <v>0</v>
      </c>
      <c r="P41" s="190">
        <v>1747</v>
      </c>
      <c r="Q41" s="190">
        <v>1747</v>
      </c>
      <c r="R41" s="190">
        <v>0</v>
      </c>
      <c r="S41" s="190">
        <v>33</v>
      </c>
      <c r="T41" s="190">
        <v>33</v>
      </c>
      <c r="U41" s="190">
        <v>0</v>
      </c>
      <c r="V41" s="190">
        <v>267</v>
      </c>
      <c r="W41" s="190">
        <v>267</v>
      </c>
      <c r="X41" s="190">
        <v>313</v>
      </c>
      <c r="Y41" s="190">
        <v>10934</v>
      </c>
      <c r="Z41" s="190">
        <v>11247</v>
      </c>
      <c r="AA41" s="190">
        <v>207</v>
      </c>
      <c r="AB41" s="190">
        <v>5181</v>
      </c>
      <c r="AC41" s="190">
        <v>5388</v>
      </c>
      <c r="AD41" s="190">
        <v>193</v>
      </c>
      <c r="AE41" s="190">
        <v>4917</v>
      </c>
      <c r="AF41" s="190">
        <v>5110</v>
      </c>
      <c r="AG41" s="190">
        <v>6</v>
      </c>
      <c r="AH41" s="190">
        <v>170</v>
      </c>
      <c r="AI41" s="190">
        <v>176</v>
      </c>
      <c r="AJ41" s="190">
        <v>8</v>
      </c>
      <c r="AK41" s="190">
        <v>94</v>
      </c>
      <c r="AL41" s="190">
        <v>102</v>
      </c>
      <c r="AM41" s="190">
        <v>106</v>
      </c>
      <c r="AN41" s="190">
        <v>5753</v>
      </c>
      <c r="AO41" s="190">
        <v>5859</v>
      </c>
      <c r="AP41" s="190">
        <v>22696</v>
      </c>
      <c r="AQ41" s="190">
        <v>135647</v>
      </c>
      <c r="AR41" s="190">
        <v>158343</v>
      </c>
      <c r="AS41" s="190">
        <v>22696</v>
      </c>
      <c r="AT41" s="190">
        <v>135649</v>
      </c>
      <c r="AU41" s="190">
        <v>158345</v>
      </c>
      <c r="AV41" s="190">
        <v>0</v>
      </c>
      <c r="AW41" s="190">
        <v>-2</v>
      </c>
      <c r="AX41" s="190">
        <v>-2</v>
      </c>
      <c r="AY41" s="190">
        <v>1279</v>
      </c>
      <c r="AZ41" s="190">
        <v>11835</v>
      </c>
      <c r="BA41" s="190">
        <v>13114</v>
      </c>
      <c r="BB41" s="190">
        <v>381</v>
      </c>
      <c r="BC41" s="190">
        <v>4</v>
      </c>
      <c r="BD41" s="190">
        <v>0</v>
      </c>
      <c r="BE41" s="190">
        <v>7489</v>
      </c>
      <c r="BF41" s="190">
        <v>49</v>
      </c>
      <c r="BG41" s="190">
        <v>21</v>
      </c>
      <c r="BH41" s="190">
        <v>385</v>
      </c>
      <c r="BI41" s="190">
        <v>7559</v>
      </c>
      <c r="BJ41" s="190">
        <v>7944</v>
      </c>
      <c r="BK41" s="190">
        <v>96</v>
      </c>
      <c r="BL41" s="190">
        <v>-96</v>
      </c>
      <c r="BM41" s="190">
        <v>0</v>
      </c>
      <c r="BN41" s="190">
        <v>35</v>
      </c>
      <c r="BO41" s="190">
        <v>152</v>
      </c>
      <c r="BP41" s="190">
        <v>187</v>
      </c>
      <c r="BQ41" s="190">
        <v>105</v>
      </c>
      <c r="BR41" s="190">
        <v>1237</v>
      </c>
      <c r="BS41" s="190">
        <v>1342</v>
      </c>
      <c r="BT41" s="190">
        <v>658</v>
      </c>
      <c r="BU41" s="190">
        <v>2983</v>
      </c>
      <c r="BV41" s="190">
        <v>3641</v>
      </c>
      <c r="BW41" s="190">
        <v>23975</v>
      </c>
      <c r="BX41" s="190">
        <v>147482</v>
      </c>
      <c r="BY41" s="190">
        <v>171457</v>
      </c>
      <c r="BZ41" s="190">
        <v>23819</v>
      </c>
      <c r="CA41" s="190">
        <v>146203</v>
      </c>
      <c r="CB41" s="190">
        <v>170022</v>
      </c>
      <c r="CC41" s="190">
        <v>372863</v>
      </c>
      <c r="CD41" s="190">
        <v>113</v>
      </c>
      <c r="CE41" s="190">
        <v>1164</v>
      </c>
      <c r="CF41" s="190">
        <v>149</v>
      </c>
      <c r="CG41" s="190">
        <v>930</v>
      </c>
      <c r="CH41" s="190">
        <v>1079</v>
      </c>
      <c r="CI41" s="190">
        <v>425</v>
      </c>
      <c r="CJ41" s="190">
        <v>54</v>
      </c>
      <c r="CK41" s="190">
        <v>7</v>
      </c>
      <c r="CL41" s="190">
        <v>349</v>
      </c>
      <c r="CM41" s="190">
        <v>356</v>
      </c>
      <c r="CN41" s="190">
        <v>1761</v>
      </c>
      <c r="CO41" s="190">
        <v>13621</v>
      </c>
      <c r="CP41" s="190">
        <v>15382</v>
      </c>
      <c r="CQ41" s="190">
        <v>0</v>
      </c>
      <c r="CR41" s="190">
        <v>27</v>
      </c>
      <c r="CS41" s="190">
        <v>27</v>
      </c>
      <c r="CT41" s="190">
        <v>22214</v>
      </c>
      <c r="CU41" s="190">
        <v>133861</v>
      </c>
      <c r="CV41" s="190">
        <v>156075</v>
      </c>
      <c r="CW41" s="190">
        <v>1309</v>
      </c>
      <c r="CX41" s="190">
        <v>5565</v>
      </c>
      <c r="CY41" s="190">
        <v>6874</v>
      </c>
      <c r="CZ41" s="190">
        <v>1297</v>
      </c>
      <c r="DA41" s="190">
        <v>12</v>
      </c>
      <c r="DB41" s="190">
        <v>0</v>
      </c>
      <c r="DC41" s="190">
        <v>5467</v>
      </c>
      <c r="DD41" s="190">
        <v>31</v>
      </c>
      <c r="DE41" s="190">
        <v>15</v>
      </c>
      <c r="DF41" s="190">
        <v>1309</v>
      </c>
      <c r="DG41" s="190">
        <v>5513</v>
      </c>
      <c r="DH41" s="190">
        <v>6822</v>
      </c>
      <c r="DI41" s="190">
        <v>0</v>
      </c>
      <c r="DJ41" s="190">
        <v>0</v>
      </c>
      <c r="DK41" s="190">
        <v>0</v>
      </c>
      <c r="DL41" s="190">
        <v>52</v>
      </c>
      <c r="DM41" s="190">
        <v>0</v>
      </c>
      <c r="DN41" s="190">
        <v>0</v>
      </c>
      <c r="DO41" s="190">
        <v>0</v>
      </c>
      <c r="DP41" s="190">
        <v>52</v>
      </c>
      <c r="DQ41" s="190">
        <v>52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10114</v>
      </c>
      <c r="C42" s="190">
        <v>3534</v>
      </c>
      <c r="D42" s="190">
        <v>10605</v>
      </c>
      <c r="E42" s="190">
        <v>5765</v>
      </c>
      <c r="F42" s="190">
        <v>3</v>
      </c>
      <c r="G42" s="190">
        <v>135</v>
      </c>
      <c r="H42" s="190">
        <v>138</v>
      </c>
      <c r="I42" s="190">
        <v>10</v>
      </c>
      <c r="J42" s="190">
        <v>4423</v>
      </c>
      <c r="K42" s="190">
        <v>4433</v>
      </c>
      <c r="L42" s="190">
        <v>10</v>
      </c>
      <c r="M42" s="190">
        <v>4414</v>
      </c>
      <c r="N42" s="190">
        <v>4424</v>
      </c>
      <c r="O42" s="190">
        <v>0</v>
      </c>
      <c r="P42" s="190">
        <v>9</v>
      </c>
      <c r="Q42" s="190">
        <v>9</v>
      </c>
      <c r="R42" s="190">
        <v>0</v>
      </c>
      <c r="S42" s="190">
        <v>672</v>
      </c>
      <c r="T42" s="190">
        <v>672</v>
      </c>
      <c r="U42" s="190">
        <v>0</v>
      </c>
      <c r="V42" s="190">
        <v>407</v>
      </c>
      <c r="W42" s="190">
        <v>407</v>
      </c>
      <c r="X42" s="190">
        <v>133</v>
      </c>
      <c r="Y42" s="190">
        <v>6334</v>
      </c>
      <c r="Z42" s="190">
        <v>6467</v>
      </c>
      <c r="AA42" s="190">
        <v>57</v>
      </c>
      <c r="AB42" s="190">
        <v>2225</v>
      </c>
      <c r="AC42" s="190">
        <v>2282</v>
      </c>
      <c r="AD42" s="190">
        <v>54</v>
      </c>
      <c r="AE42" s="190">
        <v>2162</v>
      </c>
      <c r="AF42" s="190">
        <v>2216</v>
      </c>
      <c r="AG42" s="190">
        <v>3</v>
      </c>
      <c r="AH42" s="190">
        <v>35</v>
      </c>
      <c r="AI42" s="190">
        <v>38</v>
      </c>
      <c r="AJ42" s="190">
        <v>0</v>
      </c>
      <c r="AK42" s="190">
        <v>28</v>
      </c>
      <c r="AL42" s="190">
        <v>28</v>
      </c>
      <c r="AM42" s="190">
        <v>76</v>
      </c>
      <c r="AN42" s="190">
        <v>4109</v>
      </c>
      <c r="AO42" s="190">
        <v>4185</v>
      </c>
      <c r="AP42" s="190">
        <v>11919</v>
      </c>
      <c r="AQ42" s="190">
        <v>113202</v>
      </c>
      <c r="AR42" s="190">
        <v>125121</v>
      </c>
      <c r="AS42" s="190">
        <v>11881</v>
      </c>
      <c r="AT42" s="190">
        <v>112216</v>
      </c>
      <c r="AU42" s="190">
        <v>124097</v>
      </c>
      <c r="AV42" s="190">
        <v>38</v>
      </c>
      <c r="AW42" s="190">
        <v>986</v>
      </c>
      <c r="AX42" s="190">
        <v>1024</v>
      </c>
      <c r="AY42" s="190">
        <v>653</v>
      </c>
      <c r="AZ42" s="190">
        <v>10026</v>
      </c>
      <c r="BA42" s="190">
        <v>10679</v>
      </c>
      <c r="BB42" s="190">
        <v>234</v>
      </c>
      <c r="BC42" s="190">
        <v>5</v>
      </c>
      <c r="BD42" s="190">
        <v>0</v>
      </c>
      <c r="BE42" s="190">
        <v>5406</v>
      </c>
      <c r="BF42" s="190">
        <v>77</v>
      </c>
      <c r="BG42" s="190">
        <v>43</v>
      </c>
      <c r="BH42" s="190">
        <v>239</v>
      </c>
      <c r="BI42" s="190">
        <v>5526</v>
      </c>
      <c r="BJ42" s="190">
        <v>5765</v>
      </c>
      <c r="BK42" s="190">
        <v>-64</v>
      </c>
      <c r="BL42" s="190">
        <v>64</v>
      </c>
      <c r="BM42" s="190">
        <v>0</v>
      </c>
      <c r="BN42" s="190">
        <v>17</v>
      </c>
      <c r="BO42" s="190">
        <v>124</v>
      </c>
      <c r="BP42" s="190">
        <v>141</v>
      </c>
      <c r="BQ42" s="190">
        <v>9</v>
      </c>
      <c r="BR42" s="190">
        <v>272</v>
      </c>
      <c r="BS42" s="190">
        <v>281</v>
      </c>
      <c r="BT42" s="190">
        <v>452</v>
      </c>
      <c r="BU42" s="190">
        <v>4040</v>
      </c>
      <c r="BV42" s="190">
        <v>4492</v>
      </c>
      <c r="BW42" s="190">
        <v>12572</v>
      </c>
      <c r="BX42" s="190">
        <v>123228</v>
      </c>
      <c r="BY42" s="190">
        <v>135800</v>
      </c>
      <c r="BZ42" s="190">
        <v>12262</v>
      </c>
      <c r="CA42" s="190">
        <v>120778</v>
      </c>
      <c r="CB42" s="190">
        <v>133040</v>
      </c>
      <c r="CC42" s="190">
        <v>274974</v>
      </c>
      <c r="CD42" s="190">
        <v>265</v>
      </c>
      <c r="CE42" s="190">
        <v>2468</v>
      </c>
      <c r="CF42" s="190">
        <v>305</v>
      </c>
      <c r="CG42" s="190">
        <v>1716</v>
      </c>
      <c r="CH42" s="190">
        <v>2021</v>
      </c>
      <c r="CI42" s="190">
        <v>904</v>
      </c>
      <c r="CJ42" s="190">
        <v>37</v>
      </c>
      <c r="CK42" s="190">
        <v>5</v>
      </c>
      <c r="CL42" s="190">
        <v>734</v>
      </c>
      <c r="CM42" s="190">
        <v>739</v>
      </c>
      <c r="CN42" s="190">
        <v>974</v>
      </c>
      <c r="CO42" s="190">
        <v>12308</v>
      </c>
      <c r="CP42" s="190">
        <v>13282</v>
      </c>
      <c r="CQ42" s="190">
        <v>2</v>
      </c>
      <c r="CR42" s="190">
        <v>18</v>
      </c>
      <c r="CS42" s="190">
        <v>20</v>
      </c>
      <c r="CT42" s="190">
        <v>11598</v>
      </c>
      <c r="CU42" s="190">
        <v>110920</v>
      </c>
      <c r="CV42" s="190">
        <v>122518</v>
      </c>
      <c r="CW42" s="190">
        <v>833</v>
      </c>
      <c r="CX42" s="190">
        <v>5659</v>
      </c>
      <c r="CY42" s="190">
        <v>6492</v>
      </c>
      <c r="CZ42" s="190">
        <v>753</v>
      </c>
      <c r="DA42" s="190">
        <v>15</v>
      </c>
      <c r="DB42" s="190">
        <v>1</v>
      </c>
      <c r="DC42" s="190">
        <v>4910</v>
      </c>
      <c r="DD42" s="190">
        <v>88</v>
      </c>
      <c r="DE42" s="190">
        <v>27</v>
      </c>
      <c r="DF42" s="190">
        <v>769</v>
      </c>
      <c r="DG42" s="190">
        <v>5025</v>
      </c>
      <c r="DH42" s="190">
        <v>5794</v>
      </c>
      <c r="DI42" s="190">
        <v>62</v>
      </c>
      <c r="DJ42" s="190">
        <v>2</v>
      </c>
      <c r="DK42" s="190">
        <v>0</v>
      </c>
      <c r="DL42" s="190">
        <v>618</v>
      </c>
      <c r="DM42" s="190">
        <v>14</v>
      </c>
      <c r="DN42" s="190">
        <v>2</v>
      </c>
      <c r="DO42" s="190">
        <v>64</v>
      </c>
      <c r="DP42" s="190">
        <v>634</v>
      </c>
      <c r="DQ42" s="190">
        <v>698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2595</v>
      </c>
      <c r="C43" s="190">
        <v>843</v>
      </c>
      <c r="D43" s="190">
        <v>2373</v>
      </c>
      <c r="E43" s="190">
        <v>1495</v>
      </c>
      <c r="F43" s="190">
        <v>4</v>
      </c>
      <c r="G43" s="190">
        <v>32</v>
      </c>
      <c r="H43" s="190">
        <v>36</v>
      </c>
      <c r="I43" s="190">
        <v>2</v>
      </c>
      <c r="J43" s="190">
        <v>757</v>
      </c>
      <c r="K43" s="190">
        <v>759</v>
      </c>
      <c r="L43" s="190">
        <v>0</v>
      </c>
      <c r="M43" s="190">
        <v>203</v>
      </c>
      <c r="N43" s="190">
        <v>203</v>
      </c>
      <c r="O43" s="190">
        <v>2</v>
      </c>
      <c r="P43" s="190">
        <v>554</v>
      </c>
      <c r="Q43" s="190">
        <v>556</v>
      </c>
      <c r="R43" s="190">
        <v>0</v>
      </c>
      <c r="S43" s="190">
        <v>48</v>
      </c>
      <c r="T43" s="190">
        <v>48</v>
      </c>
      <c r="U43" s="190">
        <v>0</v>
      </c>
      <c r="V43" s="190">
        <v>119</v>
      </c>
      <c r="W43" s="190">
        <v>119</v>
      </c>
      <c r="X43" s="190">
        <v>47</v>
      </c>
      <c r="Y43" s="190">
        <v>1558</v>
      </c>
      <c r="Z43" s="190">
        <v>1605</v>
      </c>
      <c r="AA43" s="190">
        <v>25</v>
      </c>
      <c r="AB43" s="190">
        <v>662</v>
      </c>
      <c r="AC43" s="190">
        <v>687</v>
      </c>
      <c r="AD43" s="190">
        <v>20</v>
      </c>
      <c r="AE43" s="190">
        <v>629</v>
      </c>
      <c r="AF43" s="190">
        <v>649</v>
      </c>
      <c r="AG43" s="190">
        <v>2</v>
      </c>
      <c r="AH43" s="190">
        <v>26</v>
      </c>
      <c r="AI43" s="190">
        <v>28</v>
      </c>
      <c r="AJ43" s="190">
        <v>3</v>
      </c>
      <c r="AK43" s="190">
        <v>7</v>
      </c>
      <c r="AL43" s="190">
        <v>10</v>
      </c>
      <c r="AM43" s="190">
        <v>22</v>
      </c>
      <c r="AN43" s="190">
        <v>896</v>
      </c>
      <c r="AO43" s="190">
        <v>918</v>
      </c>
      <c r="AP43" s="190">
        <v>2018</v>
      </c>
      <c r="AQ43" s="190">
        <v>29187</v>
      </c>
      <c r="AR43" s="190">
        <v>31205</v>
      </c>
      <c r="AS43" s="190">
        <v>2009</v>
      </c>
      <c r="AT43" s="190">
        <v>29017</v>
      </c>
      <c r="AU43" s="190">
        <v>31026</v>
      </c>
      <c r="AV43" s="190">
        <v>9</v>
      </c>
      <c r="AW43" s="190">
        <v>170</v>
      </c>
      <c r="AX43" s="190">
        <v>179</v>
      </c>
      <c r="AY43" s="190">
        <v>127</v>
      </c>
      <c r="AZ43" s="190">
        <v>2537</v>
      </c>
      <c r="BA43" s="190">
        <v>2664</v>
      </c>
      <c r="BB43" s="190">
        <v>54</v>
      </c>
      <c r="BC43" s="190">
        <v>2</v>
      </c>
      <c r="BD43" s="190">
        <v>0</v>
      </c>
      <c r="BE43" s="190">
        <v>1372</v>
      </c>
      <c r="BF43" s="190">
        <v>25</v>
      </c>
      <c r="BG43" s="190">
        <v>42</v>
      </c>
      <c r="BH43" s="190">
        <v>56</v>
      </c>
      <c r="BI43" s="190">
        <v>1439</v>
      </c>
      <c r="BJ43" s="190">
        <v>1495</v>
      </c>
      <c r="BK43" s="190">
        <v>-26</v>
      </c>
      <c r="BL43" s="190">
        <v>26</v>
      </c>
      <c r="BM43" s="190">
        <v>0</v>
      </c>
      <c r="BN43" s="190">
        <v>4</v>
      </c>
      <c r="BO43" s="190">
        <v>32</v>
      </c>
      <c r="BP43" s="190">
        <v>36</v>
      </c>
      <c r="BQ43" s="190">
        <v>13</v>
      </c>
      <c r="BR43" s="190">
        <v>225</v>
      </c>
      <c r="BS43" s="190">
        <v>238</v>
      </c>
      <c r="BT43" s="190">
        <v>80</v>
      </c>
      <c r="BU43" s="190">
        <v>815</v>
      </c>
      <c r="BV43" s="190">
        <v>895</v>
      </c>
      <c r="BW43" s="190">
        <v>2145</v>
      </c>
      <c r="BX43" s="190">
        <v>31724</v>
      </c>
      <c r="BY43" s="190">
        <v>33869</v>
      </c>
      <c r="BZ43" s="190">
        <v>2018</v>
      </c>
      <c r="CA43" s="190">
        <v>30019</v>
      </c>
      <c r="CB43" s="190">
        <v>32037</v>
      </c>
      <c r="CC43" s="190">
        <v>50118</v>
      </c>
      <c r="CD43" s="190">
        <v>101</v>
      </c>
      <c r="CE43" s="190">
        <v>1164</v>
      </c>
      <c r="CF43" s="190">
        <v>120</v>
      </c>
      <c r="CG43" s="190">
        <v>797</v>
      </c>
      <c r="CH43" s="190">
        <v>917</v>
      </c>
      <c r="CI43" s="190">
        <v>1221</v>
      </c>
      <c r="CJ43" s="190">
        <v>51</v>
      </c>
      <c r="CK43" s="190">
        <v>7</v>
      </c>
      <c r="CL43" s="190">
        <v>908</v>
      </c>
      <c r="CM43" s="190">
        <v>915</v>
      </c>
      <c r="CN43" s="190">
        <v>183</v>
      </c>
      <c r="CO43" s="190">
        <v>2842</v>
      </c>
      <c r="CP43" s="190">
        <v>3025</v>
      </c>
      <c r="CQ43" s="190">
        <v>0</v>
      </c>
      <c r="CR43" s="190">
        <v>0</v>
      </c>
      <c r="CS43" s="190">
        <v>0</v>
      </c>
      <c r="CT43" s="190">
        <v>1962</v>
      </c>
      <c r="CU43" s="190">
        <v>28882</v>
      </c>
      <c r="CV43" s="190">
        <v>30844</v>
      </c>
      <c r="CW43" s="190">
        <v>139</v>
      </c>
      <c r="CX43" s="190">
        <v>1232</v>
      </c>
      <c r="CY43" s="190">
        <v>1371</v>
      </c>
      <c r="CZ43" s="190">
        <v>125</v>
      </c>
      <c r="DA43" s="190">
        <v>13</v>
      </c>
      <c r="DB43" s="190">
        <v>1</v>
      </c>
      <c r="DC43" s="190">
        <v>1149</v>
      </c>
      <c r="DD43" s="190">
        <v>40</v>
      </c>
      <c r="DE43" s="190">
        <v>13</v>
      </c>
      <c r="DF43" s="190">
        <v>139</v>
      </c>
      <c r="DG43" s="190">
        <v>1202</v>
      </c>
      <c r="DH43" s="190">
        <v>1341</v>
      </c>
      <c r="DI43" s="190">
        <v>0</v>
      </c>
      <c r="DJ43" s="190">
        <v>0</v>
      </c>
      <c r="DK43" s="190">
        <v>0</v>
      </c>
      <c r="DL43" s="190">
        <v>26</v>
      </c>
      <c r="DM43" s="190">
        <v>2</v>
      </c>
      <c r="DN43" s="190">
        <v>2</v>
      </c>
      <c r="DO43" s="190">
        <v>0</v>
      </c>
      <c r="DP43" s="190">
        <v>30</v>
      </c>
      <c r="DQ43" s="190">
        <v>30</v>
      </c>
      <c r="DR43" s="190">
        <v>0</v>
      </c>
      <c r="DS43" s="190">
        <v>2</v>
      </c>
      <c r="DT43" s="191">
        <v>2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2952</v>
      </c>
      <c r="C44" s="190">
        <v>992</v>
      </c>
      <c r="D44" s="190">
        <v>3146</v>
      </c>
      <c r="E44" s="190">
        <v>2063</v>
      </c>
      <c r="F44" s="190">
        <v>6</v>
      </c>
      <c r="G44" s="190">
        <v>34</v>
      </c>
      <c r="H44" s="190">
        <v>40</v>
      </c>
      <c r="I44" s="190">
        <v>2</v>
      </c>
      <c r="J44" s="190">
        <v>924</v>
      </c>
      <c r="K44" s="190">
        <v>926</v>
      </c>
      <c r="L44" s="190">
        <v>2</v>
      </c>
      <c r="M44" s="190">
        <v>432</v>
      </c>
      <c r="N44" s="190">
        <v>434</v>
      </c>
      <c r="O44" s="190">
        <v>0</v>
      </c>
      <c r="P44" s="190">
        <v>492</v>
      </c>
      <c r="Q44" s="190">
        <v>492</v>
      </c>
      <c r="R44" s="190">
        <v>0</v>
      </c>
      <c r="S44" s="190">
        <v>11</v>
      </c>
      <c r="T44" s="190">
        <v>11</v>
      </c>
      <c r="U44" s="190">
        <v>0</v>
      </c>
      <c r="V44" s="190">
        <v>157</v>
      </c>
      <c r="W44" s="190">
        <v>157</v>
      </c>
      <c r="X44" s="190">
        <v>112</v>
      </c>
      <c r="Y44" s="190">
        <v>3027</v>
      </c>
      <c r="Z44" s="190">
        <v>3139</v>
      </c>
      <c r="AA44" s="190">
        <v>70</v>
      </c>
      <c r="AB44" s="190">
        <v>1284</v>
      </c>
      <c r="AC44" s="190">
        <v>1354</v>
      </c>
      <c r="AD44" s="190">
        <v>63</v>
      </c>
      <c r="AE44" s="190">
        <v>1186</v>
      </c>
      <c r="AF44" s="190">
        <v>1249</v>
      </c>
      <c r="AG44" s="190">
        <v>6</v>
      </c>
      <c r="AH44" s="190">
        <v>56</v>
      </c>
      <c r="AI44" s="190">
        <v>62</v>
      </c>
      <c r="AJ44" s="190">
        <v>1</v>
      </c>
      <c r="AK44" s="190">
        <v>42</v>
      </c>
      <c r="AL44" s="190">
        <v>43</v>
      </c>
      <c r="AM44" s="190">
        <v>42</v>
      </c>
      <c r="AN44" s="190">
        <v>1743</v>
      </c>
      <c r="AO44" s="190">
        <v>1785</v>
      </c>
      <c r="AP44" s="190">
        <v>6495</v>
      </c>
      <c r="AQ44" s="190">
        <v>39676</v>
      </c>
      <c r="AR44" s="190">
        <v>46171</v>
      </c>
      <c r="AS44" s="190">
        <v>6495</v>
      </c>
      <c r="AT44" s="190">
        <v>39678</v>
      </c>
      <c r="AU44" s="190">
        <v>46173</v>
      </c>
      <c r="AV44" s="190">
        <v>0</v>
      </c>
      <c r="AW44" s="190">
        <v>-2</v>
      </c>
      <c r="AX44" s="190">
        <v>-2</v>
      </c>
      <c r="AY44" s="190">
        <v>391</v>
      </c>
      <c r="AZ44" s="190">
        <v>3443</v>
      </c>
      <c r="BA44" s="190">
        <v>3834</v>
      </c>
      <c r="BB44" s="190">
        <v>145</v>
      </c>
      <c r="BC44" s="190">
        <v>4</v>
      </c>
      <c r="BD44" s="190">
        <v>0</v>
      </c>
      <c r="BE44" s="190">
        <v>1880</v>
      </c>
      <c r="BF44" s="190">
        <v>23</v>
      </c>
      <c r="BG44" s="190">
        <v>11</v>
      </c>
      <c r="BH44" s="190">
        <v>149</v>
      </c>
      <c r="BI44" s="190">
        <v>1914</v>
      </c>
      <c r="BJ44" s="190">
        <v>2063</v>
      </c>
      <c r="BK44" s="190">
        <v>2</v>
      </c>
      <c r="BL44" s="190">
        <v>-2</v>
      </c>
      <c r="BM44" s="190">
        <v>0</v>
      </c>
      <c r="BN44" s="190">
        <v>23</v>
      </c>
      <c r="BO44" s="190">
        <v>88</v>
      </c>
      <c r="BP44" s="190">
        <v>111</v>
      </c>
      <c r="BQ44" s="190">
        <v>59</v>
      </c>
      <c r="BR44" s="190">
        <v>518</v>
      </c>
      <c r="BS44" s="190">
        <v>577</v>
      </c>
      <c r="BT44" s="190">
        <v>158</v>
      </c>
      <c r="BU44" s="190">
        <v>925</v>
      </c>
      <c r="BV44" s="190">
        <v>1083</v>
      </c>
      <c r="BW44" s="190">
        <v>6886</v>
      </c>
      <c r="BX44" s="190">
        <v>43119</v>
      </c>
      <c r="BY44" s="190">
        <v>50005</v>
      </c>
      <c r="BZ44" s="190">
        <v>6824</v>
      </c>
      <c r="CA44" s="190">
        <v>42523</v>
      </c>
      <c r="CB44" s="190">
        <v>49347</v>
      </c>
      <c r="CC44" s="190">
        <v>110950</v>
      </c>
      <c r="CD44" s="190">
        <v>44</v>
      </c>
      <c r="CE44" s="190">
        <v>568</v>
      </c>
      <c r="CF44" s="190">
        <v>61</v>
      </c>
      <c r="CG44" s="190">
        <v>436</v>
      </c>
      <c r="CH44" s="190">
        <v>497</v>
      </c>
      <c r="CI44" s="190">
        <v>203</v>
      </c>
      <c r="CJ44" s="190">
        <v>18</v>
      </c>
      <c r="CK44" s="190">
        <v>1</v>
      </c>
      <c r="CL44" s="190">
        <v>160</v>
      </c>
      <c r="CM44" s="190">
        <v>161</v>
      </c>
      <c r="CN44" s="190">
        <v>366</v>
      </c>
      <c r="CO44" s="190">
        <v>3605</v>
      </c>
      <c r="CP44" s="190">
        <v>3971</v>
      </c>
      <c r="CQ44" s="190">
        <v>0</v>
      </c>
      <c r="CR44" s="190">
        <v>1</v>
      </c>
      <c r="CS44" s="190">
        <v>1</v>
      </c>
      <c r="CT44" s="190">
        <v>6520</v>
      </c>
      <c r="CU44" s="190">
        <v>39514</v>
      </c>
      <c r="CV44" s="190">
        <v>46034</v>
      </c>
      <c r="CW44" s="190">
        <v>380</v>
      </c>
      <c r="CX44" s="190">
        <v>2223</v>
      </c>
      <c r="CY44" s="190">
        <v>2603</v>
      </c>
      <c r="CZ44" s="190">
        <v>374</v>
      </c>
      <c r="DA44" s="190">
        <v>6</v>
      </c>
      <c r="DB44" s="190">
        <v>0</v>
      </c>
      <c r="DC44" s="190">
        <v>2157</v>
      </c>
      <c r="DD44" s="190">
        <v>24</v>
      </c>
      <c r="DE44" s="190">
        <v>8</v>
      </c>
      <c r="DF44" s="190">
        <v>380</v>
      </c>
      <c r="DG44" s="190">
        <v>2189</v>
      </c>
      <c r="DH44" s="190">
        <v>2569</v>
      </c>
      <c r="DI44" s="190">
        <v>0</v>
      </c>
      <c r="DJ44" s="190">
        <v>0</v>
      </c>
      <c r="DK44" s="190">
        <v>0</v>
      </c>
      <c r="DL44" s="190">
        <v>32</v>
      </c>
      <c r="DM44" s="190">
        <v>2</v>
      </c>
      <c r="DN44" s="190">
        <v>0</v>
      </c>
      <c r="DO44" s="190">
        <v>0</v>
      </c>
      <c r="DP44" s="190">
        <v>34</v>
      </c>
      <c r="DQ44" s="190">
        <v>34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635</v>
      </c>
      <c r="C45" s="190">
        <v>138</v>
      </c>
      <c r="D45" s="190">
        <v>653</v>
      </c>
      <c r="E45" s="190">
        <v>383</v>
      </c>
      <c r="F45" s="190">
        <v>0</v>
      </c>
      <c r="G45" s="190">
        <v>5</v>
      </c>
      <c r="H45" s="190">
        <v>5</v>
      </c>
      <c r="I45" s="190">
        <v>0</v>
      </c>
      <c r="J45" s="190">
        <v>171</v>
      </c>
      <c r="K45" s="190">
        <v>171</v>
      </c>
      <c r="L45" s="190">
        <v>0</v>
      </c>
      <c r="M45" s="190">
        <v>41</v>
      </c>
      <c r="N45" s="190">
        <v>41</v>
      </c>
      <c r="O45" s="190">
        <v>0</v>
      </c>
      <c r="P45" s="190">
        <v>130</v>
      </c>
      <c r="Q45" s="190">
        <v>130</v>
      </c>
      <c r="R45" s="190">
        <v>0</v>
      </c>
      <c r="S45" s="190">
        <v>6</v>
      </c>
      <c r="T45" s="190">
        <v>6</v>
      </c>
      <c r="U45" s="190">
        <v>0</v>
      </c>
      <c r="V45" s="190">
        <v>99</v>
      </c>
      <c r="W45" s="190">
        <v>99</v>
      </c>
      <c r="X45" s="190">
        <v>10</v>
      </c>
      <c r="Y45" s="190">
        <v>336</v>
      </c>
      <c r="Z45" s="190">
        <v>346</v>
      </c>
      <c r="AA45" s="190">
        <v>6</v>
      </c>
      <c r="AB45" s="190">
        <v>229</v>
      </c>
      <c r="AC45" s="190">
        <v>235</v>
      </c>
      <c r="AD45" s="190">
        <v>6</v>
      </c>
      <c r="AE45" s="190">
        <v>226</v>
      </c>
      <c r="AF45" s="190">
        <v>232</v>
      </c>
      <c r="AG45" s="190">
        <v>0</v>
      </c>
      <c r="AH45" s="190">
        <v>2</v>
      </c>
      <c r="AI45" s="190">
        <v>2</v>
      </c>
      <c r="AJ45" s="190">
        <v>0</v>
      </c>
      <c r="AK45" s="190">
        <v>1</v>
      </c>
      <c r="AL45" s="190">
        <v>1</v>
      </c>
      <c r="AM45" s="190">
        <v>4</v>
      </c>
      <c r="AN45" s="190">
        <v>107</v>
      </c>
      <c r="AO45" s="190">
        <v>111</v>
      </c>
      <c r="AP45" s="190">
        <v>823</v>
      </c>
      <c r="AQ45" s="190">
        <v>8038</v>
      </c>
      <c r="AR45" s="190">
        <v>8861</v>
      </c>
      <c r="AS45" s="190">
        <v>823</v>
      </c>
      <c r="AT45" s="190">
        <v>8038</v>
      </c>
      <c r="AU45" s="190">
        <v>8861</v>
      </c>
      <c r="AV45" s="190">
        <v>0</v>
      </c>
      <c r="AW45" s="190">
        <v>0</v>
      </c>
      <c r="AX45" s="190">
        <v>0</v>
      </c>
      <c r="AY45" s="190">
        <v>66</v>
      </c>
      <c r="AZ45" s="190">
        <v>690</v>
      </c>
      <c r="BA45" s="190">
        <v>756</v>
      </c>
      <c r="BB45" s="190">
        <v>22</v>
      </c>
      <c r="BC45" s="190">
        <v>0</v>
      </c>
      <c r="BD45" s="190">
        <v>0</v>
      </c>
      <c r="BE45" s="190">
        <v>359</v>
      </c>
      <c r="BF45" s="190">
        <v>2</v>
      </c>
      <c r="BG45" s="190">
        <v>0</v>
      </c>
      <c r="BH45" s="190">
        <v>22</v>
      </c>
      <c r="BI45" s="190">
        <v>361</v>
      </c>
      <c r="BJ45" s="190">
        <v>383</v>
      </c>
      <c r="BK45" s="190">
        <v>-19</v>
      </c>
      <c r="BL45" s="190">
        <v>19</v>
      </c>
      <c r="BM45" s="190">
        <v>0</v>
      </c>
      <c r="BN45" s="190">
        <v>1</v>
      </c>
      <c r="BO45" s="190">
        <v>5</v>
      </c>
      <c r="BP45" s="190">
        <v>6</v>
      </c>
      <c r="BQ45" s="190">
        <v>6</v>
      </c>
      <c r="BR45" s="190">
        <v>113</v>
      </c>
      <c r="BS45" s="190">
        <v>119</v>
      </c>
      <c r="BT45" s="190">
        <v>56</v>
      </c>
      <c r="BU45" s="190">
        <v>192</v>
      </c>
      <c r="BV45" s="190">
        <v>248</v>
      </c>
      <c r="BW45" s="190">
        <v>889</v>
      </c>
      <c r="BX45" s="190">
        <v>8728</v>
      </c>
      <c r="BY45" s="190">
        <v>9617</v>
      </c>
      <c r="BZ45" s="190">
        <v>883</v>
      </c>
      <c r="CA45" s="190">
        <v>8685</v>
      </c>
      <c r="CB45" s="190">
        <v>9568</v>
      </c>
      <c r="CC45" s="190">
        <v>17244</v>
      </c>
      <c r="CD45" s="190">
        <v>0</v>
      </c>
      <c r="CE45" s="190">
        <v>52</v>
      </c>
      <c r="CF45" s="190">
        <v>6</v>
      </c>
      <c r="CG45" s="190">
        <v>37</v>
      </c>
      <c r="CH45" s="190">
        <v>43</v>
      </c>
      <c r="CI45" s="190">
        <v>5</v>
      </c>
      <c r="CJ45" s="190">
        <v>2</v>
      </c>
      <c r="CK45" s="190">
        <v>0</v>
      </c>
      <c r="CL45" s="190">
        <v>6</v>
      </c>
      <c r="CM45" s="190">
        <v>6</v>
      </c>
      <c r="CN45" s="190">
        <v>49</v>
      </c>
      <c r="CO45" s="190">
        <v>848</v>
      </c>
      <c r="CP45" s="190">
        <v>897</v>
      </c>
      <c r="CQ45" s="190">
        <v>0</v>
      </c>
      <c r="CR45" s="190">
        <v>0</v>
      </c>
      <c r="CS45" s="190">
        <v>0</v>
      </c>
      <c r="CT45" s="190">
        <v>840</v>
      </c>
      <c r="CU45" s="190">
        <v>7880</v>
      </c>
      <c r="CV45" s="190">
        <v>8720</v>
      </c>
      <c r="CW45" s="190">
        <v>63</v>
      </c>
      <c r="CX45" s="190">
        <v>392</v>
      </c>
      <c r="CY45" s="190">
        <v>455</v>
      </c>
      <c r="CZ45" s="190">
        <v>61</v>
      </c>
      <c r="DA45" s="190">
        <v>1</v>
      </c>
      <c r="DB45" s="190">
        <v>0</v>
      </c>
      <c r="DC45" s="190">
        <v>353</v>
      </c>
      <c r="DD45" s="190">
        <v>1</v>
      </c>
      <c r="DE45" s="190">
        <v>0</v>
      </c>
      <c r="DF45" s="190">
        <v>62</v>
      </c>
      <c r="DG45" s="190">
        <v>354</v>
      </c>
      <c r="DH45" s="190">
        <v>416</v>
      </c>
      <c r="DI45" s="190">
        <v>1</v>
      </c>
      <c r="DJ45" s="190">
        <v>0</v>
      </c>
      <c r="DK45" s="190">
        <v>0</v>
      </c>
      <c r="DL45" s="190">
        <v>38</v>
      </c>
      <c r="DM45" s="190">
        <v>0</v>
      </c>
      <c r="DN45" s="190">
        <v>0</v>
      </c>
      <c r="DO45" s="190">
        <v>1</v>
      </c>
      <c r="DP45" s="190">
        <v>38</v>
      </c>
      <c r="DQ45" s="190">
        <v>39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>
      <c r="A46" s="189" t="s">
        <v>311</v>
      </c>
      <c r="B46" s="190">
        <v>1194</v>
      </c>
      <c r="C46" s="190">
        <v>225</v>
      </c>
      <c r="D46" s="190">
        <v>1045</v>
      </c>
      <c r="E46" s="190">
        <v>548</v>
      </c>
      <c r="F46" s="190">
        <v>1</v>
      </c>
      <c r="G46" s="190">
        <v>8</v>
      </c>
      <c r="H46" s="190">
        <v>9</v>
      </c>
      <c r="I46" s="190">
        <v>0</v>
      </c>
      <c r="J46" s="190">
        <v>396</v>
      </c>
      <c r="K46" s="190">
        <v>396</v>
      </c>
      <c r="L46" s="190">
        <v>0</v>
      </c>
      <c r="M46" s="190">
        <v>396</v>
      </c>
      <c r="N46" s="190">
        <v>396</v>
      </c>
      <c r="O46" s="190">
        <v>0</v>
      </c>
      <c r="P46" s="190">
        <v>0</v>
      </c>
      <c r="Q46" s="190">
        <v>0</v>
      </c>
      <c r="R46" s="190">
        <v>0</v>
      </c>
      <c r="S46" s="190">
        <v>22</v>
      </c>
      <c r="T46" s="190">
        <v>22</v>
      </c>
      <c r="U46" s="190">
        <v>0</v>
      </c>
      <c r="V46" s="190">
        <v>101</v>
      </c>
      <c r="W46" s="190">
        <v>101</v>
      </c>
      <c r="X46" s="190">
        <v>16</v>
      </c>
      <c r="Y46" s="190">
        <v>919</v>
      </c>
      <c r="Z46" s="190">
        <v>935</v>
      </c>
      <c r="AA46" s="190">
        <v>7</v>
      </c>
      <c r="AB46" s="190">
        <v>322</v>
      </c>
      <c r="AC46" s="190">
        <v>329</v>
      </c>
      <c r="AD46" s="190">
        <v>5</v>
      </c>
      <c r="AE46" s="190">
        <v>292</v>
      </c>
      <c r="AF46" s="190">
        <v>297</v>
      </c>
      <c r="AG46" s="190">
        <v>1</v>
      </c>
      <c r="AH46" s="190">
        <v>20</v>
      </c>
      <c r="AI46" s="190">
        <v>21</v>
      </c>
      <c r="AJ46" s="190">
        <v>1</v>
      </c>
      <c r="AK46" s="190">
        <v>10</v>
      </c>
      <c r="AL46" s="190">
        <v>11</v>
      </c>
      <c r="AM46" s="190">
        <v>9</v>
      </c>
      <c r="AN46" s="190">
        <v>597</v>
      </c>
      <c r="AO46" s="190">
        <v>606</v>
      </c>
      <c r="AP46" s="190">
        <v>720</v>
      </c>
      <c r="AQ46" s="190">
        <v>12190</v>
      </c>
      <c r="AR46" s="190">
        <v>12910</v>
      </c>
      <c r="AS46" s="190">
        <v>735</v>
      </c>
      <c r="AT46" s="190">
        <v>12239</v>
      </c>
      <c r="AU46" s="190">
        <v>12974</v>
      </c>
      <c r="AV46" s="190">
        <v>-15</v>
      </c>
      <c r="AW46" s="190">
        <v>-49</v>
      </c>
      <c r="AX46" s="190">
        <v>-64</v>
      </c>
      <c r="AY46" s="190">
        <v>35</v>
      </c>
      <c r="AZ46" s="190">
        <v>1212</v>
      </c>
      <c r="BA46" s="190">
        <v>1247</v>
      </c>
      <c r="BB46" s="190">
        <v>10</v>
      </c>
      <c r="BC46" s="190">
        <v>1</v>
      </c>
      <c r="BD46" s="190">
        <v>0</v>
      </c>
      <c r="BE46" s="190">
        <v>515</v>
      </c>
      <c r="BF46" s="190">
        <v>19</v>
      </c>
      <c r="BG46" s="190">
        <v>3</v>
      </c>
      <c r="BH46" s="190">
        <v>11</v>
      </c>
      <c r="BI46" s="190">
        <v>537</v>
      </c>
      <c r="BJ46" s="190">
        <v>548</v>
      </c>
      <c r="BK46" s="190">
        <v>-17</v>
      </c>
      <c r="BL46" s="190">
        <v>17</v>
      </c>
      <c r="BM46" s="190">
        <v>0</v>
      </c>
      <c r="BN46" s="190">
        <v>20</v>
      </c>
      <c r="BO46" s="190">
        <v>21</v>
      </c>
      <c r="BP46" s="190">
        <v>41</v>
      </c>
      <c r="BQ46" s="190">
        <v>0</v>
      </c>
      <c r="BR46" s="190">
        <v>186</v>
      </c>
      <c r="BS46" s="190">
        <v>186</v>
      </c>
      <c r="BT46" s="190">
        <v>21</v>
      </c>
      <c r="BU46" s="190">
        <v>451</v>
      </c>
      <c r="BV46" s="190">
        <v>472</v>
      </c>
      <c r="BW46" s="190">
        <v>755</v>
      </c>
      <c r="BX46" s="190">
        <v>13402</v>
      </c>
      <c r="BY46" s="190">
        <v>14157</v>
      </c>
      <c r="BZ46" s="190">
        <v>730</v>
      </c>
      <c r="CA46" s="190">
        <v>12850</v>
      </c>
      <c r="CB46" s="190">
        <v>13580</v>
      </c>
      <c r="CC46" s="190">
        <v>26727</v>
      </c>
      <c r="CD46" s="190">
        <v>34</v>
      </c>
      <c r="CE46" s="190">
        <v>521</v>
      </c>
      <c r="CF46" s="190">
        <v>25</v>
      </c>
      <c r="CG46" s="190">
        <v>402</v>
      </c>
      <c r="CH46" s="190">
        <v>427</v>
      </c>
      <c r="CI46" s="190">
        <v>186</v>
      </c>
      <c r="CJ46" s="190">
        <v>10</v>
      </c>
      <c r="CK46" s="190">
        <v>0</v>
      </c>
      <c r="CL46" s="190">
        <v>150</v>
      </c>
      <c r="CM46" s="190">
        <v>150</v>
      </c>
      <c r="CN46" s="190">
        <v>53</v>
      </c>
      <c r="CO46" s="190">
        <v>1289</v>
      </c>
      <c r="CP46" s="190">
        <v>1342</v>
      </c>
      <c r="CQ46" s="190">
        <v>0</v>
      </c>
      <c r="CR46" s="190">
        <v>0</v>
      </c>
      <c r="CS46" s="190">
        <v>0</v>
      </c>
      <c r="CT46" s="190">
        <v>702</v>
      </c>
      <c r="CU46" s="190">
        <v>12113</v>
      </c>
      <c r="CV46" s="190">
        <v>12815</v>
      </c>
      <c r="CW46" s="190">
        <v>55</v>
      </c>
      <c r="CX46" s="190">
        <v>636</v>
      </c>
      <c r="CY46" s="190">
        <v>691</v>
      </c>
      <c r="CZ46" s="190">
        <v>52</v>
      </c>
      <c r="DA46" s="190">
        <v>1</v>
      </c>
      <c r="DB46" s="190">
        <v>0</v>
      </c>
      <c r="DC46" s="190">
        <v>591</v>
      </c>
      <c r="DD46" s="190">
        <v>24</v>
      </c>
      <c r="DE46" s="190">
        <v>5</v>
      </c>
      <c r="DF46" s="190">
        <v>53</v>
      </c>
      <c r="DG46" s="190">
        <v>620</v>
      </c>
      <c r="DH46" s="190">
        <v>673</v>
      </c>
      <c r="DI46" s="190">
        <v>2</v>
      </c>
      <c r="DJ46" s="190">
        <v>0</v>
      </c>
      <c r="DK46" s="190">
        <v>0</v>
      </c>
      <c r="DL46" s="190">
        <v>15</v>
      </c>
      <c r="DM46" s="190">
        <v>1</v>
      </c>
      <c r="DN46" s="190">
        <v>0</v>
      </c>
      <c r="DO46" s="190">
        <v>2</v>
      </c>
      <c r="DP46" s="190">
        <v>16</v>
      </c>
      <c r="DQ46" s="190">
        <v>18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1223</v>
      </c>
      <c r="C47" s="190">
        <v>432</v>
      </c>
      <c r="D47" s="190">
        <v>1484</v>
      </c>
      <c r="E47" s="190">
        <v>1002</v>
      </c>
      <c r="F47" s="190">
        <v>3</v>
      </c>
      <c r="G47" s="190">
        <v>48</v>
      </c>
      <c r="H47" s="190">
        <v>51</v>
      </c>
      <c r="I47" s="190">
        <v>1</v>
      </c>
      <c r="J47" s="190">
        <v>405</v>
      </c>
      <c r="K47" s="190">
        <v>406</v>
      </c>
      <c r="L47" s="190">
        <v>0</v>
      </c>
      <c r="M47" s="190">
        <v>142</v>
      </c>
      <c r="N47" s="190">
        <v>142</v>
      </c>
      <c r="O47" s="190">
        <v>1</v>
      </c>
      <c r="P47" s="190">
        <v>263</v>
      </c>
      <c r="Q47" s="190">
        <v>264</v>
      </c>
      <c r="R47" s="190">
        <v>0</v>
      </c>
      <c r="S47" s="190">
        <v>39</v>
      </c>
      <c r="T47" s="190">
        <v>39</v>
      </c>
      <c r="U47" s="190">
        <v>0</v>
      </c>
      <c r="V47" s="190">
        <v>76</v>
      </c>
      <c r="W47" s="190">
        <v>76</v>
      </c>
      <c r="X47" s="190">
        <v>22</v>
      </c>
      <c r="Y47" s="190">
        <v>436</v>
      </c>
      <c r="Z47" s="190">
        <v>458</v>
      </c>
      <c r="AA47" s="190">
        <v>14</v>
      </c>
      <c r="AB47" s="190">
        <v>272</v>
      </c>
      <c r="AC47" s="190">
        <v>286</v>
      </c>
      <c r="AD47" s="190">
        <v>13</v>
      </c>
      <c r="AE47" s="190">
        <v>248</v>
      </c>
      <c r="AF47" s="190">
        <v>261</v>
      </c>
      <c r="AG47" s="190">
        <v>1</v>
      </c>
      <c r="AH47" s="190">
        <v>15</v>
      </c>
      <c r="AI47" s="190">
        <v>16</v>
      </c>
      <c r="AJ47" s="190">
        <v>0</v>
      </c>
      <c r="AK47" s="190">
        <v>9</v>
      </c>
      <c r="AL47" s="190">
        <v>9</v>
      </c>
      <c r="AM47" s="190">
        <v>8</v>
      </c>
      <c r="AN47" s="190">
        <v>164</v>
      </c>
      <c r="AO47" s="190">
        <v>172</v>
      </c>
      <c r="AP47" s="190">
        <v>2325</v>
      </c>
      <c r="AQ47" s="190">
        <v>14963</v>
      </c>
      <c r="AR47" s="190">
        <v>17288</v>
      </c>
      <c r="AS47" s="190">
        <v>2252</v>
      </c>
      <c r="AT47" s="190">
        <v>15058</v>
      </c>
      <c r="AU47" s="190">
        <v>17310</v>
      </c>
      <c r="AV47" s="190">
        <v>73</v>
      </c>
      <c r="AW47" s="190">
        <v>-95</v>
      </c>
      <c r="AX47" s="190">
        <v>-22</v>
      </c>
      <c r="AY47" s="190">
        <v>174</v>
      </c>
      <c r="AZ47" s="190">
        <v>1508</v>
      </c>
      <c r="BA47" s="190">
        <v>1682</v>
      </c>
      <c r="BB47" s="190">
        <v>67</v>
      </c>
      <c r="BC47" s="190">
        <v>0</v>
      </c>
      <c r="BD47" s="190">
        <v>0</v>
      </c>
      <c r="BE47" s="190">
        <v>928</v>
      </c>
      <c r="BF47" s="190">
        <v>6</v>
      </c>
      <c r="BG47" s="190">
        <v>1</v>
      </c>
      <c r="BH47" s="190">
        <v>67</v>
      </c>
      <c r="BI47" s="190">
        <v>935</v>
      </c>
      <c r="BJ47" s="190">
        <v>1002</v>
      </c>
      <c r="BK47" s="190">
        <v>33</v>
      </c>
      <c r="BL47" s="190">
        <v>-33</v>
      </c>
      <c r="BM47" s="190">
        <v>0</v>
      </c>
      <c r="BN47" s="190">
        <v>1</v>
      </c>
      <c r="BO47" s="190">
        <v>19</v>
      </c>
      <c r="BP47" s="190">
        <v>20</v>
      </c>
      <c r="BQ47" s="190">
        <v>11</v>
      </c>
      <c r="BR47" s="190">
        <v>146</v>
      </c>
      <c r="BS47" s="190">
        <v>157</v>
      </c>
      <c r="BT47" s="190">
        <v>62</v>
      </c>
      <c r="BU47" s="190">
        <v>441</v>
      </c>
      <c r="BV47" s="190">
        <v>503</v>
      </c>
      <c r="BW47" s="190">
        <v>2499</v>
      </c>
      <c r="BX47" s="190">
        <v>16471</v>
      </c>
      <c r="BY47" s="190">
        <v>18970</v>
      </c>
      <c r="BZ47" s="190">
        <v>2479</v>
      </c>
      <c r="CA47" s="190">
        <v>16280</v>
      </c>
      <c r="CB47" s="190">
        <v>18759</v>
      </c>
      <c r="CC47" s="190">
        <v>39682</v>
      </c>
      <c r="CD47" s="190">
        <v>21</v>
      </c>
      <c r="CE47" s="190">
        <v>138</v>
      </c>
      <c r="CF47" s="190">
        <v>20</v>
      </c>
      <c r="CG47" s="190">
        <v>130</v>
      </c>
      <c r="CH47" s="190">
        <v>150</v>
      </c>
      <c r="CI47" s="190">
        <v>0</v>
      </c>
      <c r="CJ47" s="190">
        <v>75</v>
      </c>
      <c r="CK47" s="190">
        <v>0</v>
      </c>
      <c r="CL47" s="190">
        <v>61</v>
      </c>
      <c r="CM47" s="190">
        <v>61</v>
      </c>
      <c r="CN47" s="190">
        <v>156</v>
      </c>
      <c r="CO47" s="190">
        <v>1530</v>
      </c>
      <c r="CP47" s="190">
        <v>1686</v>
      </c>
      <c r="CQ47" s="190">
        <v>0</v>
      </c>
      <c r="CR47" s="190">
        <v>0</v>
      </c>
      <c r="CS47" s="190">
        <v>0</v>
      </c>
      <c r="CT47" s="190">
        <v>2343</v>
      </c>
      <c r="CU47" s="190">
        <v>14941</v>
      </c>
      <c r="CV47" s="190">
        <v>17284</v>
      </c>
      <c r="CW47" s="190">
        <v>146</v>
      </c>
      <c r="CX47" s="190">
        <v>786</v>
      </c>
      <c r="CY47" s="190">
        <v>932</v>
      </c>
      <c r="CZ47" s="190">
        <v>139</v>
      </c>
      <c r="DA47" s="190">
        <v>2</v>
      </c>
      <c r="DB47" s="190">
        <v>0</v>
      </c>
      <c r="DC47" s="190">
        <v>754</v>
      </c>
      <c r="DD47" s="190">
        <v>7</v>
      </c>
      <c r="DE47" s="190">
        <v>2</v>
      </c>
      <c r="DF47" s="190">
        <v>141</v>
      </c>
      <c r="DG47" s="190">
        <v>763</v>
      </c>
      <c r="DH47" s="190">
        <v>904</v>
      </c>
      <c r="DI47" s="190">
        <v>5</v>
      </c>
      <c r="DJ47" s="190">
        <v>0</v>
      </c>
      <c r="DK47" s="190">
        <v>0</v>
      </c>
      <c r="DL47" s="190">
        <v>22</v>
      </c>
      <c r="DM47" s="190">
        <v>1</v>
      </c>
      <c r="DN47" s="190">
        <v>0</v>
      </c>
      <c r="DO47" s="190">
        <v>5</v>
      </c>
      <c r="DP47" s="190">
        <v>23</v>
      </c>
      <c r="DQ47" s="190">
        <v>28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2286</v>
      </c>
      <c r="C48" s="190">
        <v>549</v>
      </c>
      <c r="D48" s="190">
        <v>2370</v>
      </c>
      <c r="E48" s="190">
        <v>1421</v>
      </c>
      <c r="F48" s="190">
        <v>0</v>
      </c>
      <c r="G48" s="190">
        <v>19</v>
      </c>
      <c r="H48" s="190">
        <v>19</v>
      </c>
      <c r="I48" s="190">
        <v>3</v>
      </c>
      <c r="J48" s="190">
        <v>715</v>
      </c>
      <c r="K48" s="190">
        <v>718</v>
      </c>
      <c r="L48" s="190">
        <v>0</v>
      </c>
      <c r="M48" s="190">
        <v>222</v>
      </c>
      <c r="N48" s="190">
        <v>222</v>
      </c>
      <c r="O48" s="190">
        <v>3</v>
      </c>
      <c r="P48" s="190">
        <v>493</v>
      </c>
      <c r="Q48" s="190">
        <v>496</v>
      </c>
      <c r="R48" s="190">
        <v>0</v>
      </c>
      <c r="S48" s="190">
        <v>24</v>
      </c>
      <c r="T48" s="190">
        <v>24</v>
      </c>
      <c r="U48" s="190">
        <v>0</v>
      </c>
      <c r="V48" s="190">
        <v>231</v>
      </c>
      <c r="W48" s="190">
        <v>231</v>
      </c>
      <c r="X48" s="190">
        <v>22</v>
      </c>
      <c r="Y48" s="190">
        <v>1158</v>
      </c>
      <c r="Z48" s="190">
        <v>1180</v>
      </c>
      <c r="AA48" s="190">
        <v>11</v>
      </c>
      <c r="AB48" s="190">
        <v>439</v>
      </c>
      <c r="AC48" s="190">
        <v>450</v>
      </c>
      <c r="AD48" s="190">
        <v>11</v>
      </c>
      <c r="AE48" s="190">
        <v>431</v>
      </c>
      <c r="AF48" s="190">
        <v>442</v>
      </c>
      <c r="AG48" s="190">
        <v>0</v>
      </c>
      <c r="AH48" s="190">
        <v>7</v>
      </c>
      <c r="AI48" s="190">
        <v>7</v>
      </c>
      <c r="AJ48" s="190">
        <v>0</v>
      </c>
      <c r="AK48" s="190">
        <v>1</v>
      </c>
      <c r="AL48" s="190">
        <v>1</v>
      </c>
      <c r="AM48" s="190">
        <v>11</v>
      </c>
      <c r="AN48" s="190">
        <v>719</v>
      </c>
      <c r="AO48" s="190">
        <v>730</v>
      </c>
      <c r="AP48" s="190">
        <v>3819</v>
      </c>
      <c r="AQ48" s="190">
        <v>42553</v>
      </c>
      <c r="AR48" s="190">
        <v>46372</v>
      </c>
      <c r="AS48" s="190">
        <v>3911</v>
      </c>
      <c r="AT48" s="190">
        <v>42259</v>
      </c>
      <c r="AU48" s="190">
        <v>46170</v>
      </c>
      <c r="AV48" s="190">
        <v>-92</v>
      </c>
      <c r="AW48" s="190">
        <v>294</v>
      </c>
      <c r="AX48" s="190">
        <v>202</v>
      </c>
      <c r="AY48" s="190">
        <v>273</v>
      </c>
      <c r="AZ48" s="190">
        <v>2722</v>
      </c>
      <c r="BA48" s="190">
        <v>2995</v>
      </c>
      <c r="BB48" s="190">
        <v>96</v>
      </c>
      <c r="BC48" s="190">
        <v>3</v>
      </c>
      <c r="BD48" s="190">
        <v>0</v>
      </c>
      <c r="BE48" s="190">
        <v>1268</v>
      </c>
      <c r="BF48" s="190">
        <v>23</v>
      </c>
      <c r="BG48" s="190">
        <v>31</v>
      </c>
      <c r="BH48" s="190">
        <v>99</v>
      </c>
      <c r="BI48" s="190">
        <v>1322</v>
      </c>
      <c r="BJ48" s="190">
        <v>1421</v>
      </c>
      <c r="BK48" s="190">
        <v>56</v>
      </c>
      <c r="BL48" s="190">
        <v>-56</v>
      </c>
      <c r="BM48" s="190">
        <v>0</v>
      </c>
      <c r="BN48" s="190">
        <v>6</v>
      </c>
      <c r="BO48" s="190">
        <v>36</v>
      </c>
      <c r="BP48" s="190">
        <v>42</v>
      </c>
      <c r="BQ48" s="190">
        <v>5</v>
      </c>
      <c r="BR48" s="190">
        <v>91</v>
      </c>
      <c r="BS48" s="190">
        <v>96</v>
      </c>
      <c r="BT48" s="190">
        <v>107</v>
      </c>
      <c r="BU48" s="190">
        <v>1329</v>
      </c>
      <c r="BV48" s="190">
        <v>1436</v>
      </c>
      <c r="BW48" s="190">
        <v>4092</v>
      </c>
      <c r="BX48" s="190">
        <v>45275</v>
      </c>
      <c r="BY48" s="190">
        <v>49367</v>
      </c>
      <c r="BZ48" s="190">
        <v>3996</v>
      </c>
      <c r="CA48" s="190">
        <v>43804</v>
      </c>
      <c r="CB48" s="190">
        <v>47800</v>
      </c>
      <c r="CC48" s="190">
        <v>94504</v>
      </c>
      <c r="CD48" s="190">
        <v>102</v>
      </c>
      <c r="CE48" s="190">
        <v>1087</v>
      </c>
      <c r="CF48" s="190">
        <v>94</v>
      </c>
      <c r="CG48" s="190">
        <v>830</v>
      </c>
      <c r="CH48" s="190">
        <v>924</v>
      </c>
      <c r="CI48" s="190">
        <v>883</v>
      </c>
      <c r="CJ48" s="190">
        <v>20</v>
      </c>
      <c r="CK48" s="190">
        <v>2</v>
      </c>
      <c r="CL48" s="190">
        <v>641</v>
      </c>
      <c r="CM48" s="190">
        <v>643</v>
      </c>
      <c r="CN48" s="190">
        <v>279</v>
      </c>
      <c r="CO48" s="190">
        <v>4364</v>
      </c>
      <c r="CP48" s="190">
        <v>4643</v>
      </c>
      <c r="CQ48" s="190">
        <v>0</v>
      </c>
      <c r="CR48" s="190">
        <v>0</v>
      </c>
      <c r="CS48" s="190">
        <v>0</v>
      </c>
      <c r="CT48" s="190">
        <v>3813</v>
      </c>
      <c r="CU48" s="190">
        <v>40911</v>
      </c>
      <c r="CV48" s="190">
        <v>44724</v>
      </c>
      <c r="CW48" s="190">
        <v>246</v>
      </c>
      <c r="CX48" s="190">
        <v>2668</v>
      </c>
      <c r="CY48" s="190">
        <v>2914</v>
      </c>
      <c r="CZ48" s="190">
        <v>220</v>
      </c>
      <c r="DA48" s="190">
        <v>8</v>
      </c>
      <c r="DB48" s="190">
        <v>0</v>
      </c>
      <c r="DC48" s="190">
        <v>2191</v>
      </c>
      <c r="DD48" s="190">
        <v>46</v>
      </c>
      <c r="DE48" s="190">
        <v>16</v>
      </c>
      <c r="DF48" s="190">
        <v>228</v>
      </c>
      <c r="DG48" s="190">
        <v>2253</v>
      </c>
      <c r="DH48" s="190">
        <v>2481</v>
      </c>
      <c r="DI48" s="190">
        <v>18</v>
      </c>
      <c r="DJ48" s="190">
        <v>0</v>
      </c>
      <c r="DK48" s="190">
        <v>0</v>
      </c>
      <c r="DL48" s="190">
        <v>400</v>
      </c>
      <c r="DM48" s="190">
        <v>9</v>
      </c>
      <c r="DN48" s="190">
        <v>6</v>
      </c>
      <c r="DO48" s="190">
        <v>18</v>
      </c>
      <c r="DP48" s="190">
        <v>415</v>
      </c>
      <c r="DQ48" s="190">
        <v>433</v>
      </c>
      <c r="DR48" s="190">
        <v>0</v>
      </c>
      <c r="DS48" s="190">
        <v>8</v>
      </c>
      <c r="DT48" s="191">
        <v>8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880</v>
      </c>
      <c r="C49" s="190">
        <v>228</v>
      </c>
      <c r="D49" s="190">
        <v>906</v>
      </c>
      <c r="E49" s="190">
        <v>581</v>
      </c>
      <c r="F49" s="190">
        <v>2</v>
      </c>
      <c r="G49" s="190">
        <v>16</v>
      </c>
      <c r="H49" s="190">
        <v>18</v>
      </c>
      <c r="I49" s="190">
        <v>0</v>
      </c>
      <c r="J49" s="190">
        <v>270</v>
      </c>
      <c r="K49" s="190">
        <v>270</v>
      </c>
      <c r="L49" s="190">
        <v>0</v>
      </c>
      <c r="M49" s="190">
        <v>81</v>
      </c>
      <c r="N49" s="190">
        <v>81</v>
      </c>
      <c r="O49" s="190">
        <v>0</v>
      </c>
      <c r="P49" s="190">
        <v>189</v>
      </c>
      <c r="Q49" s="190">
        <v>189</v>
      </c>
      <c r="R49" s="190">
        <v>0</v>
      </c>
      <c r="S49" s="190">
        <v>52</v>
      </c>
      <c r="T49" s="190">
        <v>52</v>
      </c>
      <c r="U49" s="190">
        <v>0</v>
      </c>
      <c r="V49" s="190">
        <v>55</v>
      </c>
      <c r="W49" s="190">
        <v>55</v>
      </c>
      <c r="X49" s="190">
        <v>5</v>
      </c>
      <c r="Y49" s="190">
        <v>510</v>
      </c>
      <c r="Z49" s="190">
        <v>515</v>
      </c>
      <c r="AA49" s="190">
        <v>4</v>
      </c>
      <c r="AB49" s="190">
        <v>223</v>
      </c>
      <c r="AC49" s="190">
        <v>227</v>
      </c>
      <c r="AD49" s="190">
        <v>4</v>
      </c>
      <c r="AE49" s="190">
        <v>216</v>
      </c>
      <c r="AF49" s="190">
        <v>220</v>
      </c>
      <c r="AG49" s="190">
        <v>0</v>
      </c>
      <c r="AH49" s="190">
        <v>7</v>
      </c>
      <c r="AI49" s="190">
        <v>7</v>
      </c>
      <c r="AJ49" s="190">
        <v>0</v>
      </c>
      <c r="AK49" s="190">
        <v>0</v>
      </c>
      <c r="AL49" s="190">
        <v>0</v>
      </c>
      <c r="AM49" s="190">
        <v>1</v>
      </c>
      <c r="AN49" s="190">
        <v>287</v>
      </c>
      <c r="AO49" s="190">
        <v>288</v>
      </c>
      <c r="AP49" s="190">
        <v>1072</v>
      </c>
      <c r="AQ49" s="190">
        <v>12516</v>
      </c>
      <c r="AR49" s="190">
        <v>13588</v>
      </c>
      <c r="AS49" s="190">
        <v>1027</v>
      </c>
      <c r="AT49" s="190">
        <v>12458</v>
      </c>
      <c r="AU49" s="190">
        <v>13485</v>
      </c>
      <c r="AV49" s="190">
        <v>45</v>
      </c>
      <c r="AW49" s="190">
        <v>58</v>
      </c>
      <c r="AX49" s="190">
        <v>103</v>
      </c>
      <c r="AY49" s="190">
        <v>43</v>
      </c>
      <c r="AZ49" s="190">
        <v>1199</v>
      </c>
      <c r="BA49" s="190">
        <v>1242</v>
      </c>
      <c r="BB49" s="190">
        <v>17</v>
      </c>
      <c r="BC49" s="190">
        <v>0</v>
      </c>
      <c r="BD49" s="190">
        <v>0</v>
      </c>
      <c r="BE49" s="190">
        <v>561</v>
      </c>
      <c r="BF49" s="190">
        <v>2</v>
      </c>
      <c r="BG49" s="190">
        <v>1</v>
      </c>
      <c r="BH49" s="190">
        <v>17</v>
      </c>
      <c r="BI49" s="190">
        <v>564</v>
      </c>
      <c r="BJ49" s="190">
        <v>581</v>
      </c>
      <c r="BK49" s="190">
        <v>-21</v>
      </c>
      <c r="BL49" s="190">
        <v>21</v>
      </c>
      <c r="BM49" s="190">
        <v>0</v>
      </c>
      <c r="BN49" s="190">
        <v>1</v>
      </c>
      <c r="BO49" s="190">
        <v>10</v>
      </c>
      <c r="BP49" s="190">
        <v>11</v>
      </c>
      <c r="BQ49" s="190">
        <v>0</v>
      </c>
      <c r="BR49" s="190">
        <v>0</v>
      </c>
      <c r="BS49" s="190">
        <v>0</v>
      </c>
      <c r="BT49" s="190">
        <v>46</v>
      </c>
      <c r="BU49" s="190">
        <v>604</v>
      </c>
      <c r="BV49" s="190">
        <v>650</v>
      </c>
      <c r="BW49" s="190">
        <v>1115</v>
      </c>
      <c r="BX49" s="190">
        <v>13715</v>
      </c>
      <c r="BY49" s="190">
        <v>14830</v>
      </c>
      <c r="BZ49" s="190">
        <v>1110</v>
      </c>
      <c r="CA49" s="190">
        <v>13658</v>
      </c>
      <c r="CB49" s="190">
        <v>14768</v>
      </c>
      <c r="CC49" s="190">
        <v>26888</v>
      </c>
      <c r="CD49" s="190">
        <v>5</v>
      </c>
      <c r="CE49" s="190">
        <v>50</v>
      </c>
      <c r="CF49" s="190">
        <v>5</v>
      </c>
      <c r="CG49" s="190">
        <v>45</v>
      </c>
      <c r="CH49" s="190">
        <v>50</v>
      </c>
      <c r="CI49" s="190">
        <v>0</v>
      </c>
      <c r="CJ49" s="190">
        <v>15</v>
      </c>
      <c r="CK49" s="190">
        <v>0</v>
      </c>
      <c r="CL49" s="190">
        <v>12</v>
      </c>
      <c r="CM49" s="190">
        <v>12</v>
      </c>
      <c r="CN49" s="190">
        <v>68</v>
      </c>
      <c r="CO49" s="190">
        <v>1143</v>
      </c>
      <c r="CP49" s="190">
        <v>1211</v>
      </c>
      <c r="CQ49" s="190">
        <v>0</v>
      </c>
      <c r="CR49" s="190">
        <v>0</v>
      </c>
      <c r="CS49" s="190">
        <v>0</v>
      </c>
      <c r="CT49" s="190">
        <v>1047</v>
      </c>
      <c r="CU49" s="190">
        <v>12572</v>
      </c>
      <c r="CV49" s="190">
        <v>13619</v>
      </c>
      <c r="CW49" s="190">
        <v>58</v>
      </c>
      <c r="CX49" s="190">
        <v>547</v>
      </c>
      <c r="CY49" s="190">
        <v>605</v>
      </c>
      <c r="CZ49" s="190">
        <v>56</v>
      </c>
      <c r="DA49" s="190">
        <v>0</v>
      </c>
      <c r="DB49" s="190">
        <v>0</v>
      </c>
      <c r="DC49" s="190">
        <v>521</v>
      </c>
      <c r="DD49" s="190">
        <v>0</v>
      </c>
      <c r="DE49" s="190">
        <v>0</v>
      </c>
      <c r="DF49" s="190">
        <v>56</v>
      </c>
      <c r="DG49" s="190">
        <v>521</v>
      </c>
      <c r="DH49" s="190">
        <v>577</v>
      </c>
      <c r="DI49" s="190">
        <v>2</v>
      </c>
      <c r="DJ49" s="190">
        <v>0</v>
      </c>
      <c r="DK49" s="190">
        <v>0</v>
      </c>
      <c r="DL49" s="190">
        <v>26</v>
      </c>
      <c r="DM49" s="190">
        <v>0</v>
      </c>
      <c r="DN49" s="190">
        <v>0</v>
      </c>
      <c r="DO49" s="190">
        <v>2</v>
      </c>
      <c r="DP49" s="190">
        <v>26</v>
      </c>
      <c r="DQ49" s="190">
        <v>28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998</v>
      </c>
      <c r="C50" s="190">
        <v>217</v>
      </c>
      <c r="D50" s="190">
        <v>1025</v>
      </c>
      <c r="E50" s="190">
        <v>595</v>
      </c>
      <c r="F50" s="190">
        <v>6</v>
      </c>
      <c r="G50" s="190">
        <v>28</v>
      </c>
      <c r="H50" s="190">
        <v>34</v>
      </c>
      <c r="I50" s="190">
        <v>0</v>
      </c>
      <c r="J50" s="190">
        <v>412</v>
      </c>
      <c r="K50" s="190">
        <v>412</v>
      </c>
      <c r="L50" s="190">
        <v>0</v>
      </c>
      <c r="M50" s="190">
        <v>140</v>
      </c>
      <c r="N50" s="190">
        <v>140</v>
      </c>
      <c r="O50" s="190">
        <v>0</v>
      </c>
      <c r="P50" s="190">
        <v>272</v>
      </c>
      <c r="Q50" s="190">
        <v>272</v>
      </c>
      <c r="R50" s="190">
        <v>0</v>
      </c>
      <c r="S50" s="190">
        <v>14</v>
      </c>
      <c r="T50" s="190">
        <v>14</v>
      </c>
      <c r="U50" s="190">
        <v>0</v>
      </c>
      <c r="V50" s="190">
        <v>18</v>
      </c>
      <c r="W50" s="190">
        <v>18</v>
      </c>
      <c r="X50" s="190">
        <v>17</v>
      </c>
      <c r="Y50" s="190">
        <v>1007</v>
      </c>
      <c r="Z50" s="190">
        <v>1024</v>
      </c>
      <c r="AA50" s="190">
        <v>10</v>
      </c>
      <c r="AB50" s="190">
        <v>419</v>
      </c>
      <c r="AC50" s="190">
        <v>429</v>
      </c>
      <c r="AD50" s="190">
        <v>10</v>
      </c>
      <c r="AE50" s="190">
        <v>410</v>
      </c>
      <c r="AF50" s="190">
        <v>420</v>
      </c>
      <c r="AG50" s="190">
        <v>0</v>
      </c>
      <c r="AH50" s="190">
        <v>5</v>
      </c>
      <c r="AI50" s="190">
        <v>5</v>
      </c>
      <c r="AJ50" s="190">
        <v>0</v>
      </c>
      <c r="AK50" s="190">
        <v>4</v>
      </c>
      <c r="AL50" s="190">
        <v>4</v>
      </c>
      <c r="AM50" s="190">
        <v>7</v>
      </c>
      <c r="AN50" s="190">
        <v>588</v>
      </c>
      <c r="AO50" s="190">
        <v>595</v>
      </c>
      <c r="AP50" s="190">
        <v>1150</v>
      </c>
      <c r="AQ50" s="190">
        <v>10396</v>
      </c>
      <c r="AR50" s="190">
        <v>11546</v>
      </c>
      <c r="AS50" s="190">
        <v>1150</v>
      </c>
      <c r="AT50" s="190">
        <v>10397</v>
      </c>
      <c r="AU50" s="190">
        <v>11547</v>
      </c>
      <c r="AV50" s="190">
        <v>0</v>
      </c>
      <c r="AW50" s="190">
        <v>-1</v>
      </c>
      <c r="AX50" s="190">
        <v>-1</v>
      </c>
      <c r="AY50" s="190">
        <v>96</v>
      </c>
      <c r="AZ50" s="190">
        <v>1046</v>
      </c>
      <c r="BA50" s="190">
        <v>1142</v>
      </c>
      <c r="BB50" s="190">
        <v>30</v>
      </c>
      <c r="BC50" s="190">
        <v>0</v>
      </c>
      <c r="BD50" s="190">
        <v>0</v>
      </c>
      <c r="BE50" s="190">
        <v>564</v>
      </c>
      <c r="BF50" s="190">
        <v>1</v>
      </c>
      <c r="BG50" s="190">
        <v>0</v>
      </c>
      <c r="BH50" s="190">
        <v>30</v>
      </c>
      <c r="BI50" s="190">
        <v>565</v>
      </c>
      <c r="BJ50" s="190">
        <v>595</v>
      </c>
      <c r="BK50" s="190">
        <v>3</v>
      </c>
      <c r="BL50" s="190">
        <v>-3</v>
      </c>
      <c r="BM50" s="190">
        <v>0</v>
      </c>
      <c r="BN50" s="190">
        <v>8</v>
      </c>
      <c r="BO50" s="190">
        <v>24</v>
      </c>
      <c r="BP50" s="190">
        <v>32</v>
      </c>
      <c r="BQ50" s="190">
        <v>12</v>
      </c>
      <c r="BR50" s="190">
        <v>199</v>
      </c>
      <c r="BS50" s="190">
        <v>211</v>
      </c>
      <c r="BT50" s="190">
        <v>43</v>
      </c>
      <c r="BU50" s="190">
        <v>261</v>
      </c>
      <c r="BV50" s="190">
        <v>304</v>
      </c>
      <c r="BW50" s="190">
        <v>1246</v>
      </c>
      <c r="BX50" s="190">
        <v>11442</v>
      </c>
      <c r="BY50" s="190">
        <v>12688</v>
      </c>
      <c r="BZ50" s="190">
        <v>1240</v>
      </c>
      <c r="CA50" s="190">
        <v>11401</v>
      </c>
      <c r="CB50" s="190">
        <v>12641</v>
      </c>
      <c r="CC50" s="190">
        <v>23791</v>
      </c>
      <c r="CD50" s="190">
        <v>2</v>
      </c>
      <c r="CE50" s="190">
        <v>29</v>
      </c>
      <c r="CF50" s="190">
        <v>6</v>
      </c>
      <c r="CG50" s="190">
        <v>23</v>
      </c>
      <c r="CH50" s="190">
        <v>29</v>
      </c>
      <c r="CI50" s="190">
        <v>20</v>
      </c>
      <c r="CJ50" s="190">
        <v>0</v>
      </c>
      <c r="CK50" s="190">
        <v>0</v>
      </c>
      <c r="CL50" s="190">
        <v>18</v>
      </c>
      <c r="CM50" s="190">
        <v>18</v>
      </c>
      <c r="CN50" s="190">
        <v>87</v>
      </c>
      <c r="CO50" s="190">
        <v>1155</v>
      </c>
      <c r="CP50" s="190">
        <v>1242</v>
      </c>
      <c r="CQ50" s="190">
        <v>0</v>
      </c>
      <c r="CR50" s="190">
        <v>7</v>
      </c>
      <c r="CS50" s="190">
        <v>7</v>
      </c>
      <c r="CT50" s="190">
        <v>1159</v>
      </c>
      <c r="CU50" s="190">
        <v>10287</v>
      </c>
      <c r="CV50" s="190">
        <v>11446</v>
      </c>
      <c r="CW50" s="190">
        <v>72</v>
      </c>
      <c r="CX50" s="190">
        <v>373</v>
      </c>
      <c r="CY50" s="190">
        <v>445</v>
      </c>
      <c r="CZ50" s="190">
        <v>70</v>
      </c>
      <c r="DA50" s="190">
        <v>1</v>
      </c>
      <c r="DB50" s="190">
        <v>0</v>
      </c>
      <c r="DC50" s="190">
        <v>355</v>
      </c>
      <c r="DD50" s="190">
        <v>1</v>
      </c>
      <c r="DE50" s="190">
        <v>1</v>
      </c>
      <c r="DF50" s="190">
        <v>71</v>
      </c>
      <c r="DG50" s="190">
        <v>357</v>
      </c>
      <c r="DH50" s="190">
        <v>428</v>
      </c>
      <c r="DI50" s="190">
        <v>1</v>
      </c>
      <c r="DJ50" s="190">
        <v>0</v>
      </c>
      <c r="DK50" s="190">
        <v>0</v>
      </c>
      <c r="DL50" s="190">
        <v>16</v>
      </c>
      <c r="DM50" s="190">
        <v>0</v>
      </c>
      <c r="DN50" s="190">
        <v>0</v>
      </c>
      <c r="DO50" s="190">
        <v>1</v>
      </c>
      <c r="DP50" s="190">
        <v>16</v>
      </c>
      <c r="DQ50" s="190">
        <v>17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11</v>
      </c>
      <c r="C51" s="190">
        <v>0</v>
      </c>
      <c r="D51" s="190">
        <v>9</v>
      </c>
      <c r="E51" s="190">
        <v>8</v>
      </c>
      <c r="F51" s="190">
        <v>0</v>
      </c>
      <c r="G51" s="190">
        <v>0</v>
      </c>
      <c r="H51" s="190">
        <v>0</v>
      </c>
      <c r="I51" s="190">
        <v>0</v>
      </c>
      <c r="J51" s="190">
        <v>0</v>
      </c>
      <c r="K51" s="190">
        <v>0</v>
      </c>
      <c r="L51" s="190">
        <v>0</v>
      </c>
      <c r="M51" s="190">
        <v>0</v>
      </c>
      <c r="N51" s="190">
        <v>0</v>
      </c>
      <c r="O51" s="190">
        <v>0</v>
      </c>
      <c r="P51" s="190">
        <v>0</v>
      </c>
      <c r="Q51" s="190">
        <v>0</v>
      </c>
      <c r="R51" s="190">
        <v>0</v>
      </c>
      <c r="S51" s="190">
        <v>0</v>
      </c>
      <c r="T51" s="190">
        <v>0</v>
      </c>
      <c r="U51" s="190">
        <v>0</v>
      </c>
      <c r="V51" s="190">
        <v>1</v>
      </c>
      <c r="W51" s="190">
        <v>1</v>
      </c>
      <c r="X51" s="190">
        <v>0</v>
      </c>
      <c r="Y51" s="190">
        <v>9</v>
      </c>
      <c r="Z51" s="190">
        <v>9</v>
      </c>
      <c r="AA51" s="190">
        <v>0</v>
      </c>
      <c r="AB51" s="190">
        <v>7</v>
      </c>
      <c r="AC51" s="190">
        <v>7</v>
      </c>
      <c r="AD51" s="190">
        <v>0</v>
      </c>
      <c r="AE51" s="190">
        <v>7</v>
      </c>
      <c r="AF51" s="190">
        <v>7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0</v>
      </c>
      <c r="AN51" s="190">
        <v>2</v>
      </c>
      <c r="AO51" s="190">
        <v>2</v>
      </c>
      <c r="AP51" s="190">
        <v>16</v>
      </c>
      <c r="AQ51" s="190">
        <v>145</v>
      </c>
      <c r="AR51" s="190">
        <v>161</v>
      </c>
      <c r="AS51" s="190">
        <v>16</v>
      </c>
      <c r="AT51" s="190">
        <v>145</v>
      </c>
      <c r="AU51" s="190">
        <v>161</v>
      </c>
      <c r="AV51" s="190">
        <v>0</v>
      </c>
      <c r="AW51" s="190">
        <v>0</v>
      </c>
      <c r="AX51" s="190">
        <v>0</v>
      </c>
      <c r="AY51" s="190">
        <v>-3</v>
      </c>
      <c r="AZ51" s="190">
        <v>12</v>
      </c>
      <c r="BA51" s="190">
        <v>9</v>
      </c>
      <c r="BB51" s="190">
        <v>0</v>
      </c>
      <c r="BC51" s="190">
        <v>0</v>
      </c>
      <c r="BD51" s="190">
        <v>0</v>
      </c>
      <c r="BE51" s="190">
        <v>8</v>
      </c>
      <c r="BF51" s="190">
        <v>0</v>
      </c>
      <c r="BG51" s="190">
        <v>0</v>
      </c>
      <c r="BH51" s="190">
        <v>0</v>
      </c>
      <c r="BI51" s="190">
        <v>8</v>
      </c>
      <c r="BJ51" s="190">
        <v>8</v>
      </c>
      <c r="BK51" s="190">
        <v>-3</v>
      </c>
      <c r="BL51" s="190">
        <v>3</v>
      </c>
      <c r="BM51" s="190">
        <v>0</v>
      </c>
      <c r="BN51" s="190">
        <v>0</v>
      </c>
      <c r="BO51" s="190">
        <v>0</v>
      </c>
      <c r="BP51" s="190">
        <v>0</v>
      </c>
      <c r="BQ51" s="190">
        <v>0</v>
      </c>
      <c r="BR51" s="190">
        <v>0</v>
      </c>
      <c r="BS51" s="190">
        <v>0</v>
      </c>
      <c r="BT51" s="190">
        <v>0</v>
      </c>
      <c r="BU51" s="190">
        <v>1</v>
      </c>
      <c r="BV51" s="190">
        <v>1</v>
      </c>
      <c r="BW51" s="190">
        <v>13</v>
      </c>
      <c r="BX51" s="190">
        <v>157</v>
      </c>
      <c r="BY51" s="190">
        <v>170</v>
      </c>
      <c r="BZ51" s="190">
        <v>13</v>
      </c>
      <c r="CA51" s="190">
        <v>157</v>
      </c>
      <c r="CB51" s="190">
        <v>170</v>
      </c>
      <c r="CC51" s="190">
        <v>289</v>
      </c>
      <c r="CD51" s="190">
        <v>0</v>
      </c>
      <c r="CE51" s="190">
        <v>0</v>
      </c>
      <c r="CF51" s="190">
        <v>0</v>
      </c>
      <c r="CG51" s="190">
        <v>0</v>
      </c>
      <c r="CH51" s="190">
        <v>0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2</v>
      </c>
      <c r="CO51" s="190">
        <v>16</v>
      </c>
      <c r="CP51" s="190">
        <v>18</v>
      </c>
      <c r="CQ51" s="190">
        <v>0</v>
      </c>
      <c r="CR51" s="190">
        <v>0</v>
      </c>
      <c r="CS51" s="190">
        <v>0</v>
      </c>
      <c r="CT51" s="190">
        <v>11</v>
      </c>
      <c r="CU51" s="190">
        <v>141</v>
      </c>
      <c r="CV51" s="190">
        <v>152</v>
      </c>
      <c r="CW51" s="190">
        <v>0</v>
      </c>
      <c r="CX51" s="190">
        <v>9</v>
      </c>
      <c r="CY51" s="190">
        <v>9</v>
      </c>
      <c r="CZ51" s="190">
        <v>0</v>
      </c>
      <c r="DA51" s="190">
        <v>0</v>
      </c>
      <c r="DB51" s="190">
        <v>0</v>
      </c>
      <c r="DC51" s="190">
        <v>8</v>
      </c>
      <c r="DD51" s="190">
        <v>0</v>
      </c>
      <c r="DE51" s="190">
        <v>0</v>
      </c>
      <c r="DF51" s="190">
        <v>0</v>
      </c>
      <c r="DG51" s="190">
        <v>8</v>
      </c>
      <c r="DH51" s="190">
        <v>8</v>
      </c>
      <c r="DI51" s="190">
        <v>0</v>
      </c>
      <c r="DJ51" s="190">
        <v>0</v>
      </c>
      <c r="DK51" s="190">
        <v>0</v>
      </c>
      <c r="DL51" s="190">
        <v>1</v>
      </c>
      <c r="DM51" s="190">
        <v>0</v>
      </c>
      <c r="DN51" s="190">
        <v>0</v>
      </c>
      <c r="DO51" s="190">
        <v>0</v>
      </c>
      <c r="DP51" s="190">
        <v>1</v>
      </c>
      <c r="DQ51" s="190">
        <v>1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235</v>
      </c>
      <c r="C52" s="190">
        <v>46</v>
      </c>
      <c r="D52" s="190">
        <v>265</v>
      </c>
      <c r="E52" s="190">
        <v>160</v>
      </c>
      <c r="F52" s="190">
        <v>1</v>
      </c>
      <c r="G52" s="190">
        <v>7</v>
      </c>
      <c r="H52" s="190">
        <v>8</v>
      </c>
      <c r="I52" s="190">
        <v>0</v>
      </c>
      <c r="J52" s="190">
        <v>98</v>
      </c>
      <c r="K52" s="190">
        <v>98</v>
      </c>
      <c r="L52" s="190">
        <v>0</v>
      </c>
      <c r="M52" s="190">
        <v>34</v>
      </c>
      <c r="N52" s="190">
        <v>34</v>
      </c>
      <c r="O52" s="190">
        <v>0</v>
      </c>
      <c r="P52" s="190">
        <v>64</v>
      </c>
      <c r="Q52" s="190">
        <v>64</v>
      </c>
      <c r="R52" s="190">
        <v>0</v>
      </c>
      <c r="S52" s="190">
        <v>7</v>
      </c>
      <c r="T52" s="190">
        <v>7</v>
      </c>
      <c r="U52" s="190">
        <v>0</v>
      </c>
      <c r="V52" s="190">
        <v>7</v>
      </c>
      <c r="W52" s="190">
        <v>7</v>
      </c>
      <c r="X52" s="190">
        <v>6</v>
      </c>
      <c r="Y52" s="190">
        <v>259</v>
      </c>
      <c r="Z52" s="190">
        <v>265</v>
      </c>
      <c r="AA52" s="190">
        <v>3</v>
      </c>
      <c r="AB52" s="190">
        <v>98</v>
      </c>
      <c r="AC52" s="190">
        <v>101</v>
      </c>
      <c r="AD52" s="190">
        <v>3</v>
      </c>
      <c r="AE52" s="190">
        <v>80</v>
      </c>
      <c r="AF52" s="190">
        <v>83</v>
      </c>
      <c r="AG52" s="190">
        <v>0</v>
      </c>
      <c r="AH52" s="190">
        <v>9</v>
      </c>
      <c r="AI52" s="190">
        <v>9</v>
      </c>
      <c r="AJ52" s="190">
        <v>0</v>
      </c>
      <c r="AK52" s="190">
        <v>9</v>
      </c>
      <c r="AL52" s="190">
        <v>9</v>
      </c>
      <c r="AM52" s="190">
        <v>3</v>
      </c>
      <c r="AN52" s="190">
        <v>161</v>
      </c>
      <c r="AO52" s="190">
        <v>164</v>
      </c>
      <c r="AP52" s="190">
        <v>347</v>
      </c>
      <c r="AQ52" s="190">
        <v>2544</v>
      </c>
      <c r="AR52" s="190">
        <v>2891</v>
      </c>
      <c r="AS52" s="190">
        <v>347</v>
      </c>
      <c r="AT52" s="190">
        <v>2544</v>
      </c>
      <c r="AU52" s="190">
        <v>2891</v>
      </c>
      <c r="AV52" s="190">
        <v>0</v>
      </c>
      <c r="AW52" s="190">
        <v>0</v>
      </c>
      <c r="AX52" s="190">
        <v>0</v>
      </c>
      <c r="AY52" s="190">
        <v>34</v>
      </c>
      <c r="AZ52" s="190">
        <v>267</v>
      </c>
      <c r="BA52" s="190">
        <v>301</v>
      </c>
      <c r="BB52" s="190">
        <v>6</v>
      </c>
      <c r="BC52" s="190">
        <v>0</v>
      </c>
      <c r="BD52" s="190">
        <v>0</v>
      </c>
      <c r="BE52" s="190">
        <v>153</v>
      </c>
      <c r="BF52" s="190">
        <v>1</v>
      </c>
      <c r="BG52" s="190">
        <v>0</v>
      </c>
      <c r="BH52" s="190">
        <v>6</v>
      </c>
      <c r="BI52" s="190">
        <v>154</v>
      </c>
      <c r="BJ52" s="190">
        <v>160</v>
      </c>
      <c r="BK52" s="190">
        <v>1</v>
      </c>
      <c r="BL52" s="190">
        <v>-1</v>
      </c>
      <c r="BM52" s="190">
        <v>0</v>
      </c>
      <c r="BN52" s="190">
        <v>2</v>
      </c>
      <c r="BO52" s="190">
        <v>5</v>
      </c>
      <c r="BP52" s="190">
        <v>7</v>
      </c>
      <c r="BQ52" s="190">
        <v>1</v>
      </c>
      <c r="BR52" s="190">
        <v>18</v>
      </c>
      <c r="BS52" s="190">
        <v>19</v>
      </c>
      <c r="BT52" s="190">
        <v>24</v>
      </c>
      <c r="BU52" s="190">
        <v>91</v>
      </c>
      <c r="BV52" s="190">
        <v>115</v>
      </c>
      <c r="BW52" s="190">
        <v>381</v>
      </c>
      <c r="BX52" s="190">
        <v>2811</v>
      </c>
      <c r="BY52" s="190">
        <v>3192</v>
      </c>
      <c r="BZ52" s="190">
        <v>380</v>
      </c>
      <c r="CA52" s="190">
        <v>2799</v>
      </c>
      <c r="CB52" s="190">
        <v>3179</v>
      </c>
      <c r="CC52" s="190">
        <v>6720</v>
      </c>
      <c r="CD52" s="190">
        <v>0</v>
      </c>
      <c r="CE52" s="190">
        <v>13</v>
      </c>
      <c r="CF52" s="190">
        <v>1</v>
      </c>
      <c r="CG52" s="190">
        <v>10</v>
      </c>
      <c r="CH52" s="190">
        <v>11</v>
      </c>
      <c r="CI52" s="190">
        <v>3</v>
      </c>
      <c r="CJ52" s="190">
        <v>0</v>
      </c>
      <c r="CK52" s="190">
        <v>0</v>
      </c>
      <c r="CL52" s="190">
        <v>2</v>
      </c>
      <c r="CM52" s="190">
        <v>2</v>
      </c>
      <c r="CN52" s="190">
        <v>44</v>
      </c>
      <c r="CO52" s="190">
        <v>236</v>
      </c>
      <c r="CP52" s="190">
        <v>280</v>
      </c>
      <c r="CQ52" s="190">
        <v>0</v>
      </c>
      <c r="CR52" s="190">
        <v>3</v>
      </c>
      <c r="CS52" s="190">
        <v>3</v>
      </c>
      <c r="CT52" s="190">
        <v>337</v>
      </c>
      <c r="CU52" s="190">
        <v>2575</v>
      </c>
      <c r="CV52" s="190">
        <v>2912</v>
      </c>
      <c r="CW52" s="190">
        <v>24</v>
      </c>
      <c r="CX52" s="190">
        <v>135</v>
      </c>
      <c r="CY52" s="190">
        <v>159</v>
      </c>
      <c r="CZ52" s="190">
        <v>23</v>
      </c>
      <c r="DA52" s="190">
        <v>1</v>
      </c>
      <c r="DB52" s="190">
        <v>0</v>
      </c>
      <c r="DC52" s="190">
        <v>133</v>
      </c>
      <c r="DD52" s="190">
        <v>0</v>
      </c>
      <c r="DE52" s="190">
        <v>0</v>
      </c>
      <c r="DF52" s="190">
        <v>24</v>
      </c>
      <c r="DG52" s="190">
        <v>133</v>
      </c>
      <c r="DH52" s="190">
        <v>157</v>
      </c>
      <c r="DI52" s="190">
        <v>0</v>
      </c>
      <c r="DJ52" s="190">
        <v>0</v>
      </c>
      <c r="DK52" s="190">
        <v>0</v>
      </c>
      <c r="DL52" s="190">
        <v>2</v>
      </c>
      <c r="DM52" s="190">
        <v>0</v>
      </c>
      <c r="DN52" s="190">
        <v>0</v>
      </c>
      <c r="DO52" s="190">
        <v>0</v>
      </c>
      <c r="DP52" s="190">
        <v>2</v>
      </c>
      <c r="DQ52" s="190">
        <v>2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1312</v>
      </c>
      <c r="C53" s="190">
        <v>325</v>
      </c>
      <c r="D53" s="190">
        <v>1243</v>
      </c>
      <c r="E53" s="190">
        <v>771</v>
      </c>
      <c r="F53" s="190">
        <v>1</v>
      </c>
      <c r="G53" s="190">
        <v>20</v>
      </c>
      <c r="H53" s="190">
        <v>21</v>
      </c>
      <c r="I53" s="190">
        <v>0</v>
      </c>
      <c r="J53" s="190">
        <v>390</v>
      </c>
      <c r="K53" s="190">
        <v>390</v>
      </c>
      <c r="L53" s="190">
        <v>0</v>
      </c>
      <c r="M53" s="190">
        <v>98</v>
      </c>
      <c r="N53" s="190">
        <v>98</v>
      </c>
      <c r="O53" s="190">
        <v>0</v>
      </c>
      <c r="P53" s="190">
        <v>292</v>
      </c>
      <c r="Q53" s="190">
        <v>292</v>
      </c>
      <c r="R53" s="190">
        <v>0</v>
      </c>
      <c r="S53" s="190">
        <v>64</v>
      </c>
      <c r="T53" s="190">
        <v>64</v>
      </c>
      <c r="U53" s="190">
        <v>0</v>
      </c>
      <c r="V53" s="190">
        <v>82</v>
      </c>
      <c r="W53" s="190">
        <v>82</v>
      </c>
      <c r="X53" s="190">
        <v>15</v>
      </c>
      <c r="Y53" s="190">
        <v>615</v>
      </c>
      <c r="Z53" s="190">
        <v>630</v>
      </c>
      <c r="AA53" s="190">
        <v>9</v>
      </c>
      <c r="AB53" s="190">
        <v>324</v>
      </c>
      <c r="AC53" s="190">
        <v>333</v>
      </c>
      <c r="AD53" s="190">
        <v>7</v>
      </c>
      <c r="AE53" s="190">
        <v>318</v>
      </c>
      <c r="AF53" s="190">
        <v>325</v>
      </c>
      <c r="AG53" s="190">
        <v>1</v>
      </c>
      <c r="AH53" s="190">
        <v>5</v>
      </c>
      <c r="AI53" s="190">
        <v>6</v>
      </c>
      <c r="AJ53" s="190">
        <v>1</v>
      </c>
      <c r="AK53" s="190">
        <v>1</v>
      </c>
      <c r="AL53" s="190">
        <v>2</v>
      </c>
      <c r="AM53" s="190">
        <v>6</v>
      </c>
      <c r="AN53" s="190">
        <v>291</v>
      </c>
      <c r="AO53" s="190">
        <v>297</v>
      </c>
      <c r="AP53" s="190">
        <v>2308</v>
      </c>
      <c r="AQ53" s="190">
        <v>17264</v>
      </c>
      <c r="AR53" s="190">
        <v>19572</v>
      </c>
      <c r="AS53" s="190">
        <v>2301</v>
      </c>
      <c r="AT53" s="190">
        <v>16993</v>
      </c>
      <c r="AU53" s="190">
        <v>19294</v>
      </c>
      <c r="AV53" s="190">
        <v>7</v>
      </c>
      <c r="AW53" s="190">
        <v>271</v>
      </c>
      <c r="AX53" s="190">
        <v>278</v>
      </c>
      <c r="AY53" s="190">
        <v>180</v>
      </c>
      <c r="AZ53" s="190">
        <v>1580</v>
      </c>
      <c r="BA53" s="190">
        <v>1760</v>
      </c>
      <c r="BB53" s="190">
        <v>57</v>
      </c>
      <c r="BC53" s="190">
        <v>0</v>
      </c>
      <c r="BD53" s="190">
        <v>0</v>
      </c>
      <c r="BE53" s="190">
        <v>703</v>
      </c>
      <c r="BF53" s="190">
        <v>8</v>
      </c>
      <c r="BG53" s="190">
        <v>3</v>
      </c>
      <c r="BH53" s="190">
        <v>57</v>
      </c>
      <c r="BI53" s="190">
        <v>714</v>
      </c>
      <c r="BJ53" s="190">
        <v>771</v>
      </c>
      <c r="BK53" s="190">
        <v>15</v>
      </c>
      <c r="BL53" s="190">
        <v>-15</v>
      </c>
      <c r="BM53" s="190">
        <v>0</v>
      </c>
      <c r="BN53" s="190">
        <v>11</v>
      </c>
      <c r="BO53" s="190">
        <v>35</v>
      </c>
      <c r="BP53" s="190">
        <v>46</v>
      </c>
      <c r="BQ53" s="190">
        <v>1</v>
      </c>
      <c r="BR53" s="190">
        <v>82</v>
      </c>
      <c r="BS53" s="190">
        <v>83</v>
      </c>
      <c r="BT53" s="190">
        <v>96</v>
      </c>
      <c r="BU53" s="190">
        <v>764</v>
      </c>
      <c r="BV53" s="190">
        <v>860</v>
      </c>
      <c r="BW53" s="190">
        <v>2488</v>
      </c>
      <c r="BX53" s="190">
        <v>18844</v>
      </c>
      <c r="BY53" s="190">
        <v>21332</v>
      </c>
      <c r="BZ53" s="190">
        <v>2468</v>
      </c>
      <c r="CA53" s="190">
        <v>18623</v>
      </c>
      <c r="CB53" s="190">
        <v>21091</v>
      </c>
      <c r="CC53" s="190">
        <v>39734</v>
      </c>
      <c r="CD53" s="190">
        <v>201</v>
      </c>
      <c r="CE53" s="190">
        <v>176</v>
      </c>
      <c r="CF53" s="190">
        <v>20</v>
      </c>
      <c r="CG53" s="190">
        <v>155</v>
      </c>
      <c r="CH53" s="190">
        <v>175</v>
      </c>
      <c r="CI53" s="190">
        <v>91</v>
      </c>
      <c r="CJ53" s="190">
        <v>64</v>
      </c>
      <c r="CK53" s="190">
        <v>0</v>
      </c>
      <c r="CL53" s="190">
        <v>66</v>
      </c>
      <c r="CM53" s="190">
        <v>66</v>
      </c>
      <c r="CN53" s="190">
        <v>146</v>
      </c>
      <c r="CO53" s="190">
        <v>1933</v>
      </c>
      <c r="CP53" s="190">
        <v>2079</v>
      </c>
      <c r="CQ53" s="190">
        <v>0</v>
      </c>
      <c r="CR53" s="190">
        <v>0</v>
      </c>
      <c r="CS53" s="190">
        <v>0</v>
      </c>
      <c r="CT53" s="190">
        <v>2342</v>
      </c>
      <c r="CU53" s="190">
        <v>16911</v>
      </c>
      <c r="CV53" s="190">
        <v>19253</v>
      </c>
      <c r="CW53" s="190">
        <v>161</v>
      </c>
      <c r="CX53" s="190">
        <v>1011</v>
      </c>
      <c r="CY53" s="190">
        <v>1172</v>
      </c>
      <c r="CZ53" s="190">
        <v>158</v>
      </c>
      <c r="DA53" s="190">
        <v>1</v>
      </c>
      <c r="DB53" s="190">
        <v>0</v>
      </c>
      <c r="DC53" s="190">
        <v>965</v>
      </c>
      <c r="DD53" s="190">
        <v>11</v>
      </c>
      <c r="DE53" s="190">
        <v>4</v>
      </c>
      <c r="DF53" s="190">
        <v>159</v>
      </c>
      <c r="DG53" s="190">
        <v>980</v>
      </c>
      <c r="DH53" s="190">
        <v>1139</v>
      </c>
      <c r="DI53" s="190">
        <v>2</v>
      </c>
      <c r="DJ53" s="190">
        <v>0</v>
      </c>
      <c r="DK53" s="190">
        <v>0</v>
      </c>
      <c r="DL53" s="190">
        <v>31</v>
      </c>
      <c r="DM53" s="190">
        <v>0</v>
      </c>
      <c r="DN53" s="190">
        <v>0</v>
      </c>
      <c r="DO53" s="190">
        <v>2</v>
      </c>
      <c r="DP53" s="190">
        <v>31</v>
      </c>
      <c r="DQ53" s="190">
        <v>33</v>
      </c>
      <c r="DR53" s="190">
        <v>0</v>
      </c>
      <c r="DS53" s="190">
        <v>5</v>
      </c>
      <c r="DT53" s="191">
        <v>5</v>
      </c>
      <c r="DU53" s="172"/>
      <c r="DV53" s="192"/>
      <c r="DX53" s="192"/>
      <c r="DY53" s="192"/>
    </row>
    <row r="54" spans="1:129" s="193" customFormat="1" ht="15.75">
      <c r="A54" s="189" t="s">
        <v>369</v>
      </c>
      <c r="B54" s="190">
        <v>825</v>
      </c>
      <c r="C54" s="190">
        <v>335</v>
      </c>
      <c r="D54" s="190">
        <v>849</v>
      </c>
      <c r="E54" s="190">
        <v>446</v>
      </c>
      <c r="F54" s="190">
        <v>0</v>
      </c>
      <c r="G54" s="190">
        <v>23</v>
      </c>
      <c r="H54" s="190">
        <v>23</v>
      </c>
      <c r="I54" s="190">
        <v>2</v>
      </c>
      <c r="J54" s="190">
        <v>356</v>
      </c>
      <c r="K54" s="190">
        <v>358</v>
      </c>
      <c r="L54" s="190">
        <v>1</v>
      </c>
      <c r="M54" s="190">
        <v>102</v>
      </c>
      <c r="N54" s="190">
        <v>103</v>
      </c>
      <c r="O54" s="190">
        <v>1</v>
      </c>
      <c r="P54" s="190">
        <v>254</v>
      </c>
      <c r="Q54" s="190">
        <v>255</v>
      </c>
      <c r="R54" s="190">
        <v>0</v>
      </c>
      <c r="S54" s="190">
        <v>95</v>
      </c>
      <c r="T54" s="190">
        <v>95</v>
      </c>
      <c r="U54" s="190">
        <v>0</v>
      </c>
      <c r="V54" s="190">
        <v>45</v>
      </c>
      <c r="W54" s="190">
        <v>45</v>
      </c>
      <c r="X54" s="190">
        <v>6</v>
      </c>
      <c r="Y54" s="190">
        <v>631</v>
      </c>
      <c r="Z54" s="190">
        <v>637</v>
      </c>
      <c r="AA54" s="190">
        <v>3</v>
      </c>
      <c r="AB54" s="190">
        <v>159</v>
      </c>
      <c r="AC54" s="190">
        <v>162</v>
      </c>
      <c r="AD54" s="190">
        <v>2</v>
      </c>
      <c r="AE54" s="190">
        <v>114</v>
      </c>
      <c r="AF54" s="190">
        <v>116</v>
      </c>
      <c r="AG54" s="190">
        <v>0</v>
      </c>
      <c r="AH54" s="190">
        <v>16</v>
      </c>
      <c r="AI54" s="190">
        <v>16</v>
      </c>
      <c r="AJ54" s="190">
        <v>1</v>
      </c>
      <c r="AK54" s="190">
        <v>29</v>
      </c>
      <c r="AL54" s="190">
        <v>30</v>
      </c>
      <c r="AM54" s="190">
        <v>3</v>
      </c>
      <c r="AN54" s="190">
        <v>472</v>
      </c>
      <c r="AO54" s="190">
        <v>475</v>
      </c>
      <c r="AP54" s="190">
        <v>1349</v>
      </c>
      <c r="AQ54" s="190">
        <v>15161</v>
      </c>
      <c r="AR54" s="190">
        <v>16510</v>
      </c>
      <c r="AS54" s="190">
        <v>1341</v>
      </c>
      <c r="AT54" s="190">
        <v>14689</v>
      </c>
      <c r="AU54" s="190">
        <v>16030</v>
      </c>
      <c r="AV54" s="190">
        <v>8</v>
      </c>
      <c r="AW54" s="190">
        <v>472</v>
      </c>
      <c r="AX54" s="190">
        <v>480</v>
      </c>
      <c r="AY54" s="190">
        <v>46</v>
      </c>
      <c r="AZ54" s="190">
        <v>943</v>
      </c>
      <c r="BA54" s="190">
        <v>989</v>
      </c>
      <c r="BB54" s="190">
        <v>23</v>
      </c>
      <c r="BC54" s="190">
        <v>1</v>
      </c>
      <c r="BD54" s="190">
        <v>0</v>
      </c>
      <c r="BE54" s="190">
        <v>413</v>
      </c>
      <c r="BF54" s="190">
        <v>8</v>
      </c>
      <c r="BG54" s="190">
        <v>1</v>
      </c>
      <c r="BH54" s="190">
        <v>24</v>
      </c>
      <c r="BI54" s="190">
        <v>422</v>
      </c>
      <c r="BJ54" s="190">
        <v>446</v>
      </c>
      <c r="BK54" s="190">
        <v>-10</v>
      </c>
      <c r="BL54" s="190">
        <v>10</v>
      </c>
      <c r="BM54" s="190">
        <v>0</v>
      </c>
      <c r="BN54" s="190">
        <v>4</v>
      </c>
      <c r="BO54" s="190">
        <v>14</v>
      </c>
      <c r="BP54" s="190">
        <v>18</v>
      </c>
      <c r="BQ54" s="190">
        <v>4</v>
      </c>
      <c r="BR54" s="190">
        <v>134</v>
      </c>
      <c r="BS54" s="190">
        <v>138</v>
      </c>
      <c r="BT54" s="190">
        <v>24</v>
      </c>
      <c r="BU54" s="190">
        <v>363</v>
      </c>
      <c r="BV54" s="190">
        <v>387</v>
      </c>
      <c r="BW54" s="190">
        <v>1395</v>
      </c>
      <c r="BX54" s="190">
        <v>16104</v>
      </c>
      <c r="BY54" s="190">
        <v>17499</v>
      </c>
      <c r="BZ54" s="190">
        <v>1358</v>
      </c>
      <c r="CA54" s="190">
        <v>15823</v>
      </c>
      <c r="CB54" s="190">
        <v>17181</v>
      </c>
      <c r="CC54" s="190">
        <v>31261</v>
      </c>
      <c r="CD54" s="190">
        <v>25</v>
      </c>
      <c r="CE54" s="190">
        <v>307</v>
      </c>
      <c r="CF54" s="190">
        <v>37</v>
      </c>
      <c r="CG54" s="190">
        <v>233</v>
      </c>
      <c r="CH54" s="190">
        <v>270</v>
      </c>
      <c r="CI54" s="190">
        <v>59</v>
      </c>
      <c r="CJ54" s="190">
        <v>4</v>
      </c>
      <c r="CK54" s="190">
        <v>0</v>
      </c>
      <c r="CL54" s="190">
        <v>48</v>
      </c>
      <c r="CM54" s="190">
        <v>48</v>
      </c>
      <c r="CN54" s="190">
        <v>79</v>
      </c>
      <c r="CO54" s="190">
        <v>1564</v>
      </c>
      <c r="CP54" s="190">
        <v>1643</v>
      </c>
      <c r="CQ54" s="190">
        <v>0</v>
      </c>
      <c r="CR54" s="190">
        <v>0</v>
      </c>
      <c r="CS54" s="190">
        <v>0</v>
      </c>
      <c r="CT54" s="190">
        <v>1316</v>
      </c>
      <c r="CU54" s="190">
        <v>14540</v>
      </c>
      <c r="CV54" s="190">
        <v>15856</v>
      </c>
      <c r="CW54" s="190">
        <v>85</v>
      </c>
      <c r="CX54" s="190">
        <v>668</v>
      </c>
      <c r="CY54" s="190">
        <v>753</v>
      </c>
      <c r="CZ54" s="190">
        <v>79</v>
      </c>
      <c r="DA54" s="190">
        <v>3</v>
      </c>
      <c r="DB54" s="190">
        <v>0</v>
      </c>
      <c r="DC54" s="190">
        <v>629</v>
      </c>
      <c r="DD54" s="190">
        <v>11</v>
      </c>
      <c r="DE54" s="190">
        <v>0</v>
      </c>
      <c r="DF54" s="190">
        <v>82</v>
      </c>
      <c r="DG54" s="190">
        <v>640</v>
      </c>
      <c r="DH54" s="190">
        <v>722</v>
      </c>
      <c r="DI54" s="190">
        <v>3</v>
      </c>
      <c r="DJ54" s="190">
        <v>0</v>
      </c>
      <c r="DK54" s="190">
        <v>0</v>
      </c>
      <c r="DL54" s="190">
        <v>27</v>
      </c>
      <c r="DM54" s="190">
        <v>1</v>
      </c>
      <c r="DN54" s="190">
        <v>0</v>
      </c>
      <c r="DO54" s="190">
        <v>3</v>
      </c>
      <c r="DP54" s="190">
        <v>28</v>
      </c>
      <c r="DQ54" s="190">
        <v>31</v>
      </c>
      <c r="DR54" s="190">
        <v>0</v>
      </c>
      <c r="DS54" s="190">
        <v>0</v>
      </c>
      <c r="DT54" s="191">
        <v>0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2774</v>
      </c>
      <c r="C55" s="190">
        <v>645</v>
      </c>
      <c r="D55" s="190">
        <v>2873</v>
      </c>
      <c r="E55" s="190">
        <v>1847</v>
      </c>
      <c r="F55" s="190">
        <v>4</v>
      </c>
      <c r="G55" s="190">
        <v>60</v>
      </c>
      <c r="H55" s="190">
        <v>64</v>
      </c>
      <c r="I55" s="190">
        <v>1</v>
      </c>
      <c r="J55" s="190">
        <v>911</v>
      </c>
      <c r="K55" s="190">
        <v>912</v>
      </c>
      <c r="L55" s="190">
        <v>1</v>
      </c>
      <c r="M55" s="190">
        <v>488</v>
      </c>
      <c r="N55" s="190">
        <v>489</v>
      </c>
      <c r="O55" s="190">
        <v>0</v>
      </c>
      <c r="P55" s="190">
        <v>423</v>
      </c>
      <c r="Q55" s="190">
        <v>423</v>
      </c>
      <c r="R55" s="190">
        <v>0</v>
      </c>
      <c r="S55" s="190">
        <v>21</v>
      </c>
      <c r="T55" s="190">
        <v>21</v>
      </c>
      <c r="U55" s="190">
        <v>0</v>
      </c>
      <c r="V55" s="190">
        <v>114</v>
      </c>
      <c r="W55" s="190">
        <v>114</v>
      </c>
      <c r="X55" s="190">
        <v>53</v>
      </c>
      <c r="Y55" s="190">
        <v>2820</v>
      </c>
      <c r="Z55" s="190">
        <v>2873</v>
      </c>
      <c r="AA55" s="190">
        <v>35</v>
      </c>
      <c r="AB55" s="190">
        <v>1243</v>
      </c>
      <c r="AC55" s="190">
        <v>1278</v>
      </c>
      <c r="AD55" s="190">
        <v>28</v>
      </c>
      <c r="AE55" s="190">
        <v>1161</v>
      </c>
      <c r="AF55" s="190">
        <v>1189</v>
      </c>
      <c r="AG55" s="190">
        <v>5</v>
      </c>
      <c r="AH55" s="190">
        <v>39</v>
      </c>
      <c r="AI55" s="190">
        <v>44</v>
      </c>
      <c r="AJ55" s="190">
        <v>2</v>
      </c>
      <c r="AK55" s="190">
        <v>43</v>
      </c>
      <c r="AL55" s="190">
        <v>45</v>
      </c>
      <c r="AM55" s="190">
        <v>18</v>
      </c>
      <c r="AN55" s="190">
        <v>1577</v>
      </c>
      <c r="AO55" s="190">
        <v>1595</v>
      </c>
      <c r="AP55" s="190">
        <v>5109</v>
      </c>
      <c r="AQ55" s="190">
        <v>32501</v>
      </c>
      <c r="AR55" s="190">
        <v>37610</v>
      </c>
      <c r="AS55" s="190">
        <v>5109</v>
      </c>
      <c r="AT55" s="190">
        <v>32502</v>
      </c>
      <c r="AU55" s="190">
        <v>37611</v>
      </c>
      <c r="AV55" s="190">
        <v>0</v>
      </c>
      <c r="AW55" s="190">
        <v>-1</v>
      </c>
      <c r="AX55" s="190">
        <v>-1</v>
      </c>
      <c r="AY55" s="190">
        <v>297</v>
      </c>
      <c r="AZ55" s="190">
        <v>2880</v>
      </c>
      <c r="BA55" s="190">
        <v>3177</v>
      </c>
      <c r="BB55" s="190">
        <v>66</v>
      </c>
      <c r="BC55" s="190">
        <v>0</v>
      </c>
      <c r="BD55" s="190">
        <v>0</v>
      </c>
      <c r="BE55" s="190">
        <v>1771</v>
      </c>
      <c r="BF55" s="190">
        <v>8</v>
      </c>
      <c r="BG55" s="190">
        <v>2</v>
      </c>
      <c r="BH55" s="190">
        <v>66</v>
      </c>
      <c r="BI55" s="190">
        <v>1781</v>
      </c>
      <c r="BJ55" s="190">
        <v>1847</v>
      </c>
      <c r="BK55" s="190">
        <v>43</v>
      </c>
      <c r="BL55" s="190">
        <v>-43</v>
      </c>
      <c r="BM55" s="190">
        <v>0</v>
      </c>
      <c r="BN55" s="190">
        <v>26</v>
      </c>
      <c r="BO55" s="190">
        <v>77</v>
      </c>
      <c r="BP55" s="190">
        <v>103</v>
      </c>
      <c r="BQ55" s="190">
        <v>49</v>
      </c>
      <c r="BR55" s="190">
        <v>451</v>
      </c>
      <c r="BS55" s="190">
        <v>500</v>
      </c>
      <c r="BT55" s="190">
        <v>113</v>
      </c>
      <c r="BU55" s="190">
        <v>614</v>
      </c>
      <c r="BV55" s="190">
        <v>727</v>
      </c>
      <c r="BW55" s="190">
        <v>5406</v>
      </c>
      <c r="BX55" s="190">
        <v>35381</v>
      </c>
      <c r="BY55" s="190">
        <v>40787</v>
      </c>
      <c r="BZ55" s="190">
        <v>5365</v>
      </c>
      <c r="CA55" s="190">
        <v>35178</v>
      </c>
      <c r="CB55" s="190">
        <v>40543</v>
      </c>
      <c r="CC55" s="190">
        <v>85366</v>
      </c>
      <c r="CD55" s="190">
        <v>15</v>
      </c>
      <c r="CE55" s="190">
        <v>232</v>
      </c>
      <c r="CF55" s="190">
        <v>41</v>
      </c>
      <c r="CG55" s="190">
        <v>177</v>
      </c>
      <c r="CH55" s="190">
        <v>218</v>
      </c>
      <c r="CI55" s="190">
        <v>28</v>
      </c>
      <c r="CJ55" s="190">
        <v>5</v>
      </c>
      <c r="CK55" s="190">
        <v>0</v>
      </c>
      <c r="CL55" s="190">
        <v>26</v>
      </c>
      <c r="CM55" s="190">
        <v>26</v>
      </c>
      <c r="CN55" s="190">
        <v>334</v>
      </c>
      <c r="CO55" s="190">
        <v>3213</v>
      </c>
      <c r="CP55" s="190">
        <v>3547</v>
      </c>
      <c r="CQ55" s="190">
        <v>1</v>
      </c>
      <c r="CR55" s="190">
        <v>0</v>
      </c>
      <c r="CS55" s="190">
        <v>1</v>
      </c>
      <c r="CT55" s="190">
        <v>5072</v>
      </c>
      <c r="CU55" s="190">
        <v>32168</v>
      </c>
      <c r="CV55" s="190">
        <v>37240</v>
      </c>
      <c r="CW55" s="190">
        <v>296</v>
      </c>
      <c r="CX55" s="190">
        <v>1343</v>
      </c>
      <c r="CY55" s="190">
        <v>1639</v>
      </c>
      <c r="CZ55" s="190">
        <v>292</v>
      </c>
      <c r="DA55" s="190">
        <v>2</v>
      </c>
      <c r="DB55" s="190">
        <v>0</v>
      </c>
      <c r="DC55" s="190">
        <v>1311</v>
      </c>
      <c r="DD55" s="190">
        <v>10</v>
      </c>
      <c r="DE55" s="190">
        <v>2</v>
      </c>
      <c r="DF55" s="190">
        <v>294</v>
      </c>
      <c r="DG55" s="190">
        <v>1323</v>
      </c>
      <c r="DH55" s="190">
        <v>1617</v>
      </c>
      <c r="DI55" s="190">
        <v>2</v>
      </c>
      <c r="DJ55" s="190">
        <v>0</v>
      </c>
      <c r="DK55" s="190">
        <v>0</v>
      </c>
      <c r="DL55" s="190">
        <v>20</v>
      </c>
      <c r="DM55" s="190">
        <v>0</v>
      </c>
      <c r="DN55" s="190">
        <v>0</v>
      </c>
      <c r="DO55" s="190">
        <v>2</v>
      </c>
      <c r="DP55" s="190">
        <v>20</v>
      </c>
      <c r="DQ55" s="190">
        <v>22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353</v>
      </c>
      <c r="C56" s="190">
        <v>102</v>
      </c>
      <c r="D56" s="190">
        <v>329</v>
      </c>
      <c r="E56" s="190">
        <v>206</v>
      </c>
      <c r="F56" s="190">
        <v>0</v>
      </c>
      <c r="G56" s="190">
        <v>1</v>
      </c>
      <c r="H56" s="190">
        <v>1</v>
      </c>
      <c r="I56" s="190">
        <v>0</v>
      </c>
      <c r="J56" s="190">
        <v>107</v>
      </c>
      <c r="K56" s="190">
        <v>107</v>
      </c>
      <c r="L56" s="190">
        <v>0</v>
      </c>
      <c r="M56" s="190">
        <v>40</v>
      </c>
      <c r="N56" s="190">
        <v>40</v>
      </c>
      <c r="O56" s="190">
        <v>0</v>
      </c>
      <c r="P56" s="190">
        <v>67</v>
      </c>
      <c r="Q56" s="190">
        <v>67</v>
      </c>
      <c r="R56" s="190">
        <v>0</v>
      </c>
      <c r="S56" s="190">
        <v>3</v>
      </c>
      <c r="T56" s="190">
        <v>3</v>
      </c>
      <c r="U56" s="190">
        <v>0</v>
      </c>
      <c r="V56" s="190">
        <v>16</v>
      </c>
      <c r="W56" s="190">
        <v>16</v>
      </c>
      <c r="X56" s="190">
        <v>8</v>
      </c>
      <c r="Y56" s="190">
        <v>321</v>
      </c>
      <c r="Z56" s="190">
        <v>329</v>
      </c>
      <c r="AA56" s="190">
        <v>5</v>
      </c>
      <c r="AB56" s="190">
        <v>153</v>
      </c>
      <c r="AC56" s="190">
        <v>158</v>
      </c>
      <c r="AD56" s="190">
        <v>5</v>
      </c>
      <c r="AE56" s="190">
        <v>139</v>
      </c>
      <c r="AF56" s="190">
        <v>144</v>
      </c>
      <c r="AG56" s="190">
        <v>0</v>
      </c>
      <c r="AH56" s="190">
        <v>12</v>
      </c>
      <c r="AI56" s="190">
        <v>12</v>
      </c>
      <c r="AJ56" s="190">
        <v>0</v>
      </c>
      <c r="AK56" s="190">
        <v>2</v>
      </c>
      <c r="AL56" s="190">
        <v>2</v>
      </c>
      <c r="AM56" s="190">
        <v>3</v>
      </c>
      <c r="AN56" s="190">
        <v>168</v>
      </c>
      <c r="AO56" s="190">
        <v>171</v>
      </c>
      <c r="AP56" s="190">
        <v>688</v>
      </c>
      <c r="AQ56" s="190">
        <v>4572</v>
      </c>
      <c r="AR56" s="190">
        <v>5260</v>
      </c>
      <c r="AS56" s="190">
        <v>688</v>
      </c>
      <c r="AT56" s="190">
        <v>4572</v>
      </c>
      <c r="AU56" s="190">
        <v>5260</v>
      </c>
      <c r="AV56" s="190">
        <v>0</v>
      </c>
      <c r="AW56" s="190">
        <v>0</v>
      </c>
      <c r="AX56" s="190">
        <v>0</v>
      </c>
      <c r="AY56" s="190">
        <v>26</v>
      </c>
      <c r="AZ56" s="190">
        <v>415</v>
      </c>
      <c r="BA56" s="190">
        <v>441</v>
      </c>
      <c r="BB56" s="190">
        <v>9</v>
      </c>
      <c r="BC56" s="190">
        <v>0</v>
      </c>
      <c r="BD56" s="190">
        <v>0</v>
      </c>
      <c r="BE56" s="190">
        <v>193</v>
      </c>
      <c r="BF56" s="190">
        <v>4</v>
      </c>
      <c r="BG56" s="190">
        <v>0</v>
      </c>
      <c r="BH56" s="190">
        <v>9</v>
      </c>
      <c r="BI56" s="190">
        <v>197</v>
      </c>
      <c r="BJ56" s="190">
        <v>206</v>
      </c>
      <c r="BK56" s="190">
        <v>-14</v>
      </c>
      <c r="BL56" s="190">
        <v>14</v>
      </c>
      <c r="BM56" s="190">
        <v>0</v>
      </c>
      <c r="BN56" s="190">
        <v>8</v>
      </c>
      <c r="BO56" s="190">
        <v>16</v>
      </c>
      <c r="BP56" s="190">
        <v>24</v>
      </c>
      <c r="BQ56" s="190">
        <v>3</v>
      </c>
      <c r="BR56" s="190">
        <v>64</v>
      </c>
      <c r="BS56" s="190">
        <v>67</v>
      </c>
      <c r="BT56" s="190">
        <v>20</v>
      </c>
      <c r="BU56" s="190">
        <v>124</v>
      </c>
      <c r="BV56" s="190">
        <v>144</v>
      </c>
      <c r="BW56" s="190">
        <v>714</v>
      </c>
      <c r="BX56" s="190">
        <v>4987</v>
      </c>
      <c r="BY56" s="190">
        <v>5701</v>
      </c>
      <c r="BZ56" s="190">
        <v>702</v>
      </c>
      <c r="CA56" s="190">
        <v>4924</v>
      </c>
      <c r="CB56" s="190">
        <v>5626</v>
      </c>
      <c r="CC56" s="190">
        <v>12952</v>
      </c>
      <c r="CD56" s="190">
        <v>8</v>
      </c>
      <c r="CE56" s="190">
        <v>65</v>
      </c>
      <c r="CF56" s="190">
        <v>12</v>
      </c>
      <c r="CG56" s="190">
        <v>49</v>
      </c>
      <c r="CH56" s="190">
        <v>61</v>
      </c>
      <c r="CI56" s="190">
        <v>18</v>
      </c>
      <c r="CJ56" s="190">
        <v>3</v>
      </c>
      <c r="CK56" s="190">
        <v>0</v>
      </c>
      <c r="CL56" s="190">
        <v>14</v>
      </c>
      <c r="CM56" s="190">
        <v>14</v>
      </c>
      <c r="CN56" s="190">
        <v>45</v>
      </c>
      <c r="CO56" s="190">
        <v>470</v>
      </c>
      <c r="CP56" s="190">
        <v>515</v>
      </c>
      <c r="CQ56" s="190">
        <v>0</v>
      </c>
      <c r="CR56" s="190">
        <v>0</v>
      </c>
      <c r="CS56" s="190">
        <v>0</v>
      </c>
      <c r="CT56" s="190">
        <v>669</v>
      </c>
      <c r="CU56" s="190">
        <v>4517</v>
      </c>
      <c r="CV56" s="190">
        <v>5186</v>
      </c>
      <c r="CW56" s="190">
        <v>35</v>
      </c>
      <c r="CX56" s="190">
        <v>237</v>
      </c>
      <c r="CY56" s="190">
        <v>272</v>
      </c>
      <c r="CZ56" s="190">
        <v>35</v>
      </c>
      <c r="DA56" s="190">
        <v>0</v>
      </c>
      <c r="DB56" s="190">
        <v>0</v>
      </c>
      <c r="DC56" s="190">
        <v>225</v>
      </c>
      <c r="DD56" s="190">
        <v>5</v>
      </c>
      <c r="DE56" s="190">
        <v>2</v>
      </c>
      <c r="DF56" s="190">
        <v>35</v>
      </c>
      <c r="DG56" s="190">
        <v>232</v>
      </c>
      <c r="DH56" s="190">
        <v>267</v>
      </c>
      <c r="DI56" s="190">
        <v>0</v>
      </c>
      <c r="DJ56" s="190">
        <v>0</v>
      </c>
      <c r="DK56" s="190">
        <v>0</v>
      </c>
      <c r="DL56" s="190">
        <v>4</v>
      </c>
      <c r="DM56" s="190">
        <v>1</v>
      </c>
      <c r="DN56" s="190">
        <v>0</v>
      </c>
      <c r="DO56" s="190">
        <v>0</v>
      </c>
      <c r="DP56" s="190">
        <v>5</v>
      </c>
      <c r="DQ56" s="190">
        <v>5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342</v>
      </c>
      <c r="C57" s="190">
        <v>43</v>
      </c>
      <c r="D57" s="190">
        <v>391</v>
      </c>
      <c r="E57" s="190">
        <v>213</v>
      </c>
      <c r="F57" s="190">
        <v>0</v>
      </c>
      <c r="G57" s="190">
        <v>25</v>
      </c>
      <c r="H57" s="190">
        <v>25</v>
      </c>
      <c r="I57" s="190">
        <v>0</v>
      </c>
      <c r="J57" s="190">
        <v>143</v>
      </c>
      <c r="K57" s="190">
        <v>143</v>
      </c>
      <c r="L57" s="190">
        <v>0</v>
      </c>
      <c r="M57" s="190">
        <v>28</v>
      </c>
      <c r="N57" s="190">
        <v>28</v>
      </c>
      <c r="O57" s="190">
        <v>0</v>
      </c>
      <c r="P57" s="190">
        <v>115</v>
      </c>
      <c r="Q57" s="190">
        <v>115</v>
      </c>
      <c r="R57" s="190">
        <v>0</v>
      </c>
      <c r="S57" s="190">
        <v>4</v>
      </c>
      <c r="T57" s="190">
        <v>4</v>
      </c>
      <c r="U57" s="190">
        <v>0</v>
      </c>
      <c r="V57" s="190">
        <v>35</v>
      </c>
      <c r="W57" s="190">
        <v>35</v>
      </c>
      <c r="X57" s="190">
        <v>3</v>
      </c>
      <c r="Y57" s="190">
        <v>388</v>
      </c>
      <c r="Z57" s="190">
        <v>391</v>
      </c>
      <c r="AA57" s="190">
        <v>0</v>
      </c>
      <c r="AB57" s="190">
        <v>146</v>
      </c>
      <c r="AC57" s="190">
        <v>146</v>
      </c>
      <c r="AD57" s="190">
        <v>0</v>
      </c>
      <c r="AE57" s="190">
        <v>138</v>
      </c>
      <c r="AF57" s="190">
        <v>138</v>
      </c>
      <c r="AG57" s="190">
        <v>0</v>
      </c>
      <c r="AH57" s="190">
        <v>0</v>
      </c>
      <c r="AI57" s="190">
        <v>0</v>
      </c>
      <c r="AJ57" s="190">
        <v>0</v>
      </c>
      <c r="AK57" s="190">
        <v>8</v>
      </c>
      <c r="AL57" s="190">
        <v>8</v>
      </c>
      <c r="AM57" s="190">
        <v>3</v>
      </c>
      <c r="AN57" s="190">
        <v>242</v>
      </c>
      <c r="AO57" s="190">
        <v>245</v>
      </c>
      <c r="AP57" s="190">
        <v>466</v>
      </c>
      <c r="AQ57" s="190">
        <v>3560</v>
      </c>
      <c r="AR57" s="190">
        <v>4026</v>
      </c>
      <c r="AS57" s="190">
        <v>466</v>
      </c>
      <c r="AT57" s="190">
        <v>3559</v>
      </c>
      <c r="AU57" s="190">
        <v>4025</v>
      </c>
      <c r="AV57" s="190">
        <v>0</v>
      </c>
      <c r="AW57" s="190">
        <v>1</v>
      </c>
      <c r="AX57" s="190">
        <v>1</v>
      </c>
      <c r="AY57" s="190">
        <v>15</v>
      </c>
      <c r="AZ57" s="190">
        <v>362</v>
      </c>
      <c r="BA57" s="190">
        <v>377</v>
      </c>
      <c r="BB57" s="190">
        <v>7</v>
      </c>
      <c r="BC57" s="190">
        <v>0</v>
      </c>
      <c r="BD57" s="190">
        <v>0</v>
      </c>
      <c r="BE57" s="190">
        <v>205</v>
      </c>
      <c r="BF57" s="190">
        <v>1</v>
      </c>
      <c r="BG57" s="190">
        <v>0</v>
      </c>
      <c r="BH57" s="190">
        <v>7</v>
      </c>
      <c r="BI57" s="190">
        <v>206</v>
      </c>
      <c r="BJ57" s="190">
        <v>213</v>
      </c>
      <c r="BK57" s="190">
        <v>-2</v>
      </c>
      <c r="BL57" s="190">
        <v>2</v>
      </c>
      <c r="BM57" s="190">
        <v>0</v>
      </c>
      <c r="BN57" s="190">
        <v>4</v>
      </c>
      <c r="BO57" s="190">
        <v>13</v>
      </c>
      <c r="BP57" s="190">
        <v>17</v>
      </c>
      <c r="BQ57" s="190">
        <v>1</v>
      </c>
      <c r="BR57" s="190">
        <v>37</v>
      </c>
      <c r="BS57" s="190">
        <v>38</v>
      </c>
      <c r="BT57" s="190">
        <v>5</v>
      </c>
      <c r="BU57" s="190">
        <v>104</v>
      </c>
      <c r="BV57" s="190">
        <v>109</v>
      </c>
      <c r="BW57" s="190">
        <v>481</v>
      </c>
      <c r="BX57" s="190">
        <v>3922</v>
      </c>
      <c r="BY57" s="190">
        <v>4403</v>
      </c>
      <c r="BZ57" s="190">
        <v>481</v>
      </c>
      <c r="CA57" s="190">
        <v>3898</v>
      </c>
      <c r="CB57" s="190">
        <v>4379</v>
      </c>
      <c r="CC57" s="190">
        <v>9447</v>
      </c>
      <c r="CD57" s="190">
        <v>0</v>
      </c>
      <c r="CE57" s="190">
        <v>24</v>
      </c>
      <c r="CF57" s="190">
        <v>0</v>
      </c>
      <c r="CG57" s="190">
        <v>21</v>
      </c>
      <c r="CH57" s="190">
        <v>21</v>
      </c>
      <c r="CI57" s="190">
        <v>2</v>
      </c>
      <c r="CJ57" s="190">
        <v>2</v>
      </c>
      <c r="CK57" s="190">
        <v>0</v>
      </c>
      <c r="CL57" s="190">
        <v>3</v>
      </c>
      <c r="CM57" s="190">
        <v>3</v>
      </c>
      <c r="CN57" s="190">
        <v>19</v>
      </c>
      <c r="CO57" s="190">
        <v>393</v>
      </c>
      <c r="CP57" s="190">
        <v>412</v>
      </c>
      <c r="CQ57" s="190">
        <v>0</v>
      </c>
      <c r="CR57" s="190">
        <v>15</v>
      </c>
      <c r="CS57" s="190">
        <v>15</v>
      </c>
      <c r="CT57" s="190">
        <v>462</v>
      </c>
      <c r="CU57" s="190">
        <v>3529</v>
      </c>
      <c r="CV57" s="190">
        <v>3991</v>
      </c>
      <c r="CW57" s="190">
        <v>21</v>
      </c>
      <c r="CX57" s="190">
        <v>181</v>
      </c>
      <c r="CY57" s="190">
        <v>202</v>
      </c>
      <c r="CZ57" s="190">
        <v>21</v>
      </c>
      <c r="DA57" s="190">
        <v>0</v>
      </c>
      <c r="DB57" s="190">
        <v>0</v>
      </c>
      <c r="DC57" s="190">
        <v>173</v>
      </c>
      <c r="DD57" s="190">
        <v>2</v>
      </c>
      <c r="DE57" s="190">
        <v>1</v>
      </c>
      <c r="DF57" s="190">
        <v>21</v>
      </c>
      <c r="DG57" s="190">
        <v>176</v>
      </c>
      <c r="DH57" s="190">
        <v>197</v>
      </c>
      <c r="DI57" s="190">
        <v>0</v>
      </c>
      <c r="DJ57" s="190">
        <v>0</v>
      </c>
      <c r="DK57" s="190">
        <v>0</v>
      </c>
      <c r="DL57" s="190">
        <v>5</v>
      </c>
      <c r="DM57" s="190">
        <v>0</v>
      </c>
      <c r="DN57" s="190">
        <v>0</v>
      </c>
      <c r="DO57" s="190">
        <v>0</v>
      </c>
      <c r="DP57" s="190">
        <v>5</v>
      </c>
      <c r="DQ57" s="190">
        <v>5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95</v>
      </c>
      <c r="C58" s="190">
        <v>9</v>
      </c>
      <c r="D58" s="190">
        <v>81</v>
      </c>
      <c r="E58" s="190">
        <v>52</v>
      </c>
      <c r="F58" s="190">
        <v>0</v>
      </c>
      <c r="G58" s="190">
        <v>1</v>
      </c>
      <c r="H58" s="190">
        <v>1</v>
      </c>
      <c r="I58" s="190">
        <v>0</v>
      </c>
      <c r="J58" s="190">
        <v>29</v>
      </c>
      <c r="K58" s="190">
        <v>29</v>
      </c>
      <c r="L58" s="190">
        <v>0</v>
      </c>
      <c r="M58" s="190">
        <v>9</v>
      </c>
      <c r="N58" s="190">
        <v>9</v>
      </c>
      <c r="O58" s="190">
        <v>0</v>
      </c>
      <c r="P58" s="190">
        <v>20</v>
      </c>
      <c r="Q58" s="190">
        <v>20</v>
      </c>
      <c r="R58" s="190">
        <v>0</v>
      </c>
      <c r="S58" s="190">
        <v>0</v>
      </c>
      <c r="T58" s="190">
        <v>0</v>
      </c>
      <c r="U58" s="190">
        <v>0</v>
      </c>
      <c r="V58" s="190">
        <v>0</v>
      </c>
      <c r="W58" s="190">
        <v>0</v>
      </c>
      <c r="X58" s="190">
        <v>1</v>
      </c>
      <c r="Y58" s="190">
        <v>80</v>
      </c>
      <c r="Z58" s="190">
        <v>81</v>
      </c>
      <c r="AA58" s="190">
        <v>1</v>
      </c>
      <c r="AB58" s="190">
        <v>44</v>
      </c>
      <c r="AC58" s="190">
        <v>45</v>
      </c>
      <c r="AD58" s="190">
        <v>1</v>
      </c>
      <c r="AE58" s="190">
        <v>29</v>
      </c>
      <c r="AF58" s="190">
        <v>30</v>
      </c>
      <c r="AG58" s="190">
        <v>0</v>
      </c>
      <c r="AH58" s="190">
        <v>12</v>
      </c>
      <c r="AI58" s="190">
        <v>12</v>
      </c>
      <c r="AJ58" s="190">
        <v>0</v>
      </c>
      <c r="AK58" s="190">
        <v>3</v>
      </c>
      <c r="AL58" s="190">
        <v>3</v>
      </c>
      <c r="AM58" s="190">
        <v>0</v>
      </c>
      <c r="AN58" s="190">
        <v>36</v>
      </c>
      <c r="AO58" s="190">
        <v>36</v>
      </c>
      <c r="AP58" s="190">
        <v>54</v>
      </c>
      <c r="AQ58" s="190">
        <v>837</v>
      </c>
      <c r="AR58" s="190">
        <v>891</v>
      </c>
      <c r="AS58" s="190">
        <v>54</v>
      </c>
      <c r="AT58" s="190">
        <v>837</v>
      </c>
      <c r="AU58" s="190">
        <v>891</v>
      </c>
      <c r="AV58" s="190">
        <v>0</v>
      </c>
      <c r="AW58" s="190">
        <v>0</v>
      </c>
      <c r="AX58" s="190">
        <v>0</v>
      </c>
      <c r="AY58" s="190">
        <v>1</v>
      </c>
      <c r="AZ58" s="190">
        <v>104</v>
      </c>
      <c r="BA58" s="190">
        <v>105</v>
      </c>
      <c r="BB58" s="190">
        <v>3</v>
      </c>
      <c r="BC58" s="190">
        <v>0</v>
      </c>
      <c r="BD58" s="190">
        <v>0</v>
      </c>
      <c r="BE58" s="190">
        <v>49</v>
      </c>
      <c r="BF58" s="190">
        <v>0</v>
      </c>
      <c r="BG58" s="190">
        <v>0</v>
      </c>
      <c r="BH58" s="190">
        <v>3</v>
      </c>
      <c r="BI58" s="190">
        <v>49</v>
      </c>
      <c r="BJ58" s="190">
        <v>52</v>
      </c>
      <c r="BK58" s="190">
        <v>-5</v>
      </c>
      <c r="BL58" s="190">
        <v>5</v>
      </c>
      <c r="BM58" s="190">
        <v>0</v>
      </c>
      <c r="BN58" s="190">
        <v>0</v>
      </c>
      <c r="BO58" s="190">
        <v>4</v>
      </c>
      <c r="BP58" s="190">
        <v>4</v>
      </c>
      <c r="BQ58" s="190">
        <v>1</v>
      </c>
      <c r="BR58" s="190">
        <v>20</v>
      </c>
      <c r="BS58" s="190">
        <v>21</v>
      </c>
      <c r="BT58" s="190">
        <v>2</v>
      </c>
      <c r="BU58" s="190">
        <v>26</v>
      </c>
      <c r="BV58" s="190">
        <v>28</v>
      </c>
      <c r="BW58" s="190">
        <v>55</v>
      </c>
      <c r="BX58" s="190">
        <v>941</v>
      </c>
      <c r="BY58" s="190">
        <v>996</v>
      </c>
      <c r="BZ58" s="190">
        <v>55</v>
      </c>
      <c r="CA58" s="190">
        <v>940</v>
      </c>
      <c r="CB58" s="190">
        <v>995</v>
      </c>
      <c r="CC58" s="190">
        <v>1749</v>
      </c>
      <c r="CD58" s="190">
        <v>0</v>
      </c>
      <c r="CE58" s="190">
        <v>1</v>
      </c>
      <c r="CF58" s="190">
        <v>0</v>
      </c>
      <c r="CG58" s="190">
        <v>1</v>
      </c>
      <c r="CH58" s="190">
        <v>1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5</v>
      </c>
      <c r="CO58" s="190">
        <v>106</v>
      </c>
      <c r="CP58" s="190">
        <v>111</v>
      </c>
      <c r="CQ58" s="190">
        <v>0</v>
      </c>
      <c r="CR58" s="190">
        <v>0</v>
      </c>
      <c r="CS58" s="190">
        <v>0</v>
      </c>
      <c r="CT58" s="190">
        <v>50</v>
      </c>
      <c r="CU58" s="190">
        <v>835</v>
      </c>
      <c r="CV58" s="190">
        <v>885</v>
      </c>
      <c r="CW58" s="190">
        <v>4</v>
      </c>
      <c r="CX58" s="190">
        <v>44</v>
      </c>
      <c r="CY58" s="190">
        <v>48</v>
      </c>
      <c r="CZ58" s="190">
        <v>3</v>
      </c>
      <c r="DA58" s="190">
        <v>0</v>
      </c>
      <c r="DB58" s="190">
        <v>0</v>
      </c>
      <c r="DC58" s="190">
        <v>42</v>
      </c>
      <c r="DD58" s="190">
        <v>0</v>
      </c>
      <c r="DE58" s="190">
        <v>0</v>
      </c>
      <c r="DF58" s="190">
        <v>3</v>
      </c>
      <c r="DG58" s="190">
        <v>42</v>
      </c>
      <c r="DH58" s="190">
        <v>45</v>
      </c>
      <c r="DI58" s="190">
        <v>1</v>
      </c>
      <c r="DJ58" s="190">
        <v>0</v>
      </c>
      <c r="DK58" s="190">
        <v>0</v>
      </c>
      <c r="DL58" s="190">
        <v>2</v>
      </c>
      <c r="DM58" s="190">
        <v>0</v>
      </c>
      <c r="DN58" s="190">
        <v>0</v>
      </c>
      <c r="DO58" s="190">
        <v>1</v>
      </c>
      <c r="DP58" s="190">
        <v>2</v>
      </c>
      <c r="DQ58" s="190">
        <v>3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2128</v>
      </c>
      <c r="C59" s="190">
        <v>288</v>
      </c>
      <c r="D59" s="190">
        <v>2373</v>
      </c>
      <c r="E59" s="190">
        <v>1865</v>
      </c>
      <c r="F59" s="190">
        <v>4</v>
      </c>
      <c r="G59" s="190">
        <v>37</v>
      </c>
      <c r="H59" s="190">
        <v>41</v>
      </c>
      <c r="I59" s="190">
        <v>0</v>
      </c>
      <c r="J59" s="190">
        <v>462</v>
      </c>
      <c r="K59" s="190">
        <v>462</v>
      </c>
      <c r="L59" s="190">
        <v>0</v>
      </c>
      <c r="M59" s="190">
        <v>434</v>
      </c>
      <c r="N59" s="190">
        <v>434</v>
      </c>
      <c r="O59" s="190">
        <v>0</v>
      </c>
      <c r="P59" s="190">
        <v>28</v>
      </c>
      <c r="Q59" s="190">
        <v>28</v>
      </c>
      <c r="R59" s="190">
        <v>0</v>
      </c>
      <c r="S59" s="190">
        <v>39</v>
      </c>
      <c r="T59" s="190">
        <v>39</v>
      </c>
      <c r="U59" s="190">
        <v>0</v>
      </c>
      <c r="V59" s="190">
        <v>46</v>
      </c>
      <c r="W59" s="190">
        <v>46</v>
      </c>
      <c r="X59" s="190">
        <v>36</v>
      </c>
      <c r="Y59" s="190">
        <v>1254</v>
      </c>
      <c r="Z59" s="190">
        <v>1290</v>
      </c>
      <c r="AA59" s="190">
        <v>15</v>
      </c>
      <c r="AB59" s="190">
        <v>667</v>
      </c>
      <c r="AC59" s="190">
        <v>682</v>
      </c>
      <c r="AD59" s="190">
        <v>13</v>
      </c>
      <c r="AE59" s="190">
        <v>627</v>
      </c>
      <c r="AF59" s="190">
        <v>640</v>
      </c>
      <c r="AG59" s="190">
        <v>2</v>
      </c>
      <c r="AH59" s="190">
        <v>33</v>
      </c>
      <c r="AI59" s="190">
        <v>35</v>
      </c>
      <c r="AJ59" s="190">
        <v>0</v>
      </c>
      <c r="AK59" s="190">
        <v>7</v>
      </c>
      <c r="AL59" s="190">
        <v>7</v>
      </c>
      <c r="AM59" s="190">
        <v>21</v>
      </c>
      <c r="AN59" s="190">
        <v>587</v>
      </c>
      <c r="AO59" s="190">
        <v>608</v>
      </c>
      <c r="AP59" s="190">
        <v>7562</v>
      </c>
      <c r="AQ59" s="190">
        <v>44224</v>
      </c>
      <c r="AR59" s="190">
        <v>51786</v>
      </c>
      <c r="AS59" s="190">
        <v>7621</v>
      </c>
      <c r="AT59" s="190">
        <v>45133</v>
      </c>
      <c r="AU59" s="190">
        <v>52754</v>
      </c>
      <c r="AV59" s="190">
        <v>-59</v>
      </c>
      <c r="AW59" s="190">
        <v>-909</v>
      </c>
      <c r="AX59" s="190">
        <v>-968</v>
      </c>
      <c r="AY59" s="190">
        <v>400</v>
      </c>
      <c r="AZ59" s="190">
        <v>4022</v>
      </c>
      <c r="BA59" s="190">
        <v>4422</v>
      </c>
      <c r="BB59" s="190">
        <v>128</v>
      </c>
      <c r="BC59" s="190">
        <v>2</v>
      </c>
      <c r="BD59" s="190">
        <v>0</v>
      </c>
      <c r="BE59" s="190">
        <v>1679</v>
      </c>
      <c r="BF59" s="190">
        <v>45</v>
      </c>
      <c r="BG59" s="190">
        <v>11</v>
      </c>
      <c r="BH59" s="190">
        <v>130</v>
      </c>
      <c r="BI59" s="190">
        <v>1735</v>
      </c>
      <c r="BJ59" s="190">
        <v>1865</v>
      </c>
      <c r="BK59" s="190">
        <v>-8</v>
      </c>
      <c r="BL59" s="190">
        <v>8</v>
      </c>
      <c r="BM59" s="190">
        <v>0</v>
      </c>
      <c r="BN59" s="190">
        <v>6</v>
      </c>
      <c r="BO59" s="190">
        <v>23</v>
      </c>
      <c r="BP59" s="190">
        <v>29</v>
      </c>
      <c r="BQ59" s="190">
        <v>48</v>
      </c>
      <c r="BR59" s="190">
        <v>601</v>
      </c>
      <c r="BS59" s="190">
        <v>649</v>
      </c>
      <c r="BT59" s="190">
        <v>224</v>
      </c>
      <c r="BU59" s="190">
        <v>1655</v>
      </c>
      <c r="BV59" s="190">
        <v>1879</v>
      </c>
      <c r="BW59" s="190">
        <v>7962</v>
      </c>
      <c r="BX59" s="190">
        <v>48246</v>
      </c>
      <c r="BY59" s="190">
        <v>56208</v>
      </c>
      <c r="BZ59" s="190">
        <v>7895</v>
      </c>
      <c r="CA59" s="190">
        <v>47236</v>
      </c>
      <c r="CB59" s="190">
        <v>55131</v>
      </c>
      <c r="CC59" s="190">
        <v>122365</v>
      </c>
      <c r="CD59" s="190">
        <v>163</v>
      </c>
      <c r="CE59" s="190">
        <v>999</v>
      </c>
      <c r="CF59" s="190">
        <v>67</v>
      </c>
      <c r="CG59" s="190">
        <v>809</v>
      </c>
      <c r="CH59" s="190">
        <v>876</v>
      </c>
      <c r="CI59" s="190">
        <v>249</v>
      </c>
      <c r="CJ59" s="190">
        <v>2</v>
      </c>
      <c r="CK59" s="190">
        <v>0</v>
      </c>
      <c r="CL59" s="190">
        <v>201</v>
      </c>
      <c r="CM59" s="190">
        <v>201</v>
      </c>
      <c r="CN59" s="190">
        <v>373</v>
      </c>
      <c r="CO59" s="190">
        <v>3569</v>
      </c>
      <c r="CP59" s="190">
        <v>3942</v>
      </c>
      <c r="CQ59" s="190">
        <v>0</v>
      </c>
      <c r="CR59" s="190">
        <v>0</v>
      </c>
      <c r="CS59" s="190">
        <v>0</v>
      </c>
      <c r="CT59" s="190">
        <v>7589</v>
      </c>
      <c r="CU59" s="190">
        <v>44677</v>
      </c>
      <c r="CV59" s="190">
        <v>52266</v>
      </c>
      <c r="CW59" s="190">
        <v>473</v>
      </c>
      <c r="CX59" s="190">
        <v>2062</v>
      </c>
      <c r="CY59" s="190">
        <v>2535</v>
      </c>
      <c r="CZ59" s="190">
        <v>463</v>
      </c>
      <c r="DA59" s="190">
        <v>8</v>
      </c>
      <c r="DB59" s="190">
        <v>0</v>
      </c>
      <c r="DC59" s="190">
        <v>1944</v>
      </c>
      <c r="DD59" s="190">
        <v>41</v>
      </c>
      <c r="DE59" s="190">
        <v>12</v>
      </c>
      <c r="DF59" s="190">
        <v>471</v>
      </c>
      <c r="DG59" s="190">
        <v>1997</v>
      </c>
      <c r="DH59" s="190">
        <v>2468</v>
      </c>
      <c r="DI59" s="190">
        <v>2</v>
      </c>
      <c r="DJ59" s="190">
        <v>0</v>
      </c>
      <c r="DK59" s="190">
        <v>0</v>
      </c>
      <c r="DL59" s="190">
        <v>61</v>
      </c>
      <c r="DM59" s="190">
        <v>4</v>
      </c>
      <c r="DN59" s="190">
        <v>0</v>
      </c>
      <c r="DO59" s="190">
        <v>2</v>
      </c>
      <c r="DP59" s="190">
        <v>65</v>
      </c>
      <c r="DQ59" s="190">
        <v>67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197</v>
      </c>
      <c r="C60" s="190">
        <v>30</v>
      </c>
      <c r="D60" s="190">
        <v>224</v>
      </c>
      <c r="E60" s="190">
        <v>132</v>
      </c>
      <c r="F60" s="190">
        <v>0</v>
      </c>
      <c r="G60" s="190">
        <v>3</v>
      </c>
      <c r="H60" s="190">
        <v>3</v>
      </c>
      <c r="I60" s="190">
        <v>0</v>
      </c>
      <c r="J60" s="190">
        <v>81</v>
      </c>
      <c r="K60" s="190">
        <v>81</v>
      </c>
      <c r="L60" s="190">
        <v>0</v>
      </c>
      <c r="M60" s="190">
        <v>31</v>
      </c>
      <c r="N60" s="190">
        <v>31</v>
      </c>
      <c r="O60" s="190">
        <v>0</v>
      </c>
      <c r="P60" s="190">
        <v>50</v>
      </c>
      <c r="Q60" s="190">
        <v>50</v>
      </c>
      <c r="R60" s="190">
        <v>0</v>
      </c>
      <c r="S60" s="190">
        <v>1</v>
      </c>
      <c r="T60" s="190">
        <v>1</v>
      </c>
      <c r="U60" s="190">
        <v>0</v>
      </c>
      <c r="V60" s="190">
        <v>11</v>
      </c>
      <c r="W60" s="190">
        <v>11</v>
      </c>
      <c r="X60" s="190">
        <v>4</v>
      </c>
      <c r="Y60" s="190">
        <v>220</v>
      </c>
      <c r="Z60" s="190">
        <v>224</v>
      </c>
      <c r="AA60" s="190">
        <v>3</v>
      </c>
      <c r="AB60" s="190">
        <v>87</v>
      </c>
      <c r="AC60" s="190">
        <v>90</v>
      </c>
      <c r="AD60" s="190">
        <v>3</v>
      </c>
      <c r="AE60" s="190">
        <v>86</v>
      </c>
      <c r="AF60" s="190">
        <v>89</v>
      </c>
      <c r="AG60" s="190">
        <v>0</v>
      </c>
      <c r="AH60" s="190">
        <v>1</v>
      </c>
      <c r="AI60" s="190">
        <v>1</v>
      </c>
      <c r="AJ60" s="190">
        <v>0</v>
      </c>
      <c r="AK60" s="190">
        <v>0</v>
      </c>
      <c r="AL60" s="190">
        <v>0</v>
      </c>
      <c r="AM60" s="190">
        <v>1</v>
      </c>
      <c r="AN60" s="190">
        <v>133</v>
      </c>
      <c r="AO60" s="190">
        <v>134</v>
      </c>
      <c r="AP60" s="190">
        <v>257</v>
      </c>
      <c r="AQ60" s="190">
        <v>2485</v>
      </c>
      <c r="AR60" s="190">
        <v>2742</v>
      </c>
      <c r="AS60" s="190">
        <v>257</v>
      </c>
      <c r="AT60" s="190">
        <v>2485</v>
      </c>
      <c r="AU60" s="190">
        <v>2742</v>
      </c>
      <c r="AV60" s="190">
        <v>0</v>
      </c>
      <c r="AW60" s="190">
        <v>0</v>
      </c>
      <c r="AX60" s="190">
        <v>0</v>
      </c>
      <c r="AY60" s="190">
        <v>22</v>
      </c>
      <c r="AZ60" s="190">
        <v>255</v>
      </c>
      <c r="BA60" s="190">
        <v>277</v>
      </c>
      <c r="BB60" s="190">
        <v>7</v>
      </c>
      <c r="BC60" s="190">
        <v>0</v>
      </c>
      <c r="BD60" s="190">
        <v>0</v>
      </c>
      <c r="BE60" s="190">
        <v>125</v>
      </c>
      <c r="BF60" s="190">
        <v>0</v>
      </c>
      <c r="BG60" s="190">
        <v>0</v>
      </c>
      <c r="BH60" s="190">
        <v>7</v>
      </c>
      <c r="BI60" s="190">
        <v>125</v>
      </c>
      <c r="BJ60" s="190">
        <v>132</v>
      </c>
      <c r="BK60" s="190">
        <v>4</v>
      </c>
      <c r="BL60" s="190">
        <v>-4</v>
      </c>
      <c r="BM60" s="190">
        <v>0</v>
      </c>
      <c r="BN60" s="190">
        <v>4</v>
      </c>
      <c r="BO60" s="190">
        <v>7</v>
      </c>
      <c r="BP60" s="190">
        <v>11</v>
      </c>
      <c r="BQ60" s="190">
        <v>2</v>
      </c>
      <c r="BR60" s="190">
        <v>58</v>
      </c>
      <c r="BS60" s="190">
        <v>60</v>
      </c>
      <c r="BT60" s="190">
        <v>5</v>
      </c>
      <c r="BU60" s="190">
        <v>69</v>
      </c>
      <c r="BV60" s="190">
        <v>74</v>
      </c>
      <c r="BW60" s="190">
        <v>279</v>
      </c>
      <c r="BX60" s="190">
        <v>2740</v>
      </c>
      <c r="BY60" s="190">
        <v>3019</v>
      </c>
      <c r="BZ60" s="190">
        <v>278</v>
      </c>
      <c r="CA60" s="190">
        <v>2734</v>
      </c>
      <c r="CB60" s="190">
        <v>3012</v>
      </c>
      <c r="CC60" s="190">
        <v>5273</v>
      </c>
      <c r="CD60" s="190">
        <v>2</v>
      </c>
      <c r="CE60" s="190">
        <v>3</v>
      </c>
      <c r="CF60" s="190">
        <v>1</v>
      </c>
      <c r="CG60" s="190">
        <v>4</v>
      </c>
      <c r="CH60" s="190">
        <v>5</v>
      </c>
      <c r="CI60" s="190">
        <v>4</v>
      </c>
      <c r="CJ60" s="190">
        <v>0</v>
      </c>
      <c r="CK60" s="190">
        <v>0</v>
      </c>
      <c r="CL60" s="190">
        <v>2</v>
      </c>
      <c r="CM60" s="190">
        <v>2</v>
      </c>
      <c r="CN60" s="190">
        <v>27</v>
      </c>
      <c r="CO60" s="190">
        <v>263</v>
      </c>
      <c r="CP60" s="190">
        <v>290</v>
      </c>
      <c r="CQ60" s="190">
        <v>20</v>
      </c>
      <c r="CR60" s="190">
        <v>226</v>
      </c>
      <c r="CS60" s="190">
        <v>246</v>
      </c>
      <c r="CT60" s="190">
        <v>252</v>
      </c>
      <c r="CU60" s="190">
        <v>2477</v>
      </c>
      <c r="CV60" s="190">
        <v>2729</v>
      </c>
      <c r="CW60" s="190">
        <v>18</v>
      </c>
      <c r="CX60" s="190">
        <v>127</v>
      </c>
      <c r="CY60" s="190">
        <v>145</v>
      </c>
      <c r="CZ60" s="190">
        <v>17</v>
      </c>
      <c r="DA60" s="190">
        <v>1</v>
      </c>
      <c r="DB60" s="190">
        <v>0</v>
      </c>
      <c r="DC60" s="190">
        <v>124</v>
      </c>
      <c r="DD60" s="190">
        <v>1</v>
      </c>
      <c r="DE60" s="190">
        <v>1</v>
      </c>
      <c r="DF60" s="190">
        <v>18</v>
      </c>
      <c r="DG60" s="190">
        <v>126</v>
      </c>
      <c r="DH60" s="190">
        <v>144</v>
      </c>
      <c r="DI60" s="190">
        <v>0</v>
      </c>
      <c r="DJ60" s="190">
        <v>0</v>
      </c>
      <c r="DK60" s="190">
        <v>0</v>
      </c>
      <c r="DL60" s="190">
        <v>1</v>
      </c>
      <c r="DM60" s="190">
        <v>0</v>
      </c>
      <c r="DN60" s="190">
        <v>0</v>
      </c>
      <c r="DO60" s="190">
        <v>0</v>
      </c>
      <c r="DP60" s="190">
        <v>1</v>
      </c>
      <c r="DQ60" s="190">
        <v>1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2475</v>
      </c>
      <c r="C61" s="190">
        <v>405</v>
      </c>
      <c r="D61" s="190">
        <v>2094</v>
      </c>
      <c r="E61" s="190">
        <v>1392</v>
      </c>
      <c r="F61" s="190">
        <v>1</v>
      </c>
      <c r="G61" s="190">
        <v>13</v>
      </c>
      <c r="H61" s="190">
        <v>14</v>
      </c>
      <c r="I61" s="190">
        <v>0</v>
      </c>
      <c r="J61" s="190">
        <v>617</v>
      </c>
      <c r="K61" s="190">
        <v>617</v>
      </c>
      <c r="L61" s="190">
        <v>0</v>
      </c>
      <c r="M61" s="190">
        <v>207</v>
      </c>
      <c r="N61" s="190">
        <v>207</v>
      </c>
      <c r="O61" s="190">
        <v>0</v>
      </c>
      <c r="P61" s="190">
        <v>410</v>
      </c>
      <c r="Q61" s="190">
        <v>410</v>
      </c>
      <c r="R61" s="190">
        <v>0</v>
      </c>
      <c r="S61" s="190">
        <v>35</v>
      </c>
      <c r="T61" s="190">
        <v>35</v>
      </c>
      <c r="U61" s="190">
        <v>0</v>
      </c>
      <c r="V61" s="190">
        <v>85</v>
      </c>
      <c r="W61" s="190">
        <v>85</v>
      </c>
      <c r="X61" s="190">
        <v>14</v>
      </c>
      <c r="Y61" s="190">
        <v>1315</v>
      </c>
      <c r="Z61" s="190">
        <v>1329</v>
      </c>
      <c r="AA61" s="190">
        <v>9</v>
      </c>
      <c r="AB61" s="190">
        <v>697</v>
      </c>
      <c r="AC61" s="190">
        <v>706</v>
      </c>
      <c r="AD61" s="190">
        <v>9</v>
      </c>
      <c r="AE61" s="190">
        <v>677</v>
      </c>
      <c r="AF61" s="190">
        <v>686</v>
      </c>
      <c r="AG61" s="190">
        <v>0</v>
      </c>
      <c r="AH61" s="190">
        <v>13</v>
      </c>
      <c r="AI61" s="190">
        <v>13</v>
      </c>
      <c r="AJ61" s="190">
        <v>0</v>
      </c>
      <c r="AK61" s="190">
        <v>7</v>
      </c>
      <c r="AL61" s="190">
        <v>7</v>
      </c>
      <c r="AM61" s="190">
        <v>5</v>
      </c>
      <c r="AN61" s="190">
        <v>618</v>
      </c>
      <c r="AO61" s="190">
        <v>623</v>
      </c>
      <c r="AP61" s="190">
        <v>2736</v>
      </c>
      <c r="AQ61" s="190">
        <v>30888</v>
      </c>
      <c r="AR61" s="190">
        <v>33624</v>
      </c>
      <c r="AS61" s="190">
        <v>2740</v>
      </c>
      <c r="AT61" s="190">
        <v>30736</v>
      </c>
      <c r="AU61" s="190">
        <v>33476</v>
      </c>
      <c r="AV61" s="190">
        <v>-4</v>
      </c>
      <c r="AW61" s="190">
        <v>152</v>
      </c>
      <c r="AX61" s="190">
        <v>148</v>
      </c>
      <c r="AY61" s="190">
        <v>116</v>
      </c>
      <c r="AZ61" s="190">
        <v>2919</v>
      </c>
      <c r="BA61" s="190">
        <v>3035</v>
      </c>
      <c r="BB61" s="190">
        <v>40</v>
      </c>
      <c r="BC61" s="190">
        <v>0</v>
      </c>
      <c r="BD61" s="190">
        <v>0</v>
      </c>
      <c r="BE61" s="190">
        <v>1316</v>
      </c>
      <c r="BF61" s="190">
        <v>24</v>
      </c>
      <c r="BG61" s="190">
        <v>12</v>
      </c>
      <c r="BH61" s="190">
        <v>40</v>
      </c>
      <c r="BI61" s="190">
        <v>1352</v>
      </c>
      <c r="BJ61" s="190">
        <v>1392</v>
      </c>
      <c r="BK61" s="190">
        <v>-31</v>
      </c>
      <c r="BL61" s="190">
        <v>31</v>
      </c>
      <c r="BM61" s="190">
        <v>0</v>
      </c>
      <c r="BN61" s="190">
        <v>2</v>
      </c>
      <c r="BO61" s="190">
        <v>18</v>
      </c>
      <c r="BP61" s="190">
        <v>20</v>
      </c>
      <c r="BQ61" s="190">
        <v>30</v>
      </c>
      <c r="BR61" s="190">
        <v>380</v>
      </c>
      <c r="BS61" s="190">
        <v>410</v>
      </c>
      <c r="BT61" s="190">
        <v>75</v>
      </c>
      <c r="BU61" s="190">
        <v>1138</v>
      </c>
      <c r="BV61" s="190">
        <v>1213</v>
      </c>
      <c r="BW61" s="190">
        <v>2852</v>
      </c>
      <c r="BX61" s="190">
        <v>33807</v>
      </c>
      <c r="BY61" s="190">
        <v>36659</v>
      </c>
      <c r="BZ61" s="190">
        <v>2832</v>
      </c>
      <c r="CA61" s="190">
        <v>33271</v>
      </c>
      <c r="CB61" s="190">
        <v>36103</v>
      </c>
      <c r="CC61" s="190">
        <v>74061</v>
      </c>
      <c r="CD61" s="190">
        <v>55</v>
      </c>
      <c r="CE61" s="190">
        <v>589</v>
      </c>
      <c r="CF61" s="190">
        <v>20</v>
      </c>
      <c r="CG61" s="190">
        <v>327</v>
      </c>
      <c r="CH61" s="190">
        <v>347</v>
      </c>
      <c r="CI61" s="190">
        <v>274</v>
      </c>
      <c r="CJ61" s="190">
        <v>0</v>
      </c>
      <c r="CK61" s="190">
        <v>0</v>
      </c>
      <c r="CL61" s="190">
        <v>209</v>
      </c>
      <c r="CM61" s="190">
        <v>209</v>
      </c>
      <c r="CN61" s="190">
        <v>151</v>
      </c>
      <c r="CO61" s="190">
        <v>3499</v>
      </c>
      <c r="CP61" s="190">
        <v>3650</v>
      </c>
      <c r="CQ61" s="190">
        <v>0</v>
      </c>
      <c r="CR61" s="190">
        <v>0</v>
      </c>
      <c r="CS61" s="190">
        <v>0</v>
      </c>
      <c r="CT61" s="190">
        <v>2701</v>
      </c>
      <c r="CU61" s="190">
        <v>30308</v>
      </c>
      <c r="CV61" s="190">
        <v>33009</v>
      </c>
      <c r="CW61" s="190">
        <v>203</v>
      </c>
      <c r="CX61" s="190">
        <v>1438</v>
      </c>
      <c r="CY61" s="190">
        <v>1641</v>
      </c>
      <c r="CZ61" s="190">
        <v>199</v>
      </c>
      <c r="DA61" s="190">
        <v>0</v>
      </c>
      <c r="DB61" s="190">
        <v>0</v>
      </c>
      <c r="DC61" s="190">
        <v>1360</v>
      </c>
      <c r="DD61" s="190">
        <v>7</v>
      </c>
      <c r="DE61" s="190">
        <v>10</v>
      </c>
      <c r="DF61" s="190">
        <v>199</v>
      </c>
      <c r="DG61" s="190">
        <v>1377</v>
      </c>
      <c r="DH61" s="190">
        <v>1576</v>
      </c>
      <c r="DI61" s="190">
        <v>4</v>
      </c>
      <c r="DJ61" s="190">
        <v>0</v>
      </c>
      <c r="DK61" s="190">
        <v>0</v>
      </c>
      <c r="DL61" s="190">
        <v>60</v>
      </c>
      <c r="DM61" s="190">
        <v>0</v>
      </c>
      <c r="DN61" s="190">
        <v>1</v>
      </c>
      <c r="DO61" s="190">
        <v>4</v>
      </c>
      <c r="DP61" s="190">
        <v>61</v>
      </c>
      <c r="DQ61" s="190">
        <v>65</v>
      </c>
      <c r="DR61" s="190">
        <v>1</v>
      </c>
      <c r="DS61" s="190">
        <v>22</v>
      </c>
      <c r="DT61" s="191">
        <v>23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723</v>
      </c>
      <c r="C62" s="190">
        <v>59</v>
      </c>
      <c r="D62" s="190">
        <v>709</v>
      </c>
      <c r="E62" s="190">
        <v>446</v>
      </c>
      <c r="F62" s="190">
        <v>4</v>
      </c>
      <c r="G62" s="190">
        <v>38</v>
      </c>
      <c r="H62" s="190">
        <v>42</v>
      </c>
      <c r="I62" s="190">
        <v>0</v>
      </c>
      <c r="J62" s="190">
        <v>214</v>
      </c>
      <c r="K62" s="190">
        <v>214</v>
      </c>
      <c r="L62" s="190">
        <v>0</v>
      </c>
      <c r="M62" s="190">
        <v>68</v>
      </c>
      <c r="N62" s="190">
        <v>68</v>
      </c>
      <c r="O62" s="190">
        <v>0</v>
      </c>
      <c r="P62" s="190">
        <v>146</v>
      </c>
      <c r="Q62" s="190">
        <v>146</v>
      </c>
      <c r="R62" s="190">
        <v>0</v>
      </c>
      <c r="S62" s="190">
        <v>32</v>
      </c>
      <c r="T62" s="190">
        <v>32</v>
      </c>
      <c r="U62" s="190">
        <v>0</v>
      </c>
      <c r="V62" s="190">
        <v>49</v>
      </c>
      <c r="W62" s="190">
        <v>49</v>
      </c>
      <c r="X62" s="190">
        <v>5</v>
      </c>
      <c r="Y62" s="190">
        <v>208</v>
      </c>
      <c r="Z62" s="190">
        <v>213</v>
      </c>
      <c r="AA62" s="190">
        <v>5</v>
      </c>
      <c r="AB62" s="190">
        <v>208</v>
      </c>
      <c r="AC62" s="190">
        <v>213</v>
      </c>
      <c r="AD62" s="190">
        <v>5</v>
      </c>
      <c r="AE62" s="190">
        <v>200</v>
      </c>
      <c r="AF62" s="190">
        <v>205</v>
      </c>
      <c r="AG62" s="190">
        <v>0</v>
      </c>
      <c r="AH62" s="190">
        <v>7</v>
      </c>
      <c r="AI62" s="190">
        <v>7</v>
      </c>
      <c r="AJ62" s="190">
        <v>0</v>
      </c>
      <c r="AK62" s="190">
        <v>1</v>
      </c>
      <c r="AL62" s="190">
        <v>1</v>
      </c>
      <c r="AM62" s="190">
        <v>0</v>
      </c>
      <c r="AN62" s="190">
        <v>0</v>
      </c>
      <c r="AO62" s="190">
        <v>0</v>
      </c>
      <c r="AP62" s="190">
        <v>808</v>
      </c>
      <c r="AQ62" s="190">
        <v>8283</v>
      </c>
      <c r="AR62" s="190">
        <v>9091</v>
      </c>
      <c r="AS62" s="190">
        <v>810</v>
      </c>
      <c r="AT62" s="190">
        <v>8286</v>
      </c>
      <c r="AU62" s="190">
        <v>9096</v>
      </c>
      <c r="AV62" s="190">
        <v>-2</v>
      </c>
      <c r="AW62" s="190">
        <v>-3</v>
      </c>
      <c r="AX62" s="190">
        <v>-5</v>
      </c>
      <c r="AY62" s="190">
        <v>43</v>
      </c>
      <c r="AZ62" s="190">
        <v>890</v>
      </c>
      <c r="BA62" s="190">
        <v>933</v>
      </c>
      <c r="BB62" s="190">
        <v>15</v>
      </c>
      <c r="BC62" s="190">
        <v>0</v>
      </c>
      <c r="BD62" s="190">
        <v>0</v>
      </c>
      <c r="BE62" s="190">
        <v>423</v>
      </c>
      <c r="BF62" s="190">
        <v>5</v>
      </c>
      <c r="BG62" s="190">
        <v>3</v>
      </c>
      <c r="BH62" s="190">
        <v>15</v>
      </c>
      <c r="BI62" s="190">
        <v>431</v>
      </c>
      <c r="BJ62" s="190">
        <v>446</v>
      </c>
      <c r="BK62" s="190">
        <v>-15</v>
      </c>
      <c r="BL62" s="190">
        <v>15</v>
      </c>
      <c r="BM62" s="190">
        <v>0</v>
      </c>
      <c r="BN62" s="190">
        <v>2</v>
      </c>
      <c r="BO62" s="190">
        <v>12</v>
      </c>
      <c r="BP62" s="190">
        <v>14</v>
      </c>
      <c r="BQ62" s="190">
        <v>3</v>
      </c>
      <c r="BR62" s="190">
        <v>97</v>
      </c>
      <c r="BS62" s="190">
        <v>100</v>
      </c>
      <c r="BT62" s="190">
        <v>38</v>
      </c>
      <c r="BU62" s="190">
        <v>335</v>
      </c>
      <c r="BV62" s="190">
        <v>373</v>
      </c>
      <c r="BW62" s="190">
        <v>851</v>
      </c>
      <c r="BX62" s="190">
        <v>9173</v>
      </c>
      <c r="BY62" s="190">
        <v>10024</v>
      </c>
      <c r="BZ62" s="190">
        <v>808</v>
      </c>
      <c r="CA62" s="190">
        <v>8976</v>
      </c>
      <c r="CB62" s="190">
        <v>9784</v>
      </c>
      <c r="CC62" s="190">
        <v>19147</v>
      </c>
      <c r="CD62" s="190">
        <v>8</v>
      </c>
      <c r="CE62" s="190">
        <v>248</v>
      </c>
      <c r="CF62" s="190">
        <v>41</v>
      </c>
      <c r="CG62" s="190">
        <v>135</v>
      </c>
      <c r="CH62" s="190">
        <v>176</v>
      </c>
      <c r="CI62" s="190">
        <v>88</v>
      </c>
      <c r="CJ62" s="190">
        <v>0</v>
      </c>
      <c r="CK62" s="190">
        <v>2</v>
      </c>
      <c r="CL62" s="190">
        <v>62</v>
      </c>
      <c r="CM62" s="190">
        <v>64</v>
      </c>
      <c r="CN62" s="190">
        <v>72</v>
      </c>
      <c r="CO62" s="190">
        <v>968</v>
      </c>
      <c r="CP62" s="190">
        <v>1040</v>
      </c>
      <c r="CQ62" s="190">
        <v>0</v>
      </c>
      <c r="CR62" s="190">
        <v>0</v>
      </c>
      <c r="CS62" s="190">
        <v>0</v>
      </c>
      <c r="CT62" s="190">
        <v>779</v>
      </c>
      <c r="CU62" s="190">
        <v>8205</v>
      </c>
      <c r="CV62" s="190">
        <v>8984</v>
      </c>
      <c r="CW62" s="190">
        <v>48</v>
      </c>
      <c r="CX62" s="190">
        <v>466</v>
      </c>
      <c r="CY62" s="190">
        <v>514</v>
      </c>
      <c r="CZ62" s="190">
        <v>45</v>
      </c>
      <c r="DA62" s="190">
        <v>3</v>
      </c>
      <c r="DB62" s="190">
        <v>0</v>
      </c>
      <c r="DC62" s="190">
        <v>370</v>
      </c>
      <c r="DD62" s="190">
        <v>9</v>
      </c>
      <c r="DE62" s="190">
        <v>3</v>
      </c>
      <c r="DF62" s="190">
        <v>48</v>
      </c>
      <c r="DG62" s="190">
        <v>382</v>
      </c>
      <c r="DH62" s="190">
        <v>430</v>
      </c>
      <c r="DI62" s="190">
        <v>0</v>
      </c>
      <c r="DJ62" s="190">
        <v>0</v>
      </c>
      <c r="DK62" s="190">
        <v>0</v>
      </c>
      <c r="DL62" s="190">
        <v>84</v>
      </c>
      <c r="DM62" s="190">
        <v>0</v>
      </c>
      <c r="DN62" s="190">
        <v>0</v>
      </c>
      <c r="DO62" s="190">
        <v>0</v>
      </c>
      <c r="DP62" s="190">
        <v>84</v>
      </c>
      <c r="DQ62" s="190">
        <v>84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376</v>
      </c>
      <c r="C63" s="195">
        <v>62</v>
      </c>
      <c r="D63" s="195">
        <v>472</v>
      </c>
      <c r="E63" s="195">
        <v>285</v>
      </c>
      <c r="F63" s="195">
        <v>1</v>
      </c>
      <c r="G63" s="195">
        <v>0</v>
      </c>
      <c r="H63" s="195">
        <v>1</v>
      </c>
      <c r="I63" s="195">
        <v>0</v>
      </c>
      <c r="J63" s="195">
        <v>175</v>
      </c>
      <c r="K63" s="195">
        <v>175</v>
      </c>
      <c r="L63" s="195">
        <v>0</v>
      </c>
      <c r="M63" s="195">
        <v>90</v>
      </c>
      <c r="N63" s="195">
        <v>90</v>
      </c>
      <c r="O63" s="195">
        <v>0</v>
      </c>
      <c r="P63" s="195">
        <v>85</v>
      </c>
      <c r="Q63" s="195">
        <v>85</v>
      </c>
      <c r="R63" s="195">
        <v>0</v>
      </c>
      <c r="S63" s="195">
        <v>0</v>
      </c>
      <c r="T63" s="195">
        <v>0</v>
      </c>
      <c r="U63" s="195">
        <v>0</v>
      </c>
      <c r="V63" s="195">
        <v>12</v>
      </c>
      <c r="W63" s="195">
        <v>12</v>
      </c>
      <c r="X63" s="195">
        <v>10</v>
      </c>
      <c r="Y63" s="195">
        <v>462</v>
      </c>
      <c r="Z63" s="195">
        <v>472</v>
      </c>
      <c r="AA63" s="195">
        <v>5</v>
      </c>
      <c r="AB63" s="195">
        <v>232</v>
      </c>
      <c r="AC63" s="195">
        <v>237</v>
      </c>
      <c r="AD63" s="195">
        <v>4</v>
      </c>
      <c r="AE63" s="195">
        <v>208</v>
      </c>
      <c r="AF63" s="195">
        <v>212</v>
      </c>
      <c r="AG63" s="195">
        <v>1</v>
      </c>
      <c r="AH63" s="195">
        <v>20</v>
      </c>
      <c r="AI63" s="195">
        <v>21</v>
      </c>
      <c r="AJ63" s="195">
        <v>0</v>
      </c>
      <c r="AK63" s="195">
        <v>4</v>
      </c>
      <c r="AL63" s="195">
        <v>4</v>
      </c>
      <c r="AM63" s="195">
        <v>5</v>
      </c>
      <c r="AN63" s="195">
        <v>230</v>
      </c>
      <c r="AO63" s="195">
        <v>235</v>
      </c>
      <c r="AP63" s="195">
        <v>775</v>
      </c>
      <c r="AQ63" s="195">
        <v>4714</v>
      </c>
      <c r="AR63" s="195">
        <v>5489</v>
      </c>
      <c r="AS63" s="195">
        <v>775</v>
      </c>
      <c r="AT63" s="195">
        <v>4714</v>
      </c>
      <c r="AU63" s="195">
        <v>5489</v>
      </c>
      <c r="AV63" s="195">
        <v>0</v>
      </c>
      <c r="AW63" s="195">
        <v>0</v>
      </c>
      <c r="AX63" s="195">
        <v>0</v>
      </c>
      <c r="AY63" s="195">
        <v>22</v>
      </c>
      <c r="AZ63" s="195">
        <v>520</v>
      </c>
      <c r="BA63" s="195">
        <v>542</v>
      </c>
      <c r="BB63" s="195">
        <v>13</v>
      </c>
      <c r="BC63" s="195">
        <v>0</v>
      </c>
      <c r="BD63" s="195">
        <v>0</v>
      </c>
      <c r="BE63" s="195">
        <v>271</v>
      </c>
      <c r="BF63" s="195">
        <v>1</v>
      </c>
      <c r="BG63" s="195">
        <v>0</v>
      </c>
      <c r="BH63" s="195">
        <v>13</v>
      </c>
      <c r="BI63" s="195">
        <v>272</v>
      </c>
      <c r="BJ63" s="195">
        <v>285</v>
      </c>
      <c r="BK63" s="195">
        <v>-14</v>
      </c>
      <c r="BL63" s="195">
        <v>14</v>
      </c>
      <c r="BM63" s="195">
        <v>0</v>
      </c>
      <c r="BN63" s="195">
        <v>5</v>
      </c>
      <c r="BO63" s="195">
        <v>19</v>
      </c>
      <c r="BP63" s="195">
        <v>24</v>
      </c>
      <c r="BQ63" s="195">
        <v>3</v>
      </c>
      <c r="BR63" s="195">
        <v>53</v>
      </c>
      <c r="BS63" s="195">
        <v>56</v>
      </c>
      <c r="BT63" s="195">
        <v>15</v>
      </c>
      <c r="BU63" s="195">
        <v>162</v>
      </c>
      <c r="BV63" s="195">
        <v>177</v>
      </c>
      <c r="BW63" s="195">
        <v>797</v>
      </c>
      <c r="BX63" s="195">
        <v>5234</v>
      </c>
      <c r="BY63" s="195">
        <v>6031</v>
      </c>
      <c r="BZ63" s="195">
        <v>791</v>
      </c>
      <c r="CA63" s="195">
        <v>5205</v>
      </c>
      <c r="CB63" s="195">
        <v>5996</v>
      </c>
      <c r="CC63" s="195">
        <v>12900</v>
      </c>
      <c r="CD63" s="195">
        <v>2</v>
      </c>
      <c r="CE63" s="195">
        <v>41</v>
      </c>
      <c r="CF63" s="195">
        <v>6</v>
      </c>
      <c r="CG63" s="195">
        <v>25</v>
      </c>
      <c r="CH63" s="195">
        <v>31</v>
      </c>
      <c r="CI63" s="195">
        <v>4</v>
      </c>
      <c r="CJ63" s="195">
        <v>0</v>
      </c>
      <c r="CK63" s="195">
        <v>0</v>
      </c>
      <c r="CL63" s="195">
        <v>4</v>
      </c>
      <c r="CM63" s="195">
        <v>4</v>
      </c>
      <c r="CN63" s="195">
        <v>38</v>
      </c>
      <c r="CO63" s="195">
        <v>565</v>
      </c>
      <c r="CP63" s="195">
        <v>603</v>
      </c>
      <c r="CQ63" s="195">
        <v>0</v>
      </c>
      <c r="CR63" s="195">
        <v>20</v>
      </c>
      <c r="CS63" s="195">
        <v>20</v>
      </c>
      <c r="CT63" s="195">
        <v>759</v>
      </c>
      <c r="CU63" s="195">
        <v>4669</v>
      </c>
      <c r="CV63" s="195">
        <v>5428</v>
      </c>
      <c r="CW63" s="195">
        <v>50</v>
      </c>
      <c r="CX63" s="195">
        <v>199</v>
      </c>
      <c r="CY63" s="195">
        <v>249</v>
      </c>
      <c r="CZ63" s="195">
        <v>49</v>
      </c>
      <c r="DA63" s="195">
        <v>1</v>
      </c>
      <c r="DB63" s="195">
        <v>0</v>
      </c>
      <c r="DC63" s="195">
        <v>187</v>
      </c>
      <c r="DD63" s="195">
        <v>0</v>
      </c>
      <c r="DE63" s="195">
        <v>0</v>
      </c>
      <c r="DF63" s="195">
        <v>50</v>
      </c>
      <c r="DG63" s="195">
        <v>187</v>
      </c>
      <c r="DH63" s="195">
        <v>237</v>
      </c>
      <c r="DI63" s="195">
        <v>0</v>
      </c>
      <c r="DJ63" s="195">
        <v>0</v>
      </c>
      <c r="DK63" s="195">
        <v>0</v>
      </c>
      <c r="DL63" s="195">
        <v>12</v>
      </c>
      <c r="DM63" s="195">
        <v>0</v>
      </c>
      <c r="DN63" s="195">
        <v>0</v>
      </c>
      <c r="DO63" s="195">
        <v>0</v>
      </c>
      <c r="DP63" s="195">
        <v>12</v>
      </c>
      <c r="DQ63" s="195">
        <v>12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198" t="s">
        <v>330</v>
      </c>
      <c r="B64" s="199">
        <f>SUBTOTAL(109,Feb17Data[Cell 1])</f>
        <v>118565</v>
      </c>
      <c r="C64" s="199">
        <f>SUBTOTAL(109,Feb17Data[Cell 2])</f>
        <v>29591</v>
      </c>
      <c r="D64" s="199">
        <f>SUBTOTAL(109,Feb17Data[Cell 3])</f>
        <v>126206</v>
      </c>
      <c r="E64" s="199">
        <f>SUBTOTAL(109,Feb17Data[Cell 4])</f>
        <v>84240</v>
      </c>
      <c r="F64" s="199">
        <f>SUBTOTAL(109,Feb17Data[Cell 5])</f>
        <v>178</v>
      </c>
      <c r="G64" s="199">
        <f>SUBTOTAL(109,Feb17Data[Cell 6])</f>
        <v>1592</v>
      </c>
      <c r="H64" s="199">
        <f>SUBTOTAL(109,Feb17Data[Cell 7])</f>
        <v>1770</v>
      </c>
      <c r="I64" s="199">
        <f>SUBTOTAL(109,Feb17Data[Cell 8])</f>
        <v>53</v>
      </c>
      <c r="J64" s="199">
        <f>SUBTOTAL(109,Feb17Data[Cell 9])</f>
        <v>37002</v>
      </c>
      <c r="K64" s="199">
        <f>SUBTOTAL(109,Feb17Data[Cell 10])</f>
        <v>37055</v>
      </c>
      <c r="L64" s="199">
        <f>SUBTOTAL(109,Feb17Data[Cell 11])</f>
        <v>37</v>
      </c>
      <c r="M64" s="199">
        <f>SUBTOTAL(109,Feb17Data[Cell 12])</f>
        <v>18001</v>
      </c>
      <c r="N64" s="199">
        <f>SUBTOTAL(109,Feb17Data[Cell 13])</f>
        <v>18038</v>
      </c>
      <c r="O64" s="199">
        <f>SUBTOTAL(109,Feb17Data[Cell 14])</f>
        <v>16</v>
      </c>
      <c r="P64" s="199">
        <f>SUBTOTAL(109,Feb17Data[Cell 15])</f>
        <v>19001</v>
      </c>
      <c r="Q64" s="199">
        <f>SUBTOTAL(109,Feb17Data[Cell 16])</f>
        <v>19017</v>
      </c>
      <c r="R64" s="199">
        <f>SUBTOTAL(109,Feb17Data[Cell 17])</f>
        <v>2</v>
      </c>
      <c r="S64" s="199">
        <f>SUBTOTAL(109,Feb17Data[Cell 18])</f>
        <v>1959</v>
      </c>
      <c r="T64" s="199">
        <f>SUBTOTAL(109,Feb17Data[Cell 19])</f>
        <v>1961</v>
      </c>
      <c r="U64" s="199">
        <f>SUBTOTAL(109,Feb17Data[Cell 20])</f>
        <v>0</v>
      </c>
      <c r="V64" s="199">
        <f>SUBTOTAL(109,Feb17Data[Cell 21])</f>
        <v>4911</v>
      </c>
      <c r="W64" s="199">
        <f>SUBTOTAL(109,Feb17Data[Cell 22])</f>
        <v>4911</v>
      </c>
      <c r="X64" s="199">
        <f>SUBTOTAL(109,Feb17Data[Cell 23])</f>
        <v>3916</v>
      </c>
      <c r="Y64" s="199">
        <f>SUBTOTAL(109,Feb17Data[Cell 24])</f>
        <v>105339</v>
      </c>
      <c r="Z64" s="199">
        <f>SUBTOTAL(109,Feb17Data[Cell 25])</f>
        <v>109255</v>
      </c>
      <c r="AA64" s="199">
        <f>SUBTOTAL(109,Feb17Data[Cell 26])</f>
        <v>2428</v>
      </c>
      <c r="AB64" s="199">
        <f>SUBTOTAL(109,Feb17Data[Cell 27])</f>
        <v>46040</v>
      </c>
      <c r="AC64" s="199">
        <f>SUBTOTAL(109,Feb17Data[Cell 28])</f>
        <v>48468</v>
      </c>
      <c r="AD64" s="199">
        <f>SUBTOTAL(109,Feb17Data[Cell 29])</f>
        <v>2072</v>
      </c>
      <c r="AE64" s="199">
        <f>SUBTOTAL(109,Feb17Data[Cell 30])</f>
        <v>42991</v>
      </c>
      <c r="AF64" s="199">
        <f>SUBTOTAL(109,Feb17Data[Cell 31])</f>
        <v>45063</v>
      </c>
      <c r="AG64" s="199">
        <f>SUBTOTAL(109,Feb17Data[Cell 32])</f>
        <v>122</v>
      </c>
      <c r="AH64" s="199">
        <f>SUBTOTAL(109,Feb17Data[Cell 33])</f>
        <v>1545</v>
      </c>
      <c r="AI64" s="199">
        <f>SUBTOTAL(109,Feb17Data[Cell 34])</f>
        <v>1667</v>
      </c>
      <c r="AJ64" s="199">
        <f>SUBTOTAL(109,Feb17Data[Cell 35])</f>
        <v>234</v>
      </c>
      <c r="AK64" s="199">
        <f>SUBTOTAL(109,Feb17Data[Cell 36])</f>
        <v>1504</v>
      </c>
      <c r="AL64" s="199">
        <f>SUBTOTAL(109,Feb17Data[Cell 37])</f>
        <v>1738</v>
      </c>
      <c r="AM64" s="199">
        <f>SUBTOTAL(109,Feb17Data[Cell 38])</f>
        <v>1488</v>
      </c>
      <c r="AN64" s="199">
        <f>SUBTOTAL(109,Feb17Data[Cell 39])</f>
        <v>59299</v>
      </c>
      <c r="AO64" s="199">
        <f>SUBTOTAL(109,Feb17Data[Cell 40])</f>
        <v>60787</v>
      </c>
      <c r="AP64" s="199">
        <f>SUBTOTAL(109,Feb17Data[Cell 41])</f>
        <v>241104</v>
      </c>
      <c r="AQ64" s="199">
        <f>SUBTOTAL(109,Feb17Data[Cell 42])</f>
        <v>1588916</v>
      </c>
      <c r="AR64" s="199">
        <f>SUBTOTAL(109,Feb17Data[Cell 43])</f>
        <v>1830020</v>
      </c>
      <c r="AS64" s="199">
        <f>SUBTOTAL(109,Feb17Data[Cell 44])</f>
        <v>242282</v>
      </c>
      <c r="AT64" s="199">
        <f>SUBTOTAL(109,Feb17Data[Cell 45])</f>
        <v>1598226</v>
      </c>
      <c r="AU64" s="199">
        <f>SUBTOTAL(109,Feb17Data[Cell 46])</f>
        <v>1840508</v>
      </c>
      <c r="AV64" s="199">
        <f>SUBTOTAL(109,Feb17Data[Cell 47])</f>
        <v>-1178</v>
      </c>
      <c r="AW64" s="199">
        <f>SUBTOTAL(109,Feb17Data[Cell 48])</f>
        <v>-9310</v>
      </c>
      <c r="AX64" s="199">
        <f>SUBTOTAL(109,Feb17Data[Cell 49])</f>
        <v>-10488</v>
      </c>
      <c r="AY64" s="199">
        <f>SUBTOTAL(109,Feb17Data[Cell 50])</f>
        <v>12349</v>
      </c>
      <c r="AZ64" s="199">
        <f>SUBTOTAL(109,Feb17Data[Cell 51])</f>
        <v>139669</v>
      </c>
      <c r="BA64" s="199">
        <f>SUBTOTAL(109,Feb17Data[Cell 52])</f>
        <v>152018</v>
      </c>
      <c r="BB64" s="199">
        <f>SUBTOTAL(109,Feb17Data[Cell 53])</f>
        <v>5350</v>
      </c>
      <c r="BC64" s="199">
        <f>SUBTOTAL(109,Feb17Data[Cell 54])</f>
        <v>106</v>
      </c>
      <c r="BD64" s="199">
        <f>SUBTOTAL(109,Feb17Data[Cell 55])</f>
        <v>6</v>
      </c>
      <c r="BE64" s="199">
        <f>SUBTOTAL(109,Feb17Data[Cell 56])</f>
        <v>77299</v>
      </c>
      <c r="BF64" s="199">
        <f>SUBTOTAL(109,Feb17Data[Cell 57])</f>
        <v>912</v>
      </c>
      <c r="BG64" s="199">
        <f>SUBTOTAL(109,Feb17Data[Cell 58])</f>
        <v>567</v>
      </c>
      <c r="BH64" s="199">
        <f>SUBTOTAL(109,Feb17Data[Cell 59])</f>
        <v>5462</v>
      </c>
      <c r="BI64" s="199">
        <f>SUBTOTAL(109,Feb17Data[Cell 60])</f>
        <v>78778</v>
      </c>
      <c r="BJ64" s="199">
        <f>SUBTOTAL(109,Feb17Data[Cell 61])</f>
        <v>84240</v>
      </c>
      <c r="BK64" s="199">
        <f>SUBTOTAL(109,Feb17Data[Cell 62])</f>
        <v>-1644</v>
      </c>
      <c r="BL64" s="199">
        <f>SUBTOTAL(109,Feb17Data[Cell 63])</f>
        <v>1644</v>
      </c>
      <c r="BM64" s="199">
        <f>SUBTOTAL(109,Feb17Data[Cell 64])</f>
        <v>0</v>
      </c>
      <c r="BN64" s="199">
        <f>SUBTOTAL(109,Feb17Data[Cell 65])</f>
        <v>349</v>
      </c>
      <c r="BO64" s="199">
        <f>SUBTOTAL(109,Feb17Data[Cell 66])</f>
        <v>1748</v>
      </c>
      <c r="BP64" s="199">
        <f>SUBTOTAL(109,Feb17Data[Cell 67])</f>
        <v>2097</v>
      </c>
      <c r="BQ64" s="199">
        <f>SUBTOTAL(109,Feb17Data[Cell 68])</f>
        <v>1063</v>
      </c>
      <c r="BR64" s="199">
        <f>SUBTOTAL(109,Feb17Data[Cell 69])</f>
        <v>12368</v>
      </c>
      <c r="BS64" s="199">
        <f>SUBTOTAL(109,Feb17Data[Cell 70])</f>
        <v>13431</v>
      </c>
      <c r="BT64" s="199">
        <f>SUBTOTAL(109,Feb17Data[Cell 71])</f>
        <v>7119</v>
      </c>
      <c r="BU64" s="199">
        <f>SUBTOTAL(109,Feb17Data[Cell 72])</f>
        <v>45131</v>
      </c>
      <c r="BV64" s="199">
        <f>SUBTOTAL(109,Feb17Data[Cell 73])</f>
        <v>52250</v>
      </c>
      <c r="BW64" s="199">
        <f>SUBTOTAL(109,Feb17Data[Cell 74])</f>
        <v>253453</v>
      </c>
      <c r="BX64" s="199">
        <f>SUBTOTAL(109,Feb17Data[Cell 75])</f>
        <v>1728585</v>
      </c>
      <c r="BY64" s="199">
        <f>SUBTOTAL(109,Feb17Data[Cell 76])</f>
        <v>1982038</v>
      </c>
      <c r="BZ64" s="199">
        <f>SUBTOTAL(109,Feb17Data[Cell 77])</f>
        <v>248368</v>
      </c>
      <c r="CA64" s="199">
        <f>SUBTOTAL(109,Feb17Data[Cell 78])</f>
        <v>1698542</v>
      </c>
      <c r="CB64" s="199">
        <f>SUBTOTAL(109,Feb17Data[Cell 79])</f>
        <v>1946910</v>
      </c>
      <c r="CC64" s="199">
        <f>SUBTOTAL(109,Feb17Data[Cell 80])</f>
        <v>4084930</v>
      </c>
      <c r="CD64" s="199">
        <f>SUBTOTAL(109,Feb17Data[Cell 81])</f>
        <v>2619</v>
      </c>
      <c r="CE64" s="199">
        <f>SUBTOTAL(109,Feb17Data[Cell 82])</f>
        <v>29856</v>
      </c>
      <c r="CF64" s="199">
        <f>SUBTOTAL(109,Feb17Data[Cell 83])</f>
        <v>4756</v>
      </c>
      <c r="CG64" s="199">
        <f>SUBTOTAL(109,Feb17Data[Cell 84])</f>
        <v>20260</v>
      </c>
      <c r="CH64" s="199">
        <f>SUBTOTAL(109,Feb17Data[Cell 85])</f>
        <v>25016</v>
      </c>
      <c r="CI64" s="199">
        <f>SUBTOTAL(109,Feb17Data[Cell 86])</f>
        <v>12297</v>
      </c>
      <c r="CJ64" s="199">
        <f>SUBTOTAL(109,Feb17Data[Cell 87])</f>
        <v>1112</v>
      </c>
      <c r="CK64" s="199">
        <f>SUBTOTAL(109,Feb17Data[Cell 88])</f>
        <v>329</v>
      </c>
      <c r="CL64" s="199">
        <f>SUBTOTAL(109,Feb17Data[Cell 89])</f>
        <v>9783</v>
      </c>
      <c r="CM64" s="199">
        <f>SUBTOTAL(109,Feb17Data[Cell 90])</f>
        <v>10112</v>
      </c>
      <c r="CN64" s="199">
        <f>SUBTOTAL(109,Feb17Data[Cell 91])</f>
        <v>13601</v>
      </c>
      <c r="CO64" s="199">
        <f>SUBTOTAL(109,Feb17Data[Cell 92])</f>
        <v>141857</v>
      </c>
      <c r="CP64" s="199">
        <f>SUBTOTAL(109,Feb17Data[Cell 93])</f>
        <v>155458</v>
      </c>
      <c r="CQ64" s="199">
        <f>SUBTOTAL(109,Feb17Data[Cell 94])</f>
        <v>128</v>
      </c>
      <c r="CR64" s="199">
        <f>SUBTOTAL(109,Feb17Data[Cell 95])</f>
        <v>826</v>
      </c>
      <c r="CS64" s="199">
        <f>SUBTOTAL(109,Feb17Data[Cell 96])</f>
        <v>954</v>
      </c>
      <c r="CT64" s="199">
        <f>SUBTOTAL(109,Feb17Data[Cell 97])</f>
        <v>239852</v>
      </c>
      <c r="CU64" s="199">
        <f>SUBTOTAL(109,Feb17Data[Cell 98])</f>
        <v>1586728</v>
      </c>
      <c r="CV64" s="199">
        <f>SUBTOTAL(109,Feb17Data[Cell 99])</f>
        <v>1826580</v>
      </c>
      <c r="CW64" s="199">
        <f>SUBTOTAL(109,Feb17Data[Cell 100])</f>
        <v>14742</v>
      </c>
      <c r="CX64" s="199">
        <f>SUBTOTAL(109,Feb17Data[Cell 101])</f>
        <v>73202</v>
      </c>
      <c r="CY64" s="199">
        <f>SUBTOTAL(109,Feb17Data[Cell 102])</f>
        <v>87944</v>
      </c>
      <c r="CZ64" s="199">
        <f>SUBTOTAL(109,Feb17Data[Cell 103])</f>
        <v>14163</v>
      </c>
      <c r="DA64" s="199">
        <f>SUBTOTAL(109,Feb17Data[Cell 104])</f>
        <v>312</v>
      </c>
      <c r="DB64" s="199">
        <f>SUBTOTAL(109,Feb17Data[Cell 105])</f>
        <v>7</v>
      </c>
      <c r="DC64" s="199">
        <f>SUBTOTAL(109,Feb17Data[Cell 106])</f>
        <v>67439</v>
      </c>
      <c r="DD64" s="199">
        <f>SUBTOTAL(109,Feb17Data[Cell 107])</f>
        <v>981</v>
      </c>
      <c r="DE64" s="199">
        <f>SUBTOTAL(109,Feb17Data[Cell 108])</f>
        <v>273</v>
      </c>
      <c r="DF64" s="199">
        <f>SUBTOTAL(109,Feb17Data[Cell 109])</f>
        <v>14482</v>
      </c>
      <c r="DG64" s="199">
        <f>SUBTOTAL(109,Feb17Data[Cell 110])</f>
        <v>68693</v>
      </c>
      <c r="DH64" s="199">
        <f>SUBTOTAL(109,Feb17Data[Cell 111])</f>
        <v>83175</v>
      </c>
      <c r="DI64" s="199">
        <f>SUBTOTAL(109,Feb17Data[Cell 112])</f>
        <v>257</v>
      </c>
      <c r="DJ64" s="199">
        <f>SUBTOTAL(109,Feb17Data[Cell 113])</f>
        <v>3</v>
      </c>
      <c r="DK64" s="199">
        <f>SUBTOTAL(109,Feb17Data[Cell 114])</f>
        <v>0</v>
      </c>
      <c r="DL64" s="199">
        <f>SUBTOTAL(109,Feb17Data[Cell 115])</f>
        <v>4379</v>
      </c>
      <c r="DM64" s="199">
        <f>SUBTOTAL(109,Feb17Data[Cell 116])</f>
        <v>103</v>
      </c>
      <c r="DN64" s="199">
        <f>SUBTOTAL(109,Feb17Data[Cell 117])</f>
        <v>27</v>
      </c>
      <c r="DO64" s="199">
        <f>SUBTOTAL(109,Feb17Data[Cell 118])</f>
        <v>260</v>
      </c>
      <c r="DP64" s="199">
        <f>SUBTOTAL(109,Feb17Data[Cell 119])</f>
        <v>4509</v>
      </c>
      <c r="DQ64" s="199">
        <f>SUBTOTAL(109,Feb17Data[Cell 120])</f>
        <v>4769</v>
      </c>
      <c r="DR64" s="199">
        <f>SUBTOTAL(109,Feb17Data[Cell 121])</f>
        <v>14</v>
      </c>
      <c r="DS64" s="199">
        <f>SUBTOTAL(109,Feb17Data[Cell 122])</f>
        <v>166</v>
      </c>
      <c r="DT64" s="199">
        <f>SUBTOTAL(109,Feb17Data[Cell 123])</f>
        <v>180</v>
      </c>
      <c r="DU64" s="172"/>
      <c r="DV64" s="200">
        <v>25535484</v>
      </c>
      <c r="DX64" s="192"/>
      <c r="DY64" s="192"/>
    </row>
  </sheetData>
  <conditionalFormatting sqref="B6:DT63">
    <cfRule type="containsBlanks" dxfId="1527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348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126229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30390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131242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87146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139</v>
      </c>
      <c r="T13" s="63">
        <v>6</v>
      </c>
      <c r="U13" s="64">
        <v>1598</v>
      </c>
      <c r="V13" s="84">
        <v>7</v>
      </c>
      <c r="W13" s="85">
        <v>1737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76</v>
      </c>
      <c r="T14" s="88">
        <v>9</v>
      </c>
      <c r="U14" s="89">
        <v>38678</v>
      </c>
      <c r="V14" s="88">
        <v>10</v>
      </c>
      <c r="W14" s="90">
        <v>38754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49</v>
      </c>
      <c r="T15" s="71">
        <v>12</v>
      </c>
      <c r="U15" s="64">
        <v>18718</v>
      </c>
      <c r="V15" s="88">
        <v>13</v>
      </c>
      <c r="W15" s="90">
        <v>18767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27</v>
      </c>
      <c r="T16" s="71">
        <v>15</v>
      </c>
      <c r="U16" s="64">
        <v>19960</v>
      </c>
      <c r="V16" s="88">
        <v>16</v>
      </c>
      <c r="W16" s="90">
        <v>19987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12</v>
      </c>
      <c r="T17" s="71">
        <v>18</v>
      </c>
      <c r="U17" s="64">
        <v>1706</v>
      </c>
      <c r="V17" s="88">
        <v>19</v>
      </c>
      <c r="W17" s="90">
        <v>1718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0</v>
      </c>
      <c r="T18" s="82">
        <v>21</v>
      </c>
      <c r="U18" s="64">
        <v>5342</v>
      </c>
      <c r="V18" s="88">
        <v>22</v>
      </c>
      <c r="W18" s="90">
        <v>5342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4122</v>
      </c>
      <c r="T20" s="98">
        <v>24</v>
      </c>
      <c r="U20" s="89">
        <v>109922</v>
      </c>
      <c r="V20" s="84">
        <v>25</v>
      </c>
      <c r="W20" s="89">
        <v>114044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2670</v>
      </c>
      <c r="T21" s="76">
        <v>27</v>
      </c>
      <c r="U21" s="77">
        <v>48838</v>
      </c>
      <c r="V21" s="88">
        <v>28</v>
      </c>
      <c r="W21" s="77">
        <v>51508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2374</v>
      </c>
      <c r="T22" s="71">
        <v>30</v>
      </c>
      <c r="U22" s="64">
        <v>46104</v>
      </c>
      <c r="V22" s="88">
        <v>31</v>
      </c>
      <c r="W22" s="90">
        <v>48478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111</v>
      </c>
      <c r="T23" s="71">
        <v>33</v>
      </c>
      <c r="U23" s="64">
        <v>1329</v>
      </c>
      <c r="V23" s="88">
        <v>34</v>
      </c>
      <c r="W23" s="90">
        <v>1440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185</v>
      </c>
      <c r="T24" s="71">
        <v>36</v>
      </c>
      <c r="U24" s="64">
        <v>1405</v>
      </c>
      <c r="V24" s="88">
        <v>37</v>
      </c>
      <c r="W24" s="90">
        <v>1590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1452</v>
      </c>
      <c r="T25" s="82">
        <v>39</v>
      </c>
      <c r="U25" s="64">
        <v>61084</v>
      </c>
      <c r="V25" s="88">
        <v>40</v>
      </c>
      <c r="W25" s="90">
        <v>62536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238459</v>
      </c>
      <c r="T27" s="63">
        <v>42</v>
      </c>
      <c r="U27" s="64">
        <v>1572803</v>
      </c>
      <c r="V27" s="84">
        <v>43</v>
      </c>
      <c r="W27" s="85">
        <v>1811262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239852</v>
      </c>
      <c r="T28" s="71">
        <v>45</v>
      </c>
      <c r="U28" s="64">
        <v>1586728</v>
      </c>
      <c r="V28" s="88">
        <v>46</v>
      </c>
      <c r="W28" s="90">
        <v>1826580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-1393</v>
      </c>
      <c r="T29" s="76">
        <v>48</v>
      </c>
      <c r="U29" s="108">
        <v>-13925</v>
      </c>
      <c r="V29" s="88">
        <v>49</v>
      </c>
      <c r="W29" s="109">
        <v>-15318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13179</v>
      </c>
      <c r="T30" s="88">
        <v>51</v>
      </c>
      <c r="U30" s="110">
        <v>148801</v>
      </c>
      <c r="V30" s="88">
        <v>52</v>
      </c>
      <c r="W30" s="90">
        <v>161980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5512</v>
      </c>
      <c r="H33" s="122">
        <v>54</v>
      </c>
      <c r="I33" s="64">
        <v>102</v>
      </c>
      <c r="J33" s="122">
        <v>55</v>
      </c>
      <c r="K33" s="64">
        <v>18</v>
      </c>
      <c r="L33" s="122">
        <v>56</v>
      </c>
      <c r="M33" s="64">
        <v>80112</v>
      </c>
      <c r="N33" s="122">
        <v>57</v>
      </c>
      <c r="O33" s="64">
        <v>820</v>
      </c>
      <c r="P33" s="122">
        <v>58</v>
      </c>
      <c r="Q33" s="64">
        <v>582</v>
      </c>
      <c r="R33" s="76">
        <v>59</v>
      </c>
      <c r="S33" s="123">
        <v>5632</v>
      </c>
      <c r="T33" s="124">
        <v>60</v>
      </c>
      <c r="U33" s="123">
        <v>81514</v>
      </c>
      <c r="V33" s="88">
        <v>61</v>
      </c>
      <c r="W33" s="90">
        <v>87146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-1795</v>
      </c>
      <c r="T34" s="126">
        <v>63</v>
      </c>
      <c r="U34" s="64">
        <v>1795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404</v>
      </c>
      <c r="T35" s="126">
        <v>66</v>
      </c>
      <c r="U35" s="64">
        <v>2087</v>
      </c>
      <c r="V35" s="88">
        <v>67</v>
      </c>
      <c r="W35" s="90">
        <v>2491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1265</v>
      </c>
      <c r="T36" s="126">
        <v>69</v>
      </c>
      <c r="U36" s="64">
        <v>14373</v>
      </c>
      <c r="V36" s="88">
        <v>70</v>
      </c>
      <c r="W36" s="90">
        <v>15638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7673</v>
      </c>
      <c r="T37" s="126">
        <v>72</v>
      </c>
      <c r="U37" s="64">
        <v>49032</v>
      </c>
      <c r="V37" s="88">
        <v>73</v>
      </c>
      <c r="W37" s="90">
        <v>56705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251638</v>
      </c>
      <c r="T39" s="124">
        <v>75</v>
      </c>
      <c r="U39" s="123">
        <v>1721604</v>
      </c>
      <c r="V39" s="88">
        <v>76</v>
      </c>
      <c r="W39" s="90">
        <v>1973242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246581</v>
      </c>
      <c r="T40" s="132">
        <v>78</v>
      </c>
      <c r="U40" s="64">
        <v>1691661</v>
      </c>
      <c r="V40" s="88">
        <v>79</v>
      </c>
      <c r="W40" s="90">
        <v>1938242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4058656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2552</v>
      </c>
      <c r="P43" s="134">
        <v>82</v>
      </c>
      <c r="Q43" s="64">
        <v>29617</v>
      </c>
      <c r="R43" s="71">
        <v>83</v>
      </c>
      <c r="S43" s="64">
        <v>4738</v>
      </c>
      <c r="T43" s="71">
        <v>84</v>
      </c>
      <c r="U43" s="64">
        <v>20148</v>
      </c>
      <c r="V43" s="76">
        <v>85</v>
      </c>
      <c r="W43" s="135">
        <v>24886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12309</v>
      </c>
      <c r="P44" s="136">
        <v>87</v>
      </c>
      <c r="Q44" s="64">
        <v>1143</v>
      </c>
      <c r="R44" s="71">
        <v>88</v>
      </c>
      <c r="S44" s="64">
        <v>319</v>
      </c>
      <c r="T44" s="71">
        <v>89</v>
      </c>
      <c r="U44" s="64">
        <v>9795</v>
      </c>
      <c r="V44" s="76">
        <v>90</v>
      </c>
      <c r="W44" s="135">
        <v>10114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12705</v>
      </c>
      <c r="T45" s="71">
        <v>92</v>
      </c>
      <c r="U45" s="64">
        <v>134286</v>
      </c>
      <c r="V45" s="76">
        <v>93</v>
      </c>
      <c r="W45" s="135">
        <v>146991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127</v>
      </c>
      <c r="T46" s="71">
        <v>95</v>
      </c>
      <c r="U46" s="64">
        <v>841</v>
      </c>
      <c r="V46" s="76">
        <v>96</v>
      </c>
      <c r="W46" s="135">
        <v>968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238933</v>
      </c>
      <c r="T47" s="141">
        <v>98</v>
      </c>
      <c r="U47" s="143">
        <v>1587318</v>
      </c>
      <c r="V47" s="88">
        <v>99</v>
      </c>
      <c r="W47" s="90">
        <v>1826251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16594</v>
      </c>
      <c r="T49" s="144">
        <v>101</v>
      </c>
      <c r="U49" s="145">
        <v>80474</v>
      </c>
      <c r="V49" s="98">
        <v>102</v>
      </c>
      <c r="W49" s="146">
        <v>97068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15989</v>
      </c>
      <c r="H52" s="122">
        <v>104</v>
      </c>
      <c r="I52" s="64">
        <v>305</v>
      </c>
      <c r="J52" s="122">
        <v>105</v>
      </c>
      <c r="K52" s="64">
        <v>3</v>
      </c>
      <c r="L52" s="122">
        <v>106</v>
      </c>
      <c r="M52" s="64">
        <v>74986</v>
      </c>
      <c r="N52" s="122">
        <v>107</v>
      </c>
      <c r="O52" s="64">
        <v>1067</v>
      </c>
      <c r="P52" s="122">
        <v>108</v>
      </c>
      <c r="Q52" s="64">
        <v>291</v>
      </c>
      <c r="R52" s="155">
        <v>109</v>
      </c>
      <c r="S52" s="156">
        <v>16297</v>
      </c>
      <c r="T52" s="155">
        <v>110</v>
      </c>
      <c r="U52" s="156">
        <v>76344</v>
      </c>
      <c r="V52" s="76">
        <v>111</v>
      </c>
      <c r="W52" s="135">
        <v>92641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292</v>
      </c>
      <c r="H53" s="122">
        <v>113</v>
      </c>
      <c r="I53" s="64">
        <v>5</v>
      </c>
      <c r="J53" s="122">
        <v>114</v>
      </c>
      <c r="K53" s="64">
        <v>0</v>
      </c>
      <c r="L53" s="122">
        <v>115</v>
      </c>
      <c r="M53" s="64">
        <v>4011</v>
      </c>
      <c r="N53" s="122">
        <v>116</v>
      </c>
      <c r="O53" s="64">
        <v>93</v>
      </c>
      <c r="P53" s="122">
        <v>117</v>
      </c>
      <c r="Q53" s="64">
        <v>26</v>
      </c>
      <c r="R53" s="155">
        <v>118</v>
      </c>
      <c r="S53" s="156">
        <v>297</v>
      </c>
      <c r="T53" s="155">
        <v>119</v>
      </c>
      <c r="U53" s="156">
        <v>4130</v>
      </c>
      <c r="V53" s="76">
        <v>120</v>
      </c>
      <c r="W53" s="135">
        <v>4427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15</v>
      </c>
      <c r="T54" s="162">
        <v>122</v>
      </c>
      <c r="U54" s="64">
        <v>122</v>
      </c>
      <c r="V54" s="76">
        <v>123</v>
      </c>
      <c r="W54" s="135">
        <v>137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362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25518202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349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348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1"/>
    </row>
    <row r="7" spans="1:129">
      <c r="A7" s="189" t="s">
        <v>272</v>
      </c>
      <c r="B7" s="190">
        <v>5</v>
      </c>
      <c r="C7" s="190">
        <v>0</v>
      </c>
      <c r="D7" s="190">
        <v>5</v>
      </c>
      <c r="E7" s="190">
        <v>4</v>
      </c>
      <c r="F7" s="190">
        <v>0</v>
      </c>
      <c r="G7" s="190">
        <v>0</v>
      </c>
      <c r="H7" s="190">
        <v>0</v>
      </c>
      <c r="I7" s="190">
        <v>0</v>
      </c>
      <c r="J7" s="190">
        <v>1</v>
      </c>
      <c r="K7" s="190">
        <v>1</v>
      </c>
      <c r="L7" s="190">
        <v>0</v>
      </c>
      <c r="M7" s="190">
        <v>1</v>
      </c>
      <c r="N7" s="190">
        <v>1</v>
      </c>
      <c r="O7" s="190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5</v>
      </c>
      <c r="Z7" s="190">
        <v>5</v>
      </c>
      <c r="AA7" s="190">
        <v>0</v>
      </c>
      <c r="AB7" s="190">
        <v>3</v>
      </c>
      <c r="AC7" s="190">
        <v>3</v>
      </c>
      <c r="AD7" s="190">
        <v>0</v>
      </c>
      <c r="AE7" s="190">
        <v>2</v>
      </c>
      <c r="AF7" s="190">
        <v>2</v>
      </c>
      <c r="AG7" s="190">
        <v>0</v>
      </c>
      <c r="AH7" s="190">
        <v>1</v>
      </c>
      <c r="AI7" s="190">
        <v>1</v>
      </c>
      <c r="AJ7" s="190">
        <v>0</v>
      </c>
      <c r="AK7" s="190">
        <v>0</v>
      </c>
      <c r="AL7" s="190">
        <v>0</v>
      </c>
      <c r="AM7" s="190">
        <v>0</v>
      </c>
      <c r="AN7" s="190">
        <v>2</v>
      </c>
      <c r="AO7" s="190">
        <v>2</v>
      </c>
      <c r="AP7" s="190">
        <v>0</v>
      </c>
      <c r="AQ7" s="190">
        <v>79</v>
      </c>
      <c r="AR7" s="190">
        <v>79</v>
      </c>
      <c r="AS7" s="190">
        <v>0</v>
      </c>
      <c r="AT7" s="190">
        <v>79</v>
      </c>
      <c r="AU7" s="190">
        <v>79</v>
      </c>
      <c r="AV7" s="190">
        <v>0</v>
      </c>
      <c r="AW7" s="190">
        <v>0</v>
      </c>
      <c r="AX7" s="190">
        <v>0</v>
      </c>
      <c r="AY7" s="190">
        <v>1</v>
      </c>
      <c r="AZ7" s="190">
        <v>7</v>
      </c>
      <c r="BA7" s="190">
        <v>8</v>
      </c>
      <c r="BB7" s="190">
        <v>0</v>
      </c>
      <c r="BC7" s="190">
        <v>0</v>
      </c>
      <c r="BD7" s="190">
        <v>0</v>
      </c>
      <c r="BE7" s="190">
        <v>4</v>
      </c>
      <c r="BF7" s="190">
        <v>0</v>
      </c>
      <c r="BG7" s="190">
        <v>0</v>
      </c>
      <c r="BH7" s="190">
        <v>0</v>
      </c>
      <c r="BI7" s="190">
        <v>4</v>
      </c>
      <c r="BJ7" s="190">
        <v>4</v>
      </c>
      <c r="BK7" s="190">
        <v>1</v>
      </c>
      <c r="BL7" s="190">
        <v>-1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2</v>
      </c>
      <c r="BS7" s="190">
        <v>2</v>
      </c>
      <c r="BT7" s="190">
        <v>0</v>
      </c>
      <c r="BU7" s="190">
        <v>2</v>
      </c>
      <c r="BV7" s="190">
        <v>2</v>
      </c>
      <c r="BW7" s="190">
        <v>1</v>
      </c>
      <c r="BX7" s="190">
        <v>86</v>
      </c>
      <c r="BY7" s="190">
        <v>87</v>
      </c>
      <c r="BZ7" s="190">
        <v>1</v>
      </c>
      <c r="CA7" s="190">
        <v>86</v>
      </c>
      <c r="CB7" s="190">
        <v>87</v>
      </c>
      <c r="CC7" s="190">
        <v>146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4</v>
      </c>
      <c r="CP7" s="190">
        <v>4</v>
      </c>
      <c r="CQ7" s="190">
        <v>0</v>
      </c>
      <c r="CR7" s="190">
        <v>0</v>
      </c>
      <c r="CS7" s="190">
        <v>0</v>
      </c>
      <c r="CT7" s="190">
        <v>1</v>
      </c>
      <c r="CU7" s="190">
        <v>82</v>
      </c>
      <c r="CV7" s="190">
        <v>83</v>
      </c>
      <c r="CW7" s="190">
        <v>0</v>
      </c>
      <c r="CX7" s="190">
        <v>2</v>
      </c>
      <c r="CY7" s="190">
        <v>2</v>
      </c>
      <c r="CZ7" s="190">
        <v>0</v>
      </c>
      <c r="DA7" s="190">
        <v>0</v>
      </c>
      <c r="DB7" s="190">
        <v>0</v>
      </c>
      <c r="DC7" s="190">
        <v>2</v>
      </c>
      <c r="DD7" s="190">
        <v>0</v>
      </c>
      <c r="DE7" s="190">
        <v>0</v>
      </c>
      <c r="DF7" s="190">
        <v>0</v>
      </c>
      <c r="DG7" s="190">
        <v>2</v>
      </c>
      <c r="DH7" s="190">
        <v>2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106</v>
      </c>
      <c r="C8" s="190">
        <v>23</v>
      </c>
      <c r="D8" s="190">
        <v>117</v>
      </c>
      <c r="E8" s="190">
        <v>80</v>
      </c>
      <c r="F8" s="190">
        <v>0</v>
      </c>
      <c r="G8" s="190">
        <v>3</v>
      </c>
      <c r="H8" s="190">
        <v>3</v>
      </c>
      <c r="I8" s="190">
        <v>0</v>
      </c>
      <c r="J8" s="190">
        <v>28</v>
      </c>
      <c r="K8" s="190">
        <v>28</v>
      </c>
      <c r="L8" s="190">
        <v>0</v>
      </c>
      <c r="M8" s="190">
        <v>13</v>
      </c>
      <c r="N8" s="190">
        <v>13</v>
      </c>
      <c r="O8" s="190">
        <v>0</v>
      </c>
      <c r="P8" s="190">
        <v>15</v>
      </c>
      <c r="Q8" s="190">
        <v>15</v>
      </c>
      <c r="R8" s="190">
        <v>0</v>
      </c>
      <c r="S8" s="190">
        <v>1</v>
      </c>
      <c r="T8" s="190">
        <v>1</v>
      </c>
      <c r="U8" s="190">
        <v>0</v>
      </c>
      <c r="V8" s="190">
        <v>9</v>
      </c>
      <c r="W8" s="190">
        <v>9</v>
      </c>
      <c r="X8" s="190">
        <v>0</v>
      </c>
      <c r="Y8" s="190">
        <v>117</v>
      </c>
      <c r="Z8" s="190">
        <v>117</v>
      </c>
      <c r="AA8" s="190">
        <v>0</v>
      </c>
      <c r="AB8" s="190">
        <v>56</v>
      </c>
      <c r="AC8" s="190">
        <v>56</v>
      </c>
      <c r="AD8" s="190">
        <v>0</v>
      </c>
      <c r="AE8" s="190">
        <v>54</v>
      </c>
      <c r="AF8" s="190">
        <v>54</v>
      </c>
      <c r="AG8" s="190">
        <v>0</v>
      </c>
      <c r="AH8" s="190">
        <v>1</v>
      </c>
      <c r="AI8" s="190">
        <v>1</v>
      </c>
      <c r="AJ8" s="190">
        <v>0</v>
      </c>
      <c r="AK8" s="190">
        <v>1</v>
      </c>
      <c r="AL8" s="190">
        <v>1</v>
      </c>
      <c r="AM8" s="190">
        <v>0</v>
      </c>
      <c r="AN8" s="190">
        <v>61</v>
      </c>
      <c r="AO8" s="190">
        <v>61</v>
      </c>
      <c r="AP8" s="190">
        <v>128</v>
      </c>
      <c r="AQ8" s="190">
        <v>1461</v>
      </c>
      <c r="AR8" s="190">
        <v>1589</v>
      </c>
      <c r="AS8" s="190">
        <v>128</v>
      </c>
      <c r="AT8" s="190">
        <v>1461</v>
      </c>
      <c r="AU8" s="190">
        <v>1589</v>
      </c>
      <c r="AV8" s="190">
        <v>0</v>
      </c>
      <c r="AW8" s="190">
        <v>0</v>
      </c>
      <c r="AX8" s="190">
        <v>0</v>
      </c>
      <c r="AY8" s="190">
        <v>4</v>
      </c>
      <c r="AZ8" s="190">
        <v>135</v>
      </c>
      <c r="BA8" s="190">
        <v>139</v>
      </c>
      <c r="BB8" s="190">
        <v>0</v>
      </c>
      <c r="BC8" s="190">
        <v>0</v>
      </c>
      <c r="BD8" s="190">
        <v>0</v>
      </c>
      <c r="BE8" s="190">
        <v>80</v>
      </c>
      <c r="BF8" s="190">
        <v>0</v>
      </c>
      <c r="BG8" s="190">
        <v>0</v>
      </c>
      <c r="BH8" s="190">
        <v>0</v>
      </c>
      <c r="BI8" s="190">
        <v>80</v>
      </c>
      <c r="BJ8" s="190">
        <v>80</v>
      </c>
      <c r="BK8" s="190">
        <v>-2</v>
      </c>
      <c r="BL8" s="190">
        <v>2</v>
      </c>
      <c r="BM8" s="190">
        <v>0</v>
      </c>
      <c r="BN8" s="190">
        <v>2</v>
      </c>
      <c r="BO8" s="190">
        <v>5</v>
      </c>
      <c r="BP8" s="190">
        <v>7</v>
      </c>
      <c r="BQ8" s="190">
        <v>2</v>
      </c>
      <c r="BR8" s="190">
        <v>23</v>
      </c>
      <c r="BS8" s="190">
        <v>25</v>
      </c>
      <c r="BT8" s="190">
        <v>2</v>
      </c>
      <c r="BU8" s="190">
        <v>25</v>
      </c>
      <c r="BV8" s="190">
        <v>27</v>
      </c>
      <c r="BW8" s="190">
        <v>132</v>
      </c>
      <c r="BX8" s="190">
        <v>1596</v>
      </c>
      <c r="BY8" s="190">
        <v>1728</v>
      </c>
      <c r="BZ8" s="190">
        <v>132</v>
      </c>
      <c r="CA8" s="190">
        <v>1590</v>
      </c>
      <c r="CB8" s="190">
        <v>1722</v>
      </c>
      <c r="CC8" s="190">
        <v>3158</v>
      </c>
      <c r="CD8" s="190">
        <v>0</v>
      </c>
      <c r="CE8" s="190">
        <v>5</v>
      </c>
      <c r="CF8" s="190">
        <v>0</v>
      </c>
      <c r="CG8" s="190">
        <v>5</v>
      </c>
      <c r="CH8" s="190">
        <v>5</v>
      </c>
      <c r="CI8" s="190">
        <v>1</v>
      </c>
      <c r="CJ8" s="190">
        <v>0</v>
      </c>
      <c r="CK8" s="190">
        <v>0</v>
      </c>
      <c r="CL8" s="190">
        <v>1</v>
      </c>
      <c r="CM8" s="190">
        <v>1</v>
      </c>
      <c r="CN8" s="190">
        <v>11</v>
      </c>
      <c r="CO8" s="190">
        <v>133</v>
      </c>
      <c r="CP8" s="190">
        <v>144</v>
      </c>
      <c r="CQ8" s="190">
        <v>0</v>
      </c>
      <c r="CR8" s="190">
        <v>0</v>
      </c>
      <c r="CS8" s="190">
        <v>0</v>
      </c>
      <c r="CT8" s="190">
        <v>121</v>
      </c>
      <c r="CU8" s="190">
        <v>1463</v>
      </c>
      <c r="CV8" s="190">
        <v>1584</v>
      </c>
      <c r="CW8" s="190">
        <v>8</v>
      </c>
      <c r="CX8" s="190">
        <v>78</v>
      </c>
      <c r="CY8" s="190">
        <v>86</v>
      </c>
      <c r="CZ8" s="190">
        <v>8</v>
      </c>
      <c r="DA8" s="190">
        <v>0</v>
      </c>
      <c r="DB8" s="190">
        <v>0</v>
      </c>
      <c r="DC8" s="190">
        <v>77</v>
      </c>
      <c r="DD8" s="190">
        <v>0</v>
      </c>
      <c r="DE8" s="190">
        <v>0</v>
      </c>
      <c r="DF8" s="190">
        <v>8</v>
      </c>
      <c r="DG8" s="190">
        <v>77</v>
      </c>
      <c r="DH8" s="190">
        <v>85</v>
      </c>
      <c r="DI8" s="190">
        <v>0</v>
      </c>
      <c r="DJ8" s="190">
        <v>0</v>
      </c>
      <c r="DK8" s="190">
        <v>0</v>
      </c>
      <c r="DL8" s="190">
        <v>1</v>
      </c>
      <c r="DM8" s="190">
        <v>0</v>
      </c>
      <c r="DN8" s="190">
        <v>0</v>
      </c>
      <c r="DO8" s="190">
        <v>0</v>
      </c>
      <c r="DP8" s="190">
        <v>1</v>
      </c>
      <c r="DQ8" s="190">
        <v>1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1360</v>
      </c>
      <c r="C9" s="190">
        <v>441</v>
      </c>
      <c r="D9" s="190">
        <v>1485</v>
      </c>
      <c r="E9" s="190">
        <v>848</v>
      </c>
      <c r="F9" s="190">
        <v>3</v>
      </c>
      <c r="G9" s="190">
        <v>134</v>
      </c>
      <c r="H9" s="190">
        <v>137</v>
      </c>
      <c r="I9" s="190">
        <v>0</v>
      </c>
      <c r="J9" s="190">
        <v>574</v>
      </c>
      <c r="K9" s="190">
        <v>574</v>
      </c>
      <c r="L9" s="190">
        <v>0</v>
      </c>
      <c r="M9" s="190">
        <v>214</v>
      </c>
      <c r="N9" s="190">
        <v>214</v>
      </c>
      <c r="O9" s="190">
        <v>0</v>
      </c>
      <c r="P9" s="190">
        <v>360</v>
      </c>
      <c r="Q9" s="190">
        <v>360</v>
      </c>
      <c r="R9" s="190">
        <v>0</v>
      </c>
      <c r="S9" s="190">
        <v>31</v>
      </c>
      <c r="T9" s="190">
        <v>31</v>
      </c>
      <c r="U9" s="190">
        <v>0</v>
      </c>
      <c r="V9" s="190">
        <v>63</v>
      </c>
      <c r="W9" s="190">
        <v>63</v>
      </c>
      <c r="X9" s="190">
        <v>28</v>
      </c>
      <c r="Y9" s="190">
        <v>1456</v>
      </c>
      <c r="Z9" s="190">
        <v>1484</v>
      </c>
      <c r="AA9" s="190">
        <v>18</v>
      </c>
      <c r="AB9" s="190">
        <v>579</v>
      </c>
      <c r="AC9" s="190">
        <v>597</v>
      </c>
      <c r="AD9" s="190">
        <v>16</v>
      </c>
      <c r="AE9" s="190">
        <v>547</v>
      </c>
      <c r="AF9" s="190">
        <v>563</v>
      </c>
      <c r="AG9" s="190">
        <v>0</v>
      </c>
      <c r="AH9" s="190">
        <v>19</v>
      </c>
      <c r="AI9" s="190">
        <v>19</v>
      </c>
      <c r="AJ9" s="190">
        <v>2</v>
      </c>
      <c r="AK9" s="190">
        <v>13</v>
      </c>
      <c r="AL9" s="190">
        <v>15</v>
      </c>
      <c r="AM9" s="190">
        <v>10</v>
      </c>
      <c r="AN9" s="190">
        <v>877</v>
      </c>
      <c r="AO9" s="190">
        <v>887</v>
      </c>
      <c r="AP9" s="190">
        <v>1555</v>
      </c>
      <c r="AQ9" s="190">
        <v>13763</v>
      </c>
      <c r="AR9" s="190">
        <v>15318</v>
      </c>
      <c r="AS9" s="190">
        <v>1555</v>
      </c>
      <c r="AT9" s="190">
        <v>13763</v>
      </c>
      <c r="AU9" s="190">
        <v>15318</v>
      </c>
      <c r="AV9" s="190">
        <v>0</v>
      </c>
      <c r="AW9" s="190">
        <v>0</v>
      </c>
      <c r="AX9" s="190">
        <v>0</v>
      </c>
      <c r="AY9" s="190">
        <v>48</v>
      </c>
      <c r="AZ9" s="190">
        <v>1501</v>
      </c>
      <c r="BA9" s="190">
        <v>1549</v>
      </c>
      <c r="BB9" s="190">
        <v>30</v>
      </c>
      <c r="BC9" s="190">
        <v>1</v>
      </c>
      <c r="BD9" s="190">
        <v>0</v>
      </c>
      <c r="BE9" s="190">
        <v>814</v>
      </c>
      <c r="BF9" s="190">
        <v>3</v>
      </c>
      <c r="BG9" s="190">
        <v>0</v>
      </c>
      <c r="BH9" s="190">
        <v>31</v>
      </c>
      <c r="BI9" s="190">
        <v>817</v>
      </c>
      <c r="BJ9" s="190">
        <v>848</v>
      </c>
      <c r="BK9" s="190">
        <v>-52</v>
      </c>
      <c r="BL9" s="190">
        <v>52</v>
      </c>
      <c r="BM9" s="190">
        <v>0</v>
      </c>
      <c r="BN9" s="190">
        <v>5</v>
      </c>
      <c r="BO9" s="190">
        <v>23</v>
      </c>
      <c r="BP9" s="190">
        <v>28</v>
      </c>
      <c r="BQ9" s="190">
        <v>13</v>
      </c>
      <c r="BR9" s="190">
        <v>216</v>
      </c>
      <c r="BS9" s="190">
        <v>229</v>
      </c>
      <c r="BT9" s="190">
        <v>51</v>
      </c>
      <c r="BU9" s="190">
        <v>393</v>
      </c>
      <c r="BV9" s="190">
        <v>444</v>
      </c>
      <c r="BW9" s="190">
        <v>1603</v>
      </c>
      <c r="BX9" s="190">
        <v>15264</v>
      </c>
      <c r="BY9" s="190">
        <v>16867</v>
      </c>
      <c r="BZ9" s="190">
        <v>1595</v>
      </c>
      <c r="CA9" s="190">
        <v>15198</v>
      </c>
      <c r="CB9" s="190">
        <v>16793</v>
      </c>
      <c r="CC9" s="190">
        <v>31308</v>
      </c>
      <c r="CD9" s="190">
        <v>6</v>
      </c>
      <c r="CE9" s="190">
        <v>47</v>
      </c>
      <c r="CF9" s="190">
        <v>8</v>
      </c>
      <c r="CG9" s="190">
        <v>42</v>
      </c>
      <c r="CH9" s="190">
        <v>50</v>
      </c>
      <c r="CI9" s="190">
        <v>25</v>
      </c>
      <c r="CJ9" s="190">
        <v>3</v>
      </c>
      <c r="CK9" s="190">
        <v>0</v>
      </c>
      <c r="CL9" s="190">
        <v>24</v>
      </c>
      <c r="CM9" s="190">
        <v>24</v>
      </c>
      <c r="CN9" s="190">
        <v>104</v>
      </c>
      <c r="CO9" s="190">
        <v>1259</v>
      </c>
      <c r="CP9" s="190">
        <v>1363</v>
      </c>
      <c r="CQ9" s="190">
        <v>0</v>
      </c>
      <c r="CR9" s="190">
        <v>9</v>
      </c>
      <c r="CS9" s="190">
        <v>9</v>
      </c>
      <c r="CT9" s="190">
        <v>1499</v>
      </c>
      <c r="CU9" s="190">
        <v>14005</v>
      </c>
      <c r="CV9" s="190">
        <v>15504</v>
      </c>
      <c r="CW9" s="190">
        <v>132</v>
      </c>
      <c r="CX9" s="190">
        <v>708</v>
      </c>
      <c r="CY9" s="190">
        <v>840</v>
      </c>
      <c r="CZ9" s="190">
        <v>131</v>
      </c>
      <c r="DA9" s="190">
        <v>1</v>
      </c>
      <c r="DB9" s="190">
        <v>0</v>
      </c>
      <c r="DC9" s="190">
        <v>692</v>
      </c>
      <c r="DD9" s="190">
        <v>2</v>
      </c>
      <c r="DE9" s="190">
        <v>3</v>
      </c>
      <c r="DF9" s="190">
        <v>132</v>
      </c>
      <c r="DG9" s="190">
        <v>697</v>
      </c>
      <c r="DH9" s="190">
        <v>829</v>
      </c>
      <c r="DI9" s="190">
        <v>0</v>
      </c>
      <c r="DJ9" s="190">
        <v>0</v>
      </c>
      <c r="DK9" s="190">
        <v>0</v>
      </c>
      <c r="DL9" s="190">
        <v>10</v>
      </c>
      <c r="DM9" s="190">
        <v>1</v>
      </c>
      <c r="DN9" s="190">
        <v>0</v>
      </c>
      <c r="DO9" s="190">
        <v>0</v>
      </c>
      <c r="DP9" s="190">
        <v>11</v>
      </c>
      <c r="DQ9" s="190">
        <v>11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171</v>
      </c>
      <c r="C10" s="190">
        <v>37</v>
      </c>
      <c r="D10" s="190">
        <v>187</v>
      </c>
      <c r="E10" s="190">
        <v>135</v>
      </c>
      <c r="F10" s="190">
        <v>0</v>
      </c>
      <c r="G10" s="190">
        <v>3</v>
      </c>
      <c r="H10" s="190">
        <v>3</v>
      </c>
      <c r="I10" s="190">
        <v>0</v>
      </c>
      <c r="J10" s="190">
        <v>44</v>
      </c>
      <c r="K10" s="190">
        <v>44</v>
      </c>
      <c r="L10" s="190">
        <v>0</v>
      </c>
      <c r="M10" s="190">
        <v>21</v>
      </c>
      <c r="N10" s="190">
        <v>21</v>
      </c>
      <c r="O10" s="190">
        <v>0</v>
      </c>
      <c r="P10" s="190">
        <v>23</v>
      </c>
      <c r="Q10" s="190">
        <v>23</v>
      </c>
      <c r="R10" s="190">
        <v>0</v>
      </c>
      <c r="S10" s="190">
        <v>0</v>
      </c>
      <c r="T10" s="190">
        <v>0</v>
      </c>
      <c r="U10" s="190">
        <v>0</v>
      </c>
      <c r="V10" s="190">
        <v>8</v>
      </c>
      <c r="W10" s="190">
        <v>8</v>
      </c>
      <c r="X10" s="190">
        <v>7</v>
      </c>
      <c r="Y10" s="190">
        <v>180</v>
      </c>
      <c r="Z10" s="190">
        <v>187</v>
      </c>
      <c r="AA10" s="190">
        <v>3</v>
      </c>
      <c r="AB10" s="190">
        <v>87</v>
      </c>
      <c r="AC10" s="190">
        <v>90</v>
      </c>
      <c r="AD10" s="190">
        <v>2</v>
      </c>
      <c r="AE10" s="190">
        <v>82</v>
      </c>
      <c r="AF10" s="190">
        <v>84</v>
      </c>
      <c r="AG10" s="190">
        <v>1</v>
      </c>
      <c r="AH10" s="190">
        <v>4</v>
      </c>
      <c r="AI10" s="190">
        <v>5</v>
      </c>
      <c r="AJ10" s="190">
        <v>0</v>
      </c>
      <c r="AK10" s="190">
        <v>1</v>
      </c>
      <c r="AL10" s="190">
        <v>1</v>
      </c>
      <c r="AM10" s="190">
        <v>4</v>
      </c>
      <c r="AN10" s="190">
        <v>93</v>
      </c>
      <c r="AO10" s="190">
        <v>97</v>
      </c>
      <c r="AP10" s="190">
        <v>180</v>
      </c>
      <c r="AQ10" s="190">
        <v>2453</v>
      </c>
      <c r="AR10" s="190">
        <v>2633</v>
      </c>
      <c r="AS10" s="190">
        <v>180</v>
      </c>
      <c r="AT10" s="190">
        <v>2454</v>
      </c>
      <c r="AU10" s="190">
        <v>2634</v>
      </c>
      <c r="AV10" s="190">
        <v>0</v>
      </c>
      <c r="AW10" s="190">
        <v>-1</v>
      </c>
      <c r="AX10" s="190">
        <v>-1</v>
      </c>
      <c r="AY10" s="190">
        <v>16</v>
      </c>
      <c r="AZ10" s="190">
        <v>222</v>
      </c>
      <c r="BA10" s="190">
        <v>238</v>
      </c>
      <c r="BB10" s="190">
        <v>8</v>
      </c>
      <c r="BC10" s="190">
        <v>0</v>
      </c>
      <c r="BD10" s="190">
        <v>0</v>
      </c>
      <c r="BE10" s="190">
        <v>127</v>
      </c>
      <c r="BF10" s="190">
        <v>0</v>
      </c>
      <c r="BG10" s="190">
        <v>0</v>
      </c>
      <c r="BH10" s="190">
        <v>8</v>
      </c>
      <c r="BI10" s="190">
        <v>127</v>
      </c>
      <c r="BJ10" s="190">
        <v>135</v>
      </c>
      <c r="BK10" s="190">
        <v>-1</v>
      </c>
      <c r="BL10" s="190">
        <v>1</v>
      </c>
      <c r="BM10" s="190">
        <v>0</v>
      </c>
      <c r="BN10" s="190">
        <v>1</v>
      </c>
      <c r="BO10" s="190">
        <v>7</v>
      </c>
      <c r="BP10" s="190">
        <v>8</v>
      </c>
      <c r="BQ10" s="190">
        <v>2</v>
      </c>
      <c r="BR10" s="190">
        <v>24</v>
      </c>
      <c r="BS10" s="190">
        <v>26</v>
      </c>
      <c r="BT10" s="190">
        <v>6</v>
      </c>
      <c r="BU10" s="190">
        <v>63</v>
      </c>
      <c r="BV10" s="190">
        <v>69</v>
      </c>
      <c r="BW10" s="190">
        <v>196</v>
      </c>
      <c r="BX10" s="190">
        <v>2675</v>
      </c>
      <c r="BY10" s="190">
        <v>2871</v>
      </c>
      <c r="BZ10" s="190">
        <v>196</v>
      </c>
      <c r="CA10" s="190">
        <v>2664</v>
      </c>
      <c r="CB10" s="190">
        <v>2860</v>
      </c>
      <c r="CC10" s="190">
        <v>5147</v>
      </c>
      <c r="CD10" s="190">
        <v>2</v>
      </c>
      <c r="CE10" s="190">
        <v>6</v>
      </c>
      <c r="CF10" s="190">
        <v>0</v>
      </c>
      <c r="CG10" s="190">
        <v>7</v>
      </c>
      <c r="CH10" s="190">
        <v>7</v>
      </c>
      <c r="CI10" s="190">
        <v>5</v>
      </c>
      <c r="CJ10" s="190">
        <v>0</v>
      </c>
      <c r="CK10" s="190">
        <v>0</v>
      </c>
      <c r="CL10" s="190">
        <v>4</v>
      </c>
      <c r="CM10" s="190">
        <v>4</v>
      </c>
      <c r="CN10" s="190">
        <v>11</v>
      </c>
      <c r="CO10" s="190">
        <v>233</v>
      </c>
      <c r="CP10" s="190">
        <v>244</v>
      </c>
      <c r="CQ10" s="190">
        <v>0</v>
      </c>
      <c r="CR10" s="190">
        <v>0</v>
      </c>
      <c r="CS10" s="190">
        <v>0</v>
      </c>
      <c r="CT10" s="190">
        <v>185</v>
      </c>
      <c r="CU10" s="190">
        <v>2442</v>
      </c>
      <c r="CV10" s="190">
        <v>2627</v>
      </c>
      <c r="CW10" s="190">
        <v>13</v>
      </c>
      <c r="CX10" s="190">
        <v>125</v>
      </c>
      <c r="CY10" s="190">
        <v>138</v>
      </c>
      <c r="CZ10" s="190">
        <v>13</v>
      </c>
      <c r="DA10" s="190">
        <v>0</v>
      </c>
      <c r="DB10" s="190">
        <v>0</v>
      </c>
      <c r="DC10" s="190">
        <v>124</v>
      </c>
      <c r="DD10" s="190">
        <v>1</v>
      </c>
      <c r="DE10" s="190">
        <v>0</v>
      </c>
      <c r="DF10" s="190">
        <v>13</v>
      </c>
      <c r="DG10" s="190">
        <v>125</v>
      </c>
      <c r="DH10" s="190">
        <v>138</v>
      </c>
      <c r="DI10" s="190">
        <v>0</v>
      </c>
      <c r="DJ10" s="190">
        <v>0</v>
      </c>
      <c r="DK10" s="190">
        <v>0</v>
      </c>
      <c r="DL10" s="190">
        <v>0</v>
      </c>
      <c r="DM10" s="190">
        <v>0</v>
      </c>
      <c r="DN10" s="190">
        <v>0</v>
      </c>
      <c r="DO10" s="190">
        <v>0</v>
      </c>
      <c r="DP10" s="190">
        <v>0</v>
      </c>
      <c r="DQ10" s="190">
        <v>0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50</v>
      </c>
      <c r="C11" s="190">
        <v>3</v>
      </c>
      <c r="D11" s="190">
        <v>51</v>
      </c>
      <c r="E11" s="190">
        <v>26</v>
      </c>
      <c r="F11" s="190">
        <v>0</v>
      </c>
      <c r="G11" s="190">
        <v>0</v>
      </c>
      <c r="H11" s="190">
        <v>0</v>
      </c>
      <c r="I11" s="190">
        <v>0</v>
      </c>
      <c r="J11" s="190">
        <v>22</v>
      </c>
      <c r="K11" s="190">
        <v>22</v>
      </c>
      <c r="L11" s="190">
        <v>0</v>
      </c>
      <c r="M11" s="190">
        <v>5</v>
      </c>
      <c r="N11" s="190">
        <v>5</v>
      </c>
      <c r="O11" s="190">
        <v>0</v>
      </c>
      <c r="P11" s="190">
        <v>17</v>
      </c>
      <c r="Q11" s="190">
        <v>17</v>
      </c>
      <c r="R11" s="190">
        <v>0</v>
      </c>
      <c r="S11" s="190">
        <v>0</v>
      </c>
      <c r="T11" s="190">
        <v>0</v>
      </c>
      <c r="U11" s="190">
        <v>0</v>
      </c>
      <c r="V11" s="190">
        <v>3</v>
      </c>
      <c r="W11" s="190">
        <v>3</v>
      </c>
      <c r="X11" s="190">
        <v>0</v>
      </c>
      <c r="Y11" s="190">
        <v>51</v>
      </c>
      <c r="Z11" s="190">
        <v>51</v>
      </c>
      <c r="AA11" s="190">
        <v>0</v>
      </c>
      <c r="AB11" s="190">
        <v>18</v>
      </c>
      <c r="AC11" s="190">
        <v>18</v>
      </c>
      <c r="AD11" s="190">
        <v>0</v>
      </c>
      <c r="AE11" s="190">
        <v>18</v>
      </c>
      <c r="AF11" s="190">
        <v>18</v>
      </c>
      <c r="AG11" s="190">
        <v>0</v>
      </c>
      <c r="AH11" s="190">
        <v>0</v>
      </c>
      <c r="AI11" s="190">
        <v>0</v>
      </c>
      <c r="AJ11" s="190">
        <v>0</v>
      </c>
      <c r="AK11" s="190">
        <v>0</v>
      </c>
      <c r="AL11" s="190">
        <v>0</v>
      </c>
      <c r="AM11" s="190">
        <v>0</v>
      </c>
      <c r="AN11" s="190">
        <v>33</v>
      </c>
      <c r="AO11" s="190">
        <v>33</v>
      </c>
      <c r="AP11" s="190">
        <v>79</v>
      </c>
      <c r="AQ11" s="190">
        <v>578</v>
      </c>
      <c r="AR11" s="190">
        <v>657</v>
      </c>
      <c r="AS11" s="190">
        <v>79</v>
      </c>
      <c r="AT11" s="190">
        <v>578</v>
      </c>
      <c r="AU11" s="190">
        <v>657</v>
      </c>
      <c r="AV11" s="190">
        <v>0</v>
      </c>
      <c r="AW11" s="190">
        <v>0</v>
      </c>
      <c r="AX11" s="190">
        <v>0</v>
      </c>
      <c r="AY11" s="190">
        <v>11</v>
      </c>
      <c r="AZ11" s="190">
        <v>39</v>
      </c>
      <c r="BA11" s="190">
        <v>50</v>
      </c>
      <c r="BB11" s="190">
        <v>1</v>
      </c>
      <c r="BC11" s="190">
        <v>0</v>
      </c>
      <c r="BD11" s="190">
        <v>0</v>
      </c>
      <c r="BE11" s="190">
        <v>25</v>
      </c>
      <c r="BF11" s="190">
        <v>0</v>
      </c>
      <c r="BG11" s="190">
        <v>0</v>
      </c>
      <c r="BH11" s="190">
        <v>1</v>
      </c>
      <c r="BI11" s="190">
        <v>25</v>
      </c>
      <c r="BJ11" s="190">
        <v>26</v>
      </c>
      <c r="BK11" s="190">
        <v>5</v>
      </c>
      <c r="BL11" s="190">
        <v>-5</v>
      </c>
      <c r="BM11" s="190">
        <v>0</v>
      </c>
      <c r="BN11" s="190">
        <v>1</v>
      </c>
      <c r="BO11" s="190">
        <v>3</v>
      </c>
      <c r="BP11" s="190">
        <v>4</v>
      </c>
      <c r="BQ11" s="190">
        <v>1</v>
      </c>
      <c r="BR11" s="190">
        <v>0</v>
      </c>
      <c r="BS11" s="190">
        <v>1</v>
      </c>
      <c r="BT11" s="190">
        <v>3</v>
      </c>
      <c r="BU11" s="190">
        <v>16</v>
      </c>
      <c r="BV11" s="190">
        <v>19</v>
      </c>
      <c r="BW11" s="190">
        <v>90</v>
      </c>
      <c r="BX11" s="190">
        <v>617</v>
      </c>
      <c r="BY11" s="190">
        <v>707</v>
      </c>
      <c r="BZ11" s="190">
        <v>88</v>
      </c>
      <c r="CA11" s="190">
        <v>614</v>
      </c>
      <c r="CB11" s="190">
        <v>702</v>
      </c>
      <c r="CC11" s="190">
        <v>1663</v>
      </c>
      <c r="CD11" s="190">
        <v>1</v>
      </c>
      <c r="CE11" s="190">
        <v>3</v>
      </c>
      <c r="CF11" s="190">
        <v>2</v>
      </c>
      <c r="CG11" s="190">
        <v>2</v>
      </c>
      <c r="CH11" s="190">
        <v>4</v>
      </c>
      <c r="CI11" s="190">
        <v>1</v>
      </c>
      <c r="CJ11" s="190">
        <v>0</v>
      </c>
      <c r="CK11" s="190">
        <v>0</v>
      </c>
      <c r="CL11" s="190">
        <v>1</v>
      </c>
      <c r="CM11" s="190">
        <v>1</v>
      </c>
      <c r="CN11" s="190">
        <v>10</v>
      </c>
      <c r="CO11" s="190">
        <v>45</v>
      </c>
      <c r="CP11" s="190">
        <v>55</v>
      </c>
      <c r="CQ11" s="190">
        <v>0</v>
      </c>
      <c r="CR11" s="190">
        <v>0</v>
      </c>
      <c r="CS11" s="190">
        <v>0</v>
      </c>
      <c r="CT11" s="190">
        <v>80</v>
      </c>
      <c r="CU11" s="190">
        <v>572</v>
      </c>
      <c r="CV11" s="190">
        <v>652</v>
      </c>
      <c r="CW11" s="190">
        <v>4</v>
      </c>
      <c r="CX11" s="190">
        <v>19</v>
      </c>
      <c r="CY11" s="190">
        <v>23</v>
      </c>
      <c r="CZ11" s="190">
        <v>4</v>
      </c>
      <c r="DA11" s="190">
        <v>0</v>
      </c>
      <c r="DB11" s="190">
        <v>0</v>
      </c>
      <c r="DC11" s="190">
        <v>19</v>
      </c>
      <c r="DD11" s="190">
        <v>0</v>
      </c>
      <c r="DE11" s="190">
        <v>0</v>
      </c>
      <c r="DF11" s="190">
        <v>4</v>
      </c>
      <c r="DG11" s="190">
        <v>19</v>
      </c>
      <c r="DH11" s="190">
        <v>23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2215</v>
      </c>
      <c r="C12" s="190">
        <v>618</v>
      </c>
      <c r="D12" s="190">
        <v>2010</v>
      </c>
      <c r="E12" s="190">
        <v>1114</v>
      </c>
      <c r="F12" s="190">
        <v>3</v>
      </c>
      <c r="G12" s="190">
        <v>28</v>
      </c>
      <c r="H12" s="190">
        <v>31</v>
      </c>
      <c r="I12" s="190">
        <v>2</v>
      </c>
      <c r="J12" s="190">
        <v>829</v>
      </c>
      <c r="K12" s="190">
        <v>831</v>
      </c>
      <c r="L12" s="190">
        <v>0</v>
      </c>
      <c r="M12" s="190">
        <v>244</v>
      </c>
      <c r="N12" s="190">
        <v>244</v>
      </c>
      <c r="O12" s="190">
        <v>2</v>
      </c>
      <c r="P12" s="190">
        <v>585</v>
      </c>
      <c r="Q12" s="190">
        <v>587</v>
      </c>
      <c r="R12" s="190">
        <v>1</v>
      </c>
      <c r="S12" s="190">
        <v>51</v>
      </c>
      <c r="T12" s="190">
        <v>52</v>
      </c>
      <c r="U12" s="190">
        <v>0</v>
      </c>
      <c r="V12" s="190">
        <v>65</v>
      </c>
      <c r="W12" s="190">
        <v>65</v>
      </c>
      <c r="X12" s="190">
        <v>34</v>
      </c>
      <c r="Y12" s="190">
        <v>981</v>
      </c>
      <c r="Z12" s="190">
        <v>1015</v>
      </c>
      <c r="AA12" s="190">
        <v>22</v>
      </c>
      <c r="AB12" s="190">
        <v>522</v>
      </c>
      <c r="AC12" s="190">
        <v>544</v>
      </c>
      <c r="AD12" s="190">
        <v>20</v>
      </c>
      <c r="AE12" s="190">
        <v>513</v>
      </c>
      <c r="AF12" s="190">
        <v>533</v>
      </c>
      <c r="AG12" s="190">
        <v>1</v>
      </c>
      <c r="AH12" s="190">
        <v>8</v>
      </c>
      <c r="AI12" s="190">
        <v>9</v>
      </c>
      <c r="AJ12" s="190">
        <v>1</v>
      </c>
      <c r="AK12" s="190">
        <v>1</v>
      </c>
      <c r="AL12" s="190">
        <v>2</v>
      </c>
      <c r="AM12" s="190">
        <v>12</v>
      </c>
      <c r="AN12" s="190">
        <v>459</v>
      </c>
      <c r="AO12" s="190">
        <v>471</v>
      </c>
      <c r="AP12" s="190">
        <v>3746</v>
      </c>
      <c r="AQ12" s="190">
        <v>25046</v>
      </c>
      <c r="AR12" s="190">
        <v>28792</v>
      </c>
      <c r="AS12" s="190">
        <v>3702</v>
      </c>
      <c r="AT12" s="190">
        <v>24866</v>
      </c>
      <c r="AU12" s="190">
        <v>28568</v>
      </c>
      <c r="AV12" s="190">
        <v>44</v>
      </c>
      <c r="AW12" s="190">
        <v>180</v>
      </c>
      <c r="AX12" s="190">
        <v>224</v>
      </c>
      <c r="AY12" s="190">
        <v>132</v>
      </c>
      <c r="AZ12" s="190">
        <v>2709</v>
      </c>
      <c r="BA12" s="190">
        <v>2841</v>
      </c>
      <c r="BB12" s="190">
        <v>84</v>
      </c>
      <c r="BC12" s="190">
        <v>3</v>
      </c>
      <c r="BD12" s="190">
        <v>0</v>
      </c>
      <c r="BE12" s="190">
        <v>1000</v>
      </c>
      <c r="BF12" s="190">
        <v>16</v>
      </c>
      <c r="BG12" s="190">
        <v>11</v>
      </c>
      <c r="BH12" s="190">
        <v>87</v>
      </c>
      <c r="BI12" s="190">
        <v>1027</v>
      </c>
      <c r="BJ12" s="190">
        <v>1114</v>
      </c>
      <c r="BK12" s="190">
        <v>-107</v>
      </c>
      <c r="BL12" s="190">
        <v>107</v>
      </c>
      <c r="BM12" s="190">
        <v>0</v>
      </c>
      <c r="BN12" s="190">
        <v>11</v>
      </c>
      <c r="BO12" s="190">
        <v>80</v>
      </c>
      <c r="BP12" s="190">
        <v>91</v>
      </c>
      <c r="BQ12" s="190">
        <v>5</v>
      </c>
      <c r="BR12" s="190">
        <v>41</v>
      </c>
      <c r="BS12" s="190">
        <v>46</v>
      </c>
      <c r="BT12" s="190">
        <v>136</v>
      </c>
      <c r="BU12" s="190">
        <v>1454</v>
      </c>
      <c r="BV12" s="190">
        <v>1590</v>
      </c>
      <c r="BW12" s="190">
        <v>3878</v>
      </c>
      <c r="BX12" s="190">
        <v>27755</v>
      </c>
      <c r="BY12" s="190">
        <v>31633</v>
      </c>
      <c r="BZ12" s="190">
        <v>3774</v>
      </c>
      <c r="CA12" s="190">
        <v>27239</v>
      </c>
      <c r="CB12" s="190">
        <v>31013</v>
      </c>
      <c r="CC12" s="190">
        <v>63527</v>
      </c>
      <c r="CD12" s="190">
        <v>36</v>
      </c>
      <c r="CE12" s="190">
        <v>639</v>
      </c>
      <c r="CF12" s="190">
        <v>103</v>
      </c>
      <c r="CG12" s="190">
        <v>382</v>
      </c>
      <c r="CH12" s="190">
        <v>485</v>
      </c>
      <c r="CI12" s="190">
        <v>163</v>
      </c>
      <c r="CJ12" s="190">
        <v>17</v>
      </c>
      <c r="CK12" s="190">
        <v>1</v>
      </c>
      <c r="CL12" s="190">
        <v>134</v>
      </c>
      <c r="CM12" s="190">
        <v>135</v>
      </c>
      <c r="CN12" s="190">
        <v>192</v>
      </c>
      <c r="CO12" s="190">
        <v>2675</v>
      </c>
      <c r="CP12" s="190">
        <v>2867</v>
      </c>
      <c r="CQ12" s="190">
        <v>0</v>
      </c>
      <c r="CR12" s="190">
        <v>0</v>
      </c>
      <c r="CS12" s="190">
        <v>0</v>
      </c>
      <c r="CT12" s="190">
        <v>3686</v>
      </c>
      <c r="CU12" s="190">
        <v>25080</v>
      </c>
      <c r="CV12" s="190">
        <v>28766</v>
      </c>
      <c r="CW12" s="190">
        <v>290</v>
      </c>
      <c r="CX12" s="190">
        <v>1504</v>
      </c>
      <c r="CY12" s="190">
        <v>1794</v>
      </c>
      <c r="CZ12" s="190">
        <v>277</v>
      </c>
      <c r="DA12" s="190">
        <v>8</v>
      </c>
      <c r="DB12" s="190">
        <v>0</v>
      </c>
      <c r="DC12" s="190">
        <v>1414</v>
      </c>
      <c r="DD12" s="190">
        <v>31</v>
      </c>
      <c r="DE12" s="190">
        <v>4</v>
      </c>
      <c r="DF12" s="190">
        <v>285</v>
      </c>
      <c r="DG12" s="190">
        <v>1449</v>
      </c>
      <c r="DH12" s="190">
        <v>1734</v>
      </c>
      <c r="DI12" s="190">
        <v>5</v>
      </c>
      <c r="DJ12" s="190">
        <v>0</v>
      </c>
      <c r="DK12" s="190">
        <v>0</v>
      </c>
      <c r="DL12" s="190">
        <v>52</v>
      </c>
      <c r="DM12" s="190">
        <v>3</v>
      </c>
      <c r="DN12" s="190">
        <v>0</v>
      </c>
      <c r="DO12" s="190">
        <v>5</v>
      </c>
      <c r="DP12" s="190">
        <v>55</v>
      </c>
      <c r="DQ12" s="190">
        <v>60</v>
      </c>
      <c r="DR12" s="190">
        <v>0</v>
      </c>
      <c r="DS12" s="190">
        <v>2</v>
      </c>
      <c r="DT12" s="191">
        <v>2</v>
      </c>
    </row>
    <row r="13" spans="1:129">
      <c r="A13" s="189" t="s">
        <v>278</v>
      </c>
      <c r="B13" s="190">
        <v>189</v>
      </c>
      <c r="C13" s="190">
        <v>20</v>
      </c>
      <c r="D13" s="190">
        <v>181</v>
      </c>
      <c r="E13" s="190">
        <v>86</v>
      </c>
      <c r="F13" s="190">
        <v>0</v>
      </c>
      <c r="G13" s="190">
        <v>1</v>
      </c>
      <c r="H13" s="190">
        <v>1</v>
      </c>
      <c r="I13" s="190">
        <v>0</v>
      </c>
      <c r="J13" s="190">
        <v>85</v>
      </c>
      <c r="K13" s="190">
        <v>85</v>
      </c>
      <c r="L13" s="190">
        <v>0</v>
      </c>
      <c r="M13" s="190">
        <v>35</v>
      </c>
      <c r="N13" s="190">
        <v>35</v>
      </c>
      <c r="O13" s="190">
        <v>0</v>
      </c>
      <c r="P13" s="190">
        <v>50</v>
      </c>
      <c r="Q13" s="190">
        <v>50</v>
      </c>
      <c r="R13" s="190">
        <v>0</v>
      </c>
      <c r="S13" s="190">
        <v>1</v>
      </c>
      <c r="T13" s="190">
        <v>1</v>
      </c>
      <c r="U13" s="190">
        <v>0</v>
      </c>
      <c r="V13" s="190">
        <v>10</v>
      </c>
      <c r="W13" s="190">
        <v>10</v>
      </c>
      <c r="X13" s="190">
        <v>3</v>
      </c>
      <c r="Y13" s="190">
        <v>177</v>
      </c>
      <c r="Z13" s="190">
        <v>180</v>
      </c>
      <c r="AA13" s="190">
        <v>1</v>
      </c>
      <c r="AB13" s="190">
        <v>60</v>
      </c>
      <c r="AC13" s="190">
        <v>61</v>
      </c>
      <c r="AD13" s="190">
        <v>1</v>
      </c>
      <c r="AE13" s="190">
        <v>56</v>
      </c>
      <c r="AF13" s="190">
        <v>57</v>
      </c>
      <c r="AG13" s="190">
        <v>0</v>
      </c>
      <c r="AH13" s="190">
        <v>2</v>
      </c>
      <c r="AI13" s="190">
        <v>2</v>
      </c>
      <c r="AJ13" s="190">
        <v>0</v>
      </c>
      <c r="AK13" s="190">
        <v>2</v>
      </c>
      <c r="AL13" s="190">
        <v>2</v>
      </c>
      <c r="AM13" s="190">
        <v>2</v>
      </c>
      <c r="AN13" s="190">
        <v>117</v>
      </c>
      <c r="AO13" s="190">
        <v>119</v>
      </c>
      <c r="AP13" s="190">
        <v>352</v>
      </c>
      <c r="AQ13" s="190">
        <v>1991</v>
      </c>
      <c r="AR13" s="190">
        <v>2343</v>
      </c>
      <c r="AS13" s="190">
        <v>352</v>
      </c>
      <c r="AT13" s="190">
        <v>1991</v>
      </c>
      <c r="AU13" s="190">
        <v>2343</v>
      </c>
      <c r="AV13" s="190">
        <v>0</v>
      </c>
      <c r="AW13" s="190">
        <v>0</v>
      </c>
      <c r="AX13" s="190">
        <v>0</v>
      </c>
      <c r="AY13" s="190">
        <v>28</v>
      </c>
      <c r="AZ13" s="190">
        <v>199</v>
      </c>
      <c r="BA13" s="190">
        <v>227</v>
      </c>
      <c r="BB13" s="190">
        <v>4</v>
      </c>
      <c r="BC13" s="190">
        <v>0</v>
      </c>
      <c r="BD13" s="190">
        <v>0</v>
      </c>
      <c r="BE13" s="190">
        <v>81</v>
      </c>
      <c r="BF13" s="190">
        <v>0</v>
      </c>
      <c r="BG13" s="190">
        <v>1</v>
      </c>
      <c r="BH13" s="190">
        <v>4</v>
      </c>
      <c r="BI13" s="190">
        <v>82</v>
      </c>
      <c r="BJ13" s="190">
        <v>86</v>
      </c>
      <c r="BK13" s="190">
        <v>2</v>
      </c>
      <c r="BL13" s="190">
        <v>-2</v>
      </c>
      <c r="BM13" s="190">
        <v>0</v>
      </c>
      <c r="BN13" s="190">
        <v>2</v>
      </c>
      <c r="BO13" s="190">
        <v>4</v>
      </c>
      <c r="BP13" s="190">
        <v>6</v>
      </c>
      <c r="BQ13" s="190">
        <v>3</v>
      </c>
      <c r="BR13" s="190">
        <v>32</v>
      </c>
      <c r="BS13" s="190">
        <v>35</v>
      </c>
      <c r="BT13" s="190">
        <v>17</v>
      </c>
      <c r="BU13" s="190">
        <v>83</v>
      </c>
      <c r="BV13" s="190">
        <v>100</v>
      </c>
      <c r="BW13" s="190">
        <v>380</v>
      </c>
      <c r="BX13" s="190">
        <v>2190</v>
      </c>
      <c r="BY13" s="190">
        <v>2570</v>
      </c>
      <c r="BZ13" s="190">
        <v>380</v>
      </c>
      <c r="CA13" s="190">
        <v>2189</v>
      </c>
      <c r="CB13" s="190">
        <v>2569</v>
      </c>
      <c r="CC13" s="190">
        <v>5257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2</v>
      </c>
      <c r="CJ13" s="190">
        <v>0</v>
      </c>
      <c r="CK13" s="190">
        <v>0</v>
      </c>
      <c r="CL13" s="190">
        <v>1</v>
      </c>
      <c r="CM13" s="190">
        <v>1</v>
      </c>
      <c r="CN13" s="190">
        <v>28</v>
      </c>
      <c r="CO13" s="190">
        <v>185</v>
      </c>
      <c r="CP13" s="190">
        <v>213</v>
      </c>
      <c r="CQ13" s="190">
        <v>0</v>
      </c>
      <c r="CR13" s="190">
        <v>1</v>
      </c>
      <c r="CS13" s="190">
        <v>1</v>
      </c>
      <c r="CT13" s="190">
        <v>352</v>
      </c>
      <c r="CU13" s="190">
        <v>2005</v>
      </c>
      <c r="CV13" s="190">
        <v>2357</v>
      </c>
      <c r="CW13" s="190">
        <v>24</v>
      </c>
      <c r="CX13" s="190">
        <v>108</v>
      </c>
      <c r="CY13" s="190">
        <v>132</v>
      </c>
      <c r="CZ13" s="190">
        <v>24</v>
      </c>
      <c r="DA13" s="190">
        <v>0</v>
      </c>
      <c r="DB13" s="190">
        <v>0</v>
      </c>
      <c r="DC13" s="190">
        <v>107</v>
      </c>
      <c r="DD13" s="190">
        <v>0</v>
      </c>
      <c r="DE13" s="190">
        <v>0</v>
      </c>
      <c r="DF13" s="190">
        <v>24</v>
      </c>
      <c r="DG13" s="190">
        <v>107</v>
      </c>
      <c r="DH13" s="190">
        <v>131</v>
      </c>
      <c r="DI13" s="190">
        <v>0</v>
      </c>
      <c r="DJ13" s="190">
        <v>0</v>
      </c>
      <c r="DK13" s="190">
        <v>0</v>
      </c>
      <c r="DL13" s="190">
        <v>1</v>
      </c>
      <c r="DM13" s="190">
        <v>0</v>
      </c>
      <c r="DN13" s="190">
        <v>0</v>
      </c>
      <c r="DO13" s="190">
        <v>0</v>
      </c>
      <c r="DP13" s="190">
        <v>1</v>
      </c>
      <c r="DQ13" s="190">
        <v>1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582</v>
      </c>
      <c r="C14" s="190">
        <v>124</v>
      </c>
      <c r="D14" s="190">
        <v>579</v>
      </c>
      <c r="E14" s="190">
        <v>353</v>
      </c>
      <c r="F14" s="190">
        <v>0</v>
      </c>
      <c r="G14" s="190">
        <v>3</v>
      </c>
      <c r="H14" s="190">
        <v>3</v>
      </c>
      <c r="I14" s="190">
        <v>0</v>
      </c>
      <c r="J14" s="190">
        <v>203</v>
      </c>
      <c r="K14" s="190">
        <v>203</v>
      </c>
      <c r="L14" s="190">
        <v>0</v>
      </c>
      <c r="M14" s="190">
        <v>91</v>
      </c>
      <c r="N14" s="190">
        <v>91</v>
      </c>
      <c r="O14" s="190">
        <v>0</v>
      </c>
      <c r="P14" s="190">
        <v>112</v>
      </c>
      <c r="Q14" s="190">
        <v>112</v>
      </c>
      <c r="R14" s="190">
        <v>0</v>
      </c>
      <c r="S14" s="190">
        <v>1</v>
      </c>
      <c r="T14" s="190">
        <v>1</v>
      </c>
      <c r="U14" s="190">
        <v>0</v>
      </c>
      <c r="V14" s="190">
        <v>23</v>
      </c>
      <c r="W14" s="190">
        <v>23</v>
      </c>
      <c r="X14" s="190">
        <v>13</v>
      </c>
      <c r="Y14" s="190">
        <v>565</v>
      </c>
      <c r="Z14" s="190">
        <v>578</v>
      </c>
      <c r="AA14" s="190">
        <v>11</v>
      </c>
      <c r="AB14" s="190">
        <v>250</v>
      </c>
      <c r="AC14" s="190">
        <v>261</v>
      </c>
      <c r="AD14" s="190">
        <v>11</v>
      </c>
      <c r="AE14" s="190">
        <v>248</v>
      </c>
      <c r="AF14" s="190">
        <v>259</v>
      </c>
      <c r="AG14" s="190">
        <v>0</v>
      </c>
      <c r="AH14" s="190">
        <v>2</v>
      </c>
      <c r="AI14" s="190">
        <v>2</v>
      </c>
      <c r="AJ14" s="190">
        <v>0</v>
      </c>
      <c r="AK14" s="190">
        <v>0</v>
      </c>
      <c r="AL14" s="190">
        <v>0</v>
      </c>
      <c r="AM14" s="190">
        <v>2</v>
      </c>
      <c r="AN14" s="190">
        <v>315</v>
      </c>
      <c r="AO14" s="190">
        <v>317</v>
      </c>
      <c r="AP14" s="190">
        <v>487</v>
      </c>
      <c r="AQ14" s="190">
        <v>5910</v>
      </c>
      <c r="AR14" s="190">
        <v>6397</v>
      </c>
      <c r="AS14" s="190">
        <v>487</v>
      </c>
      <c r="AT14" s="190">
        <v>5910</v>
      </c>
      <c r="AU14" s="190">
        <v>6397</v>
      </c>
      <c r="AV14" s="190">
        <v>0</v>
      </c>
      <c r="AW14" s="190">
        <v>0</v>
      </c>
      <c r="AX14" s="190">
        <v>0</v>
      </c>
      <c r="AY14" s="190">
        <v>40</v>
      </c>
      <c r="AZ14" s="190">
        <v>613</v>
      </c>
      <c r="BA14" s="190">
        <v>653</v>
      </c>
      <c r="BB14" s="190">
        <v>13</v>
      </c>
      <c r="BC14" s="190">
        <v>0</v>
      </c>
      <c r="BD14" s="190">
        <v>0</v>
      </c>
      <c r="BE14" s="190">
        <v>338</v>
      </c>
      <c r="BF14" s="190">
        <v>2</v>
      </c>
      <c r="BG14" s="190">
        <v>0</v>
      </c>
      <c r="BH14" s="190">
        <v>13</v>
      </c>
      <c r="BI14" s="190">
        <v>340</v>
      </c>
      <c r="BJ14" s="190">
        <v>353</v>
      </c>
      <c r="BK14" s="190">
        <v>6</v>
      </c>
      <c r="BL14" s="190">
        <v>-6</v>
      </c>
      <c r="BM14" s="190">
        <v>0</v>
      </c>
      <c r="BN14" s="190">
        <v>3</v>
      </c>
      <c r="BO14" s="190">
        <v>12</v>
      </c>
      <c r="BP14" s="190">
        <v>15</v>
      </c>
      <c r="BQ14" s="190">
        <v>1</v>
      </c>
      <c r="BR14" s="190">
        <v>90</v>
      </c>
      <c r="BS14" s="190">
        <v>91</v>
      </c>
      <c r="BT14" s="190">
        <v>17</v>
      </c>
      <c r="BU14" s="190">
        <v>177</v>
      </c>
      <c r="BV14" s="190">
        <v>194</v>
      </c>
      <c r="BW14" s="190">
        <v>527</v>
      </c>
      <c r="BX14" s="190">
        <v>6523</v>
      </c>
      <c r="BY14" s="190">
        <v>7050</v>
      </c>
      <c r="BZ14" s="190">
        <v>526</v>
      </c>
      <c r="CA14" s="190">
        <v>6483</v>
      </c>
      <c r="CB14" s="190">
        <v>7009</v>
      </c>
      <c r="CC14" s="190">
        <v>12456</v>
      </c>
      <c r="CD14" s="190">
        <v>3</v>
      </c>
      <c r="CE14" s="190">
        <v>36</v>
      </c>
      <c r="CF14" s="190">
        <v>1</v>
      </c>
      <c r="CG14" s="190">
        <v>31</v>
      </c>
      <c r="CH14" s="190">
        <v>32</v>
      </c>
      <c r="CI14" s="190">
        <v>11</v>
      </c>
      <c r="CJ14" s="190">
        <v>0</v>
      </c>
      <c r="CK14" s="190">
        <v>0</v>
      </c>
      <c r="CL14" s="190">
        <v>9</v>
      </c>
      <c r="CM14" s="190">
        <v>9</v>
      </c>
      <c r="CN14" s="190">
        <v>29</v>
      </c>
      <c r="CO14" s="190">
        <v>589</v>
      </c>
      <c r="CP14" s="190">
        <v>618</v>
      </c>
      <c r="CQ14" s="190">
        <v>0</v>
      </c>
      <c r="CR14" s="190">
        <v>1</v>
      </c>
      <c r="CS14" s="190">
        <v>1</v>
      </c>
      <c r="CT14" s="190">
        <v>498</v>
      </c>
      <c r="CU14" s="190">
        <v>5934</v>
      </c>
      <c r="CV14" s="190">
        <v>6432</v>
      </c>
      <c r="CW14" s="190">
        <v>31</v>
      </c>
      <c r="CX14" s="190">
        <v>314</v>
      </c>
      <c r="CY14" s="190">
        <v>345</v>
      </c>
      <c r="CZ14" s="190">
        <v>31</v>
      </c>
      <c r="DA14" s="190">
        <v>0</v>
      </c>
      <c r="DB14" s="190">
        <v>0</v>
      </c>
      <c r="DC14" s="190">
        <v>310</v>
      </c>
      <c r="DD14" s="190">
        <v>1</v>
      </c>
      <c r="DE14" s="190">
        <v>0</v>
      </c>
      <c r="DF14" s="190">
        <v>31</v>
      </c>
      <c r="DG14" s="190">
        <v>311</v>
      </c>
      <c r="DH14" s="190">
        <v>342</v>
      </c>
      <c r="DI14" s="190">
        <v>0</v>
      </c>
      <c r="DJ14" s="190">
        <v>0</v>
      </c>
      <c r="DK14" s="190">
        <v>0</v>
      </c>
      <c r="DL14" s="190">
        <v>3</v>
      </c>
      <c r="DM14" s="190">
        <v>0</v>
      </c>
      <c r="DN14" s="190">
        <v>0</v>
      </c>
      <c r="DO14" s="190">
        <v>0</v>
      </c>
      <c r="DP14" s="190">
        <v>3</v>
      </c>
      <c r="DQ14" s="190">
        <v>3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3890</v>
      </c>
      <c r="C15" s="190">
        <v>1471</v>
      </c>
      <c r="D15" s="190">
        <v>4070</v>
      </c>
      <c r="E15" s="190">
        <v>2852</v>
      </c>
      <c r="F15" s="190">
        <v>15</v>
      </c>
      <c r="G15" s="190">
        <v>127</v>
      </c>
      <c r="H15" s="190">
        <v>142</v>
      </c>
      <c r="I15" s="190">
        <v>2</v>
      </c>
      <c r="J15" s="190">
        <v>1133</v>
      </c>
      <c r="K15" s="190">
        <v>1135</v>
      </c>
      <c r="L15" s="190">
        <v>2</v>
      </c>
      <c r="M15" s="190">
        <v>1132</v>
      </c>
      <c r="N15" s="190">
        <v>1134</v>
      </c>
      <c r="O15" s="190">
        <v>0</v>
      </c>
      <c r="P15" s="190">
        <v>1</v>
      </c>
      <c r="Q15" s="190">
        <v>1</v>
      </c>
      <c r="R15" s="190">
        <v>0</v>
      </c>
      <c r="S15" s="190">
        <v>214</v>
      </c>
      <c r="T15" s="190">
        <v>214</v>
      </c>
      <c r="U15" s="190">
        <v>0</v>
      </c>
      <c r="V15" s="190">
        <v>83</v>
      </c>
      <c r="W15" s="190">
        <v>83</v>
      </c>
      <c r="X15" s="190">
        <v>48</v>
      </c>
      <c r="Y15" s="190">
        <v>3173</v>
      </c>
      <c r="Z15" s="190">
        <v>3221</v>
      </c>
      <c r="AA15" s="190">
        <v>24</v>
      </c>
      <c r="AB15" s="190">
        <v>1439</v>
      </c>
      <c r="AC15" s="190">
        <v>1463</v>
      </c>
      <c r="AD15" s="190">
        <v>24</v>
      </c>
      <c r="AE15" s="190">
        <v>1397</v>
      </c>
      <c r="AF15" s="190">
        <v>1421</v>
      </c>
      <c r="AG15" s="190">
        <v>0</v>
      </c>
      <c r="AH15" s="190">
        <v>28</v>
      </c>
      <c r="AI15" s="190">
        <v>28</v>
      </c>
      <c r="AJ15" s="190">
        <v>0</v>
      </c>
      <c r="AK15" s="190">
        <v>14</v>
      </c>
      <c r="AL15" s="190">
        <v>14</v>
      </c>
      <c r="AM15" s="190">
        <v>24</v>
      </c>
      <c r="AN15" s="190">
        <v>1734</v>
      </c>
      <c r="AO15" s="190">
        <v>1758</v>
      </c>
      <c r="AP15" s="190">
        <v>12094</v>
      </c>
      <c r="AQ15" s="190">
        <v>75233</v>
      </c>
      <c r="AR15" s="190">
        <v>87327</v>
      </c>
      <c r="AS15" s="190">
        <v>11638</v>
      </c>
      <c r="AT15" s="190">
        <v>72038</v>
      </c>
      <c r="AU15" s="190">
        <v>83676</v>
      </c>
      <c r="AV15" s="190">
        <v>456</v>
      </c>
      <c r="AW15" s="190">
        <v>3195</v>
      </c>
      <c r="AX15" s="190">
        <v>3651</v>
      </c>
      <c r="AY15" s="190">
        <v>94</v>
      </c>
      <c r="AZ15" s="190">
        <v>2866</v>
      </c>
      <c r="BA15" s="190">
        <v>2960</v>
      </c>
      <c r="BB15" s="190">
        <v>192</v>
      </c>
      <c r="BC15" s="190">
        <v>3</v>
      </c>
      <c r="BD15" s="190">
        <v>3</v>
      </c>
      <c r="BE15" s="190">
        <v>2612</v>
      </c>
      <c r="BF15" s="190">
        <v>20</v>
      </c>
      <c r="BG15" s="190">
        <v>22</v>
      </c>
      <c r="BH15" s="190">
        <v>198</v>
      </c>
      <c r="BI15" s="190">
        <v>2654</v>
      </c>
      <c r="BJ15" s="190">
        <v>2852</v>
      </c>
      <c r="BK15" s="190">
        <v>-116</v>
      </c>
      <c r="BL15" s="190">
        <v>116</v>
      </c>
      <c r="BM15" s="190">
        <v>0</v>
      </c>
      <c r="BN15" s="190">
        <v>7</v>
      </c>
      <c r="BO15" s="190">
        <v>44</v>
      </c>
      <c r="BP15" s="190">
        <v>51</v>
      </c>
      <c r="BQ15" s="190">
        <v>4</v>
      </c>
      <c r="BR15" s="190">
        <v>12</v>
      </c>
      <c r="BS15" s="190">
        <v>16</v>
      </c>
      <c r="BT15" s="190">
        <v>1</v>
      </c>
      <c r="BU15" s="190">
        <v>40</v>
      </c>
      <c r="BV15" s="190">
        <v>41</v>
      </c>
      <c r="BW15" s="190">
        <v>12188</v>
      </c>
      <c r="BX15" s="190">
        <v>78099</v>
      </c>
      <c r="BY15" s="190">
        <v>90287</v>
      </c>
      <c r="BZ15" s="190">
        <v>11983</v>
      </c>
      <c r="CA15" s="190">
        <v>77210</v>
      </c>
      <c r="CB15" s="190">
        <v>89193</v>
      </c>
      <c r="CC15" s="190">
        <v>208355</v>
      </c>
      <c r="CD15" s="190">
        <v>78</v>
      </c>
      <c r="CE15" s="190">
        <v>933</v>
      </c>
      <c r="CF15" s="190">
        <v>191</v>
      </c>
      <c r="CG15" s="190">
        <v>677</v>
      </c>
      <c r="CH15" s="190">
        <v>868</v>
      </c>
      <c r="CI15" s="190">
        <v>252</v>
      </c>
      <c r="CJ15" s="190">
        <v>41</v>
      </c>
      <c r="CK15" s="190">
        <v>14</v>
      </c>
      <c r="CL15" s="190">
        <v>212</v>
      </c>
      <c r="CM15" s="190">
        <v>226</v>
      </c>
      <c r="CN15" s="190">
        <v>672</v>
      </c>
      <c r="CO15" s="190">
        <v>6383</v>
      </c>
      <c r="CP15" s="190">
        <v>7055</v>
      </c>
      <c r="CQ15" s="190">
        <v>0</v>
      </c>
      <c r="CR15" s="190">
        <v>0</v>
      </c>
      <c r="CS15" s="190">
        <v>0</v>
      </c>
      <c r="CT15" s="190">
        <v>11516</v>
      </c>
      <c r="CU15" s="190">
        <v>71716</v>
      </c>
      <c r="CV15" s="190">
        <v>83232</v>
      </c>
      <c r="CW15" s="190">
        <v>894</v>
      </c>
      <c r="CX15" s="190">
        <v>5073</v>
      </c>
      <c r="CY15" s="190">
        <v>5967</v>
      </c>
      <c r="CZ15" s="190">
        <v>778</v>
      </c>
      <c r="DA15" s="190">
        <v>9</v>
      </c>
      <c r="DB15" s="190">
        <v>0</v>
      </c>
      <c r="DC15" s="190">
        <v>4216</v>
      </c>
      <c r="DD15" s="190">
        <v>34</v>
      </c>
      <c r="DE15" s="190">
        <v>9</v>
      </c>
      <c r="DF15" s="190">
        <v>787</v>
      </c>
      <c r="DG15" s="190">
        <v>4259</v>
      </c>
      <c r="DH15" s="190">
        <v>5046</v>
      </c>
      <c r="DI15" s="190">
        <v>106</v>
      </c>
      <c r="DJ15" s="190">
        <v>1</v>
      </c>
      <c r="DK15" s="190">
        <v>0</v>
      </c>
      <c r="DL15" s="190">
        <v>807</v>
      </c>
      <c r="DM15" s="190">
        <v>6</v>
      </c>
      <c r="DN15" s="190">
        <v>1</v>
      </c>
      <c r="DO15" s="190">
        <v>107</v>
      </c>
      <c r="DP15" s="190">
        <v>814</v>
      </c>
      <c r="DQ15" s="190">
        <v>921</v>
      </c>
      <c r="DR15" s="190">
        <v>5</v>
      </c>
      <c r="DS15" s="190">
        <v>38</v>
      </c>
      <c r="DT15" s="191">
        <v>43</v>
      </c>
    </row>
    <row r="16" spans="1:129" s="172" customFormat="1">
      <c r="A16" s="189" t="s">
        <v>281</v>
      </c>
      <c r="B16" s="190">
        <v>101</v>
      </c>
      <c r="C16" s="190">
        <v>11</v>
      </c>
      <c r="D16" s="190">
        <v>103</v>
      </c>
      <c r="E16" s="190">
        <v>72</v>
      </c>
      <c r="F16" s="190">
        <v>0</v>
      </c>
      <c r="G16" s="190">
        <v>2</v>
      </c>
      <c r="H16" s="190">
        <v>2</v>
      </c>
      <c r="I16" s="190">
        <v>0</v>
      </c>
      <c r="J16" s="190">
        <v>30</v>
      </c>
      <c r="K16" s="190">
        <v>30</v>
      </c>
      <c r="L16" s="190">
        <v>0</v>
      </c>
      <c r="M16" s="190">
        <v>9</v>
      </c>
      <c r="N16" s="190">
        <v>9</v>
      </c>
      <c r="O16" s="190">
        <v>0</v>
      </c>
      <c r="P16" s="190">
        <v>21</v>
      </c>
      <c r="Q16" s="190">
        <v>21</v>
      </c>
      <c r="R16" s="190">
        <v>0</v>
      </c>
      <c r="S16" s="190">
        <v>3</v>
      </c>
      <c r="T16" s="190">
        <v>3</v>
      </c>
      <c r="U16" s="190">
        <v>0</v>
      </c>
      <c r="V16" s="190">
        <v>1</v>
      </c>
      <c r="W16" s="190">
        <v>1</v>
      </c>
      <c r="X16" s="190">
        <v>2</v>
      </c>
      <c r="Y16" s="190">
        <v>101</v>
      </c>
      <c r="Z16" s="190">
        <v>103</v>
      </c>
      <c r="AA16" s="190">
        <v>2</v>
      </c>
      <c r="AB16" s="190">
        <v>50</v>
      </c>
      <c r="AC16" s="190">
        <v>52</v>
      </c>
      <c r="AD16" s="190">
        <v>2</v>
      </c>
      <c r="AE16" s="190">
        <v>48</v>
      </c>
      <c r="AF16" s="190">
        <v>50</v>
      </c>
      <c r="AG16" s="190">
        <v>0</v>
      </c>
      <c r="AH16" s="190">
        <v>1</v>
      </c>
      <c r="AI16" s="190">
        <v>1</v>
      </c>
      <c r="AJ16" s="190">
        <v>0</v>
      </c>
      <c r="AK16" s="190">
        <v>1</v>
      </c>
      <c r="AL16" s="190">
        <v>1</v>
      </c>
      <c r="AM16" s="190">
        <v>0</v>
      </c>
      <c r="AN16" s="190">
        <v>51</v>
      </c>
      <c r="AO16" s="190">
        <v>51</v>
      </c>
      <c r="AP16" s="190">
        <v>204</v>
      </c>
      <c r="AQ16" s="190">
        <v>1246</v>
      </c>
      <c r="AR16" s="190">
        <v>1450</v>
      </c>
      <c r="AS16" s="190">
        <v>204</v>
      </c>
      <c r="AT16" s="190">
        <v>1246</v>
      </c>
      <c r="AU16" s="190">
        <v>1450</v>
      </c>
      <c r="AV16" s="190">
        <v>0</v>
      </c>
      <c r="AW16" s="190">
        <v>0</v>
      </c>
      <c r="AX16" s="190">
        <v>0</v>
      </c>
      <c r="AY16" s="190">
        <v>6</v>
      </c>
      <c r="AZ16" s="190">
        <v>120</v>
      </c>
      <c r="BA16" s="190">
        <v>126</v>
      </c>
      <c r="BB16" s="190">
        <v>3</v>
      </c>
      <c r="BC16" s="190">
        <v>0</v>
      </c>
      <c r="BD16" s="190">
        <v>0</v>
      </c>
      <c r="BE16" s="190">
        <v>69</v>
      </c>
      <c r="BF16" s="190">
        <v>0</v>
      </c>
      <c r="BG16" s="190">
        <v>0</v>
      </c>
      <c r="BH16" s="190">
        <v>3</v>
      </c>
      <c r="BI16" s="190">
        <v>69</v>
      </c>
      <c r="BJ16" s="190">
        <v>72</v>
      </c>
      <c r="BK16" s="190">
        <v>-6</v>
      </c>
      <c r="BL16" s="190">
        <v>6</v>
      </c>
      <c r="BM16" s="190">
        <v>0</v>
      </c>
      <c r="BN16" s="190">
        <v>1</v>
      </c>
      <c r="BO16" s="190">
        <v>5</v>
      </c>
      <c r="BP16" s="190">
        <v>6</v>
      </c>
      <c r="BQ16" s="190">
        <v>2</v>
      </c>
      <c r="BR16" s="190">
        <v>6</v>
      </c>
      <c r="BS16" s="190">
        <v>8</v>
      </c>
      <c r="BT16" s="190">
        <v>6</v>
      </c>
      <c r="BU16" s="190">
        <v>34</v>
      </c>
      <c r="BV16" s="190">
        <v>40</v>
      </c>
      <c r="BW16" s="190">
        <v>210</v>
      </c>
      <c r="BX16" s="190">
        <v>1366</v>
      </c>
      <c r="BY16" s="190">
        <v>1576</v>
      </c>
      <c r="BZ16" s="190">
        <v>209</v>
      </c>
      <c r="CA16" s="190">
        <v>1359</v>
      </c>
      <c r="CB16" s="190">
        <v>1568</v>
      </c>
      <c r="CC16" s="190">
        <v>3612</v>
      </c>
      <c r="CD16" s="190">
        <v>0</v>
      </c>
      <c r="CE16" s="190">
        <v>8</v>
      </c>
      <c r="CF16" s="190">
        <v>1</v>
      </c>
      <c r="CG16" s="190">
        <v>7</v>
      </c>
      <c r="CH16" s="190">
        <v>8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12</v>
      </c>
      <c r="CO16" s="190">
        <v>107</v>
      </c>
      <c r="CP16" s="190">
        <v>119</v>
      </c>
      <c r="CQ16" s="190">
        <v>0</v>
      </c>
      <c r="CR16" s="190">
        <v>8</v>
      </c>
      <c r="CS16" s="190">
        <v>8</v>
      </c>
      <c r="CT16" s="190">
        <v>198</v>
      </c>
      <c r="CU16" s="190">
        <v>1259</v>
      </c>
      <c r="CV16" s="190">
        <v>1457</v>
      </c>
      <c r="CW16" s="190">
        <v>18</v>
      </c>
      <c r="CX16" s="190">
        <v>84</v>
      </c>
      <c r="CY16" s="190">
        <v>102</v>
      </c>
      <c r="CZ16" s="190">
        <v>18</v>
      </c>
      <c r="DA16" s="190">
        <v>0</v>
      </c>
      <c r="DB16" s="190">
        <v>0</v>
      </c>
      <c r="DC16" s="190">
        <v>84</v>
      </c>
      <c r="DD16" s="190">
        <v>0</v>
      </c>
      <c r="DE16" s="190">
        <v>0</v>
      </c>
      <c r="DF16" s="190">
        <v>18</v>
      </c>
      <c r="DG16" s="190">
        <v>84</v>
      </c>
      <c r="DH16" s="190">
        <v>102</v>
      </c>
      <c r="DI16" s="190">
        <v>0</v>
      </c>
      <c r="DJ16" s="190">
        <v>0</v>
      </c>
      <c r="DK16" s="190">
        <v>0</v>
      </c>
      <c r="DL16" s="190">
        <v>0</v>
      </c>
      <c r="DM16" s="190">
        <v>0</v>
      </c>
      <c r="DN16" s="190">
        <v>0</v>
      </c>
      <c r="DO16" s="190">
        <v>0</v>
      </c>
      <c r="DP16" s="190">
        <v>0</v>
      </c>
      <c r="DQ16" s="190">
        <v>0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1062</v>
      </c>
      <c r="C17" s="190">
        <v>200</v>
      </c>
      <c r="D17" s="190">
        <v>1094</v>
      </c>
      <c r="E17" s="190">
        <v>602</v>
      </c>
      <c r="F17" s="190">
        <v>0</v>
      </c>
      <c r="G17" s="190">
        <v>4</v>
      </c>
      <c r="H17" s="190">
        <v>4</v>
      </c>
      <c r="I17" s="190">
        <v>0</v>
      </c>
      <c r="J17" s="190">
        <v>455</v>
      </c>
      <c r="K17" s="190">
        <v>455</v>
      </c>
      <c r="L17" s="190">
        <v>0</v>
      </c>
      <c r="M17" s="190">
        <v>133</v>
      </c>
      <c r="N17" s="190">
        <v>133</v>
      </c>
      <c r="O17" s="190">
        <v>0</v>
      </c>
      <c r="P17" s="190">
        <v>322</v>
      </c>
      <c r="Q17" s="190">
        <v>322</v>
      </c>
      <c r="R17" s="190">
        <v>0</v>
      </c>
      <c r="S17" s="190">
        <v>2</v>
      </c>
      <c r="T17" s="190">
        <v>2</v>
      </c>
      <c r="U17" s="190">
        <v>0</v>
      </c>
      <c r="V17" s="190">
        <v>37</v>
      </c>
      <c r="W17" s="190">
        <v>37</v>
      </c>
      <c r="X17" s="190">
        <v>19</v>
      </c>
      <c r="Y17" s="190">
        <v>1075</v>
      </c>
      <c r="Z17" s="190">
        <v>1094</v>
      </c>
      <c r="AA17" s="190">
        <v>16</v>
      </c>
      <c r="AB17" s="190">
        <v>415</v>
      </c>
      <c r="AC17" s="190">
        <v>431</v>
      </c>
      <c r="AD17" s="190">
        <v>16</v>
      </c>
      <c r="AE17" s="190">
        <v>410</v>
      </c>
      <c r="AF17" s="190">
        <v>426</v>
      </c>
      <c r="AG17" s="190">
        <v>0</v>
      </c>
      <c r="AH17" s="190">
        <v>2</v>
      </c>
      <c r="AI17" s="190">
        <v>2</v>
      </c>
      <c r="AJ17" s="190">
        <v>0</v>
      </c>
      <c r="AK17" s="190">
        <v>3</v>
      </c>
      <c r="AL17" s="190">
        <v>3</v>
      </c>
      <c r="AM17" s="190">
        <v>3</v>
      </c>
      <c r="AN17" s="190">
        <v>660</v>
      </c>
      <c r="AO17" s="190">
        <v>663</v>
      </c>
      <c r="AP17" s="190">
        <v>813</v>
      </c>
      <c r="AQ17" s="190">
        <v>10450</v>
      </c>
      <c r="AR17" s="190">
        <v>11263</v>
      </c>
      <c r="AS17" s="190">
        <v>813</v>
      </c>
      <c r="AT17" s="190">
        <v>10450</v>
      </c>
      <c r="AU17" s="190">
        <v>11263</v>
      </c>
      <c r="AV17" s="190">
        <v>0</v>
      </c>
      <c r="AW17" s="190">
        <v>0</v>
      </c>
      <c r="AX17" s="190">
        <v>0</v>
      </c>
      <c r="AY17" s="190">
        <v>47</v>
      </c>
      <c r="AZ17" s="190">
        <v>1191</v>
      </c>
      <c r="BA17" s="190">
        <v>1238</v>
      </c>
      <c r="BB17" s="190">
        <v>18</v>
      </c>
      <c r="BC17" s="190">
        <v>0</v>
      </c>
      <c r="BD17" s="190">
        <v>0</v>
      </c>
      <c r="BE17" s="190">
        <v>584</v>
      </c>
      <c r="BF17" s="190">
        <v>0</v>
      </c>
      <c r="BG17" s="190">
        <v>0</v>
      </c>
      <c r="BH17" s="190">
        <v>18</v>
      </c>
      <c r="BI17" s="190">
        <v>584</v>
      </c>
      <c r="BJ17" s="190">
        <v>602</v>
      </c>
      <c r="BK17" s="190">
        <v>-2</v>
      </c>
      <c r="BL17" s="190">
        <v>2</v>
      </c>
      <c r="BM17" s="190">
        <v>0</v>
      </c>
      <c r="BN17" s="190">
        <v>1</v>
      </c>
      <c r="BO17" s="190">
        <v>29</v>
      </c>
      <c r="BP17" s="190">
        <v>30</v>
      </c>
      <c r="BQ17" s="190">
        <v>4</v>
      </c>
      <c r="BR17" s="190">
        <v>186</v>
      </c>
      <c r="BS17" s="190">
        <v>190</v>
      </c>
      <c r="BT17" s="190">
        <v>26</v>
      </c>
      <c r="BU17" s="190">
        <v>390</v>
      </c>
      <c r="BV17" s="190">
        <v>416</v>
      </c>
      <c r="BW17" s="190">
        <v>860</v>
      </c>
      <c r="BX17" s="190">
        <v>11641</v>
      </c>
      <c r="BY17" s="190">
        <v>12501</v>
      </c>
      <c r="BZ17" s="190">
        <v>857</v>
      </c>
      <c r="CA17" s="190">
        <v>11612</v>
      </c>
      <c r="CB17" s="190">
        <v>12469</v>
      </c>
      <c r="CC17" s="190">
        <v>20940</v>
      </c>
      <c r="CD17" s="190">
        <v>7</v>
      </c>
      <c r="CE17" s="190">
        <v>25</v>
      </c>
      <c r="CF17" s="190">
        <v>3</v>
      </c>
      <c r="CG17" s="190">
        <v>24</v>
      </c>
      <c r="CH17" s="190">
        <v>27</v>
      </c>
      <c r="CI17" s="190">
        <v>6</v>
      </c>
      <c r="CJ17" s="190">
        <v>1</v>
      </c>
      <c r="CK17" s="190">
        <v>0</v>
      </c>
      <c r="CL17" s="190">
        <v>5</v>
      </c>
      <c r="CM17" s="190">
        <v>5</v>
      </c>
      <c r="CN17" s="190">
        <v>37</v>
      </c>
      <c r="CO17" s="190">
        <v>1099</v>
      </c>
      <c r="CP17" s="190">
        <v>1136</v>
      </c>
      <c r="CQ17" s="190">
        <v>1</v>
      </c>
      <c r="CR17" s="190">
        <v>23</v>
      </c>
      <c r="CS17" s="190">
        <v>24</v>
      </c>
      <c r="CT17" s="190">
        <v>823</v>
      </c>
      <c r="CU17" s="190">
        <v>10542</v>
      </c>
      <c r="CV17" s="190">
        <v>11365</v>
      </c>
      <c r="CW17" s="190">
        <v>61</v>
      </c>
      <c r="CX17" s="190">
        <v>463</v>
      </c>
      <c r="CY17" s="190">
        <v>524</v>
      </c>
      <c r="CZ17" s="190">
        <v>60</v>
      </c>
      <c r="DA17" s="190">
        <v>0</v>
      </c>
      <c r="DB17" s="190">
        <v>0</v>
      </c>
      <c r="DC17" s="190">
        <v>459</v>
      </c>
      <c r="DD17" s="190">
        <v>0</v>
      </c>
      <c r="DE17" s="190">
        <v>1</v>
      </c>
      <c r="DF17" s="190">
        <v>60</v>
      </c>
      <c r="DG17" s="190">
        <v>460</v>
      </c>
      <c r="DH17" s="190">
        <v>520</v>
      </c>
      <c r="DI17" s="190">
        <v>1</v>
      </c>
      <c r="DJ17" s="190">
        <v>0</v>
      </c>
      <c r="DK17" s="190">
        <v>0</v>
      </c>
      <c r="DL17" s="190">
        <v>3</v>
      </c>
      <c r="DM17" s="190">
        <v>0</v>
      </c>
      <c r="DN17" s="190">
        <v>0</v>
      </c>
      <c r="DO17" s="190">
        <v>1</v>
      </c>
      <c r="DP17" s="190">
        <v>3</v>
      </c>
      <c r="DQ17" s="190">
        <v>4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1058</v>
      </c>
      <c r="C18" s="190">
        <v>138</v>
      </c>
      <c r="D18" s="190">
        <v>1044</v>
      </c>
      <c r="E18" s="190">
        <v>684</v>
      </c>
      <c r="F18" s="190">
        <v>2</v>
      </c>
      <c r="G18" s="190">
        <v>11</v>
      </c>
      <c r="H18" s="190">
        <v>13</v>
      </c>
      <c r="I18" s="190">
        <v>1</v>
      </c>
      <c r="J18" s="190">
        <v>297</v>
      </c>
      <c r="K18" s="190">
        <v>298</v>
      </c>
      <c r="L18" s="190">
        <v>1</v>
      </c>
      <c r="M18" s="190">
        <v>155</v>
      </c>
      <c r="N18" s="190">
        <v>156</v>
      </c>
      <c r="O18" s="190">
        <v>0</v>
      </c>
      <c r="P18" s="190">
        <v>142</v>
      </c>
      <c r="Q18" s="190">
        <v>142</v>
      </c>
      <c r="R18" s="190">
        <v>0</v>
      </c>
      <c r="S18" s="190">
        <v>2</v>
      </c>
      <c r="T18" s="190">
        <v>2</v>
      </c>
      <c r="U18" s="190">
        <v>0</v>
      </c>
      <c r="V18" s="190">
        <v>62</v>
      </c>
      <c r="W18" s="190">
        <v>62</v>
      </c>
      <c r="X18" s="190">
        <v>24</v>
      </c>
      <c r="Y18" s="190">
        <v>1020</v>
      </c>
      <c r="Z18" s="190">
        <v>1044</v>
      </c>
      <c r="AA18" s="190">
        <v>13</v>
      </c>
      <c r="AB18" s="190">
        <v>405</v>
      </c>
      <c r="AC18" s="190">
        <v>418</v>
      </c>
      <c r="AD18" s="190">
        <v>12</v>
      </c>
      <c r="AE18" s="190">
        <v>380</v>
      </c>
      <c r="AF18" s="190">
        <v>392</v>
      </c>
      <c r="AG18" s="190">
        <v>0</v>
      </c>
      <c r="AH18" s="190">
        <v>8</v>
      </c>
      <c r="AI18" s="190">
        <v>8</v>
      </c>
      <c r="AJ18" s="190">
        <v>1</v>
      </c>
      <c r="AK18" s="190">
        <v>17</v>
      </c>
      <c r="AL18" s="190">
        <v>18</v>
      </c>
      <c r="AM18" s="190">
        <v>11</v>
      </c>
      <c r="AN18" s="190">
        <v>615</v>
      </c>
      <c r="AO18" s="190">
        <v>626</v>
      </c>
      <c r="AP18" s="190">
        <v>2214</v>
      </c>
      <c r="AQ18" s="190">
        <v>14042</v>
      </c>
      <c r="AR18" s="190">
        <v>16256</v>
      </c>
      <c r="AS18" s="190">
        <v>2214</v>
      </c>
      <c r="AT18" s="190">
        <v>14043</v>
      </c>
      <c r="AU18" s="190">
        <v>16257</v>
      </c>
      <c r="AV18" s="190">
        <v>0</v>
      </c>
      <c r="AW18" s="190">
        <v>-1</v>
      </c>
      <c r="AX18" s="190">
        <v>-1</v>
      </c>
      <c r="AY18" s="190">
        <v>66</v>
      </c>
      <c r="AZ18" s="190">
        <v>1112</v>
      </c>
      <c r="BA18" s="190">
        <v>1178</v>
      </c>
      <c r="BB18" s="190">
        <v>29</v>
      </c>
      <c r="BC18" s="190">
        <v>0</v>
      </c>
      <c r="BD18" s="190">
        <v>0</v>
      </c>
      <c r="BE18" s="190">
        <v>637</v>
      </c>
      <c r="BF18" s="190">
        <v>17</v>
      </c>
      <c r="BG18" s="190">
        <v>1</v>
      </c>
      <c r="BH18" s="190">
        <v>29</v>
      </c>
      <c r="BI18" s="190">
        <v>655</v>
      </c>
      <c r="BJ18" s="190">
        <v>684</v>
      </c>
      <c r="BK18" s="190">
        <v>-19</v>
      </c>
      <c r="BL18" s="190">
        <v>19</v>
      </c>
      <c r="BM18" s="190">
        <v>0</v>
      </c>
      <c r="BN18" s="190">
        <v>3</v>
      </c>
      <c r="BO18" s="190">
        <v>28</v>
      </c>
      <c r="BP18" s="190">
        <v>31</v>
      </c>
      <c r="BQ18" s="190">
        <v>9</v>
      </c>
      <c r="BR18" s="190">
        <v>184</v>
      </c>
      <c r="BS18" s="190">
        <v>193</v>
      </c>
      <c r="BT18" s="190">
        <v>44</v>
      </c>
      <c r="BU18" s="190">
        <v>226</v>
      </c>
      <c r="BV18" s="190">
        <v>270</v>
      </c>
      <c r="BW18" s="190">
        <v>2280</v>
      </c>
      <c r="BX18" s="190">
        <v>15154</v>
      </c>
      <c r="BY18" s="190">
        <v>17434</v>
      </c>
      <c r="BZ18" s="190">
        <v>2245</v>
      </c>
      <c r="CA18" s="190">
        <v>14781</v>
      </c>
      <c r="CB18" s="190">
        <v>17026</v>
      </c>
      <c r="CC18" s="190">
        <v>41664</v>
      </c>
      <c r="CD18" s="190">
        <v>30</v>
      </c>
      <c r="CE18" s="190">
        <v>349</v>
      </c>
      <c r="CF18" s="190">
        <v>32</v>
      </c>
      <c r="CG18" s="190">
        <v>323</v>
      </c>
      <c r="CH18" s="190">
        <v>355</v>
      </c>
      <c r="CI18" s="190">
        <v>51</v>
      </c>
      <c r="CJ18" s="190">
        <v>6</v>
      </c>
      <c r="CK18" s="190">
        <v>3</v>
      </c>
      <c r="CL18" s="190">
        <v>50</v>
      </c>
      <c r="CM18" s="190">
        <v>53</v>
      </c>
      <c r="CN18" s="190">
        <v>96</v>
      </c>
      <c r="CO18" s="190">
        <v>1149</v>
      </c>
      <c r="CP18" s="190">
        <v>1245</v>
      </c>
      <c r="CQ18" s="190">
        <v>0</v>
      </c>
      <c r="CR18" s="190">
        <v>1</v>
      </c>
      <c r="CS18" s="190">
        <v>1</v>
      </c>
      <c r="CT18" s="190">
        <v>2184</v>
      </c>
      <c r="CU18" s="190">
        <v>14005</v>
      </c>
      <c r="CV18" s="190">
        <v>16189</v>
      </c>
      <c r="CW18" s="190">
        <v>156</v>
      </c>
      <c r="CX18" s="190">
        <v>839</v>
      </c>
      <c r="CY18" s="190">
        <v>995</v>
      </c>
      <c r="CZ18" s="190">
        <v>151</v>
      </c>
      <c r="DA18" s="190">
        <v>3</v>
      </c>
      <c r="DB18" s="190">
        <v>2</v>
      </c>
      <c r="DC18" s="190">
        <v>816</v>
      </c>
      <c r="DD18" s="190">
        <v>14</v>
      </c>
      <c r="DE18" s="190">
        <v>3</v>
      </c>
      <c r="DF18" s="190">
        <v>156</v>
      </c>
      <c r="DG18" s="190">
        <v>833</v>
      </c>
      <c r="DH18" s="190">
        <v>989</v>
      </c>
      <c r="DI18" s="190">
        <v>0</v>
      </c>
      <c r="DJ18" s="190">
        <v>0</v>
      </c>
      <c r="DK18" s="190">
        <v>0</v>
      </c>
      <c r="DL18" s="190">
        <v>6</v>
      </c>
      <c r="DM18" s="190">
        <v>0</v>
      </c>
      <c r="DN18" s="190">
        <v>0</v>
      </c>
      <c r="DO18" s="190">
        <v>0</v>
      </c>
      <c r="DP18" s="190">
        <v>6</v>
      </c>
      <c r="DQ18" s="190">
        <v>6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83</v>
      </c>
      <c r="C19" s="190">
        <v>8</v>
      </c>
      <c r="D19" s="190">
        <v>85</v>
      </c>
      <c r="E19" s="190">
        <v>58</v>
      </c>
      <c r="F19" s="190">
        <v>0</v>
      </c>
      <c r="G19" s="190">
        <v>0</v>
      </c>
      <c r="H19" s="190">
        <v>0</v>
      </c>
      <c r="I19" s="190">
        <v>0</v>
      </c>
      <c r="J19" s="190">
        <v>24</v>
      </c>
      <c r="K19" s="190">
        <v>24</v>
      </c>
      <c r="L19" s="190">
        <v>0</v>
      </c>
      <c r="M19" s="190">
        <v>5</v>
      </c>
      <c r="N19" s="190">
        <v>5</v>
      </c>
      <c r="O19" s="190">
        <v>0</v>
      </c>
      <c r="P19" s="190">
        <v>19</v>
      </c>
      <c r="Q19" s="190">
        <v>19</v>
      </c>
      <c r="R19" s="190">
        <v>0</v>
      </c>
      <c r="S19" s="190">
        <v>0</v>
      </c>
      <c r="T19" s="190">
        <v>0</v>
      </c>
      <c r="U19" s="190">
        <v>0</v>
      </c>
      <c r="V19" s="190">
        <v>3</v>
      </c>
      <c r="W19" s="190">
        <v>3</v>
      </c>
      <c r="X19" s="190">
        <v>1</v>
      </c>
      <c r="Y19" s="190">
        <v>84</v>
      </c>
      <c r="Z19" s="190">
        <v>85</v>
      </c>
      <c r="AA19" s="190">
        <v>1</v>
      </c>
      <c r="AB19" s="190">
        <v>33</v>
      </c>
      <c r="AC19" s="190">
        <v>34</v>
      </c>
      <c r="AD19" s="190">
        <v>1</v>
      </c>
      <c r="AE19" s="190">
        <v>29</v>
      </c>
      <c r="AF19" s="190">
        <v>30</v>
      </c>
      <c r="AG19" s="190">
        <v>0</v>
      </c>
      <c r="AH19" s="190">
        <v>4</v>
      </c>
      <c r="AI19" s="190">
        <v>4</v>
      </c>
      <c r="AJ19" s="190">
        <v>0</v>
      </c>
      <c r="AK19" s="190">
        <v>0</v>
      </c>
      <c r="AL19" s="190">
        <v>0</v>
      </c>
      <c r="AM19" s="190">
        <v>0</v>
      </c>
      <c r="AN19" s="190">
        <v>51</v>
      </c>
      <c r="AO19" s="190">
        <v>51</v>
      </c>
      <c r="AP19" s="190">
        <v>80</v>
      </c>
      <c r="AQ19" s="190">
        <v>856</v>
      </c>
      <c r="AR19" s="190">
        <v>936</v>
      </c>
      <c r="AS19" s="190">
        <v>80</v>
      </c>
      <c r="AT19" s="190">
        <v>856</v>
      </c>
      <c r="AU19" s="190">
        <v>936</v>
      </c>
      <c r="AV19" s="190">
        <v>0</v>
      </c>
      <c r="AW19" s="190">
        <v>0</v>
      </c>
      <c r="AX19" s="190">
        <v>0</v>
      </c>
      <c r="AY19" s="190">
        <v>6</v>
      </c>
      <c r="AZ19" s="190">
        <v>89</v>
      </c>
      <c r="BA19" s="190">
        <v>95</v>
      </c>
      <c r="BB19" s="190">
        <v>1</v>
      </c>
      <c r="BC19" s="190">
        <v>0</v>
      </c>
      <c r="BD19" s="190">
        <v>0</v>
      </c>
      <c r="BE19" s="190">
        <v>56</v>
      </c>
      <c r="BF19" s="190">
        <v>1</v>
      </c>
      <c r="BG19" s="190">
        <v>0</v>
      </c>
      <c r="BH19" s="190">
        <v>1</v>
      </c>
      <c r="BI19" s="190">
        <v>57</v>
      </c>
      <c r="BJ19" s="190">
        <v>58</v>
      </c>
      <c r="BK19" s="190">
        <v>-1</v>
      </c>
      <c r="BL19" s="190">
        <v>1</v>
      </c>
      <c r="BM19" s="190">
        <v>0</v>
      </c>
      <c r="BN19" s="190">
        <v>2</v>
      </c>
      <c r="BO19" s="190">
        <v>2</v>
      </c>
      <c r="BP19" s="190">
        <v>4</v>
      </c>
      <c r="BQ19" s="190">
        <v>2</v>
      </c>
      <c r="BR19" s="190">
        <v>11</v>
      </c>
      <c r="BS19" s="190">
        <v>13</v>
      </c>
      <c r="BT19" s="190">
        <v>2</v>
      </c>
      <c r="BU19" s="190">
        <v>18</v>
      </c>
      <c r="BV19" s="190">
        <v>20</v>
      </c>
      <c r="BW19" s="190">
        <v>86</v>
      </c>
      <c r="BX19" s="190">
        <v>945</v>
      </c>
      <c r="BY19" s="190">
        <v>1031</v>
      </c>
      <c r="BZ19" s="190">
        <v>85</v>
      </c>
      <c r="CA19" s="190">
        <v>939</v>
      </c>
      <c r="CB19" s="190">
        <v>1024</v>
      </c>
      <c r="CC19" s="190">
        <v>1939</v>
      </c>
      <c r="CD19" s="190">
        <v>1</v>
      </c>
      <c r="CE19" s="190">
        <v>6</v>
      </c>
      <c r="CF19" s="190">
        <v>1</v>
      </c>
      <c r="CG19" s="190">
        <v>5</v>
      </c>
      <c r="CH19" s="190">
        <v>6</v>
      </c>
      <c r="CI19" s="190">
        <v>1</v>
      </c>
      <c r="CJ19" s="190">
        <v>0</v>
      </c>
      <c r="CK19" s="190">
        <v>0</v>
      </c>
      <c r="CL19" s="190">
        <v>1</v>
      </c>
      <c r="CM19" s="190">
        <v>1</v>
      </c>
      <c r="CN19" s="190">
        <v>6</v>
      </c>
      <c r="CO19" s="190">
        <v>63</v>
      </c>
      <c r="CP19" s="190">
        <v>69</v>
      </c>
      <c r="CQ19" s="190">
        <v>0</v>
      </c>
      <c r="CR19" s="190">
        <v>0</v>
      </c>
      <c r="CS19" s="190">
        <v>0</v>
      </c>
      <c r="CT19" s="190">
        <v>80</v>
      </c>
      <c r="CU19" s="190">
        <v>882</v>
      </c>
      <c r="CV19" s="190">
        <v>962</v>
      </c>
      <c r="CW19" s="190">
        <v>6</v>
      </c>
      <c r="CX19" s="190">
        <v>47</v>
      </c>
      <c r="CY19" s="190">
        <v>53</v>
      </c>
      <c r="CZ19" s="190">
        <v>6</v>
      </c>
      <c r="DA19" s="190">
        <v>0</v>
      </c>
      <c r="DB19" s="190">
        <v>0</v>
      </c>
      <c r="DC19" s="190">
        <v>47</v>
      </c>
      <c r="DD19" s="190">
        <v>0</v>
      </c>
      <c r="DE19" s="190">
        <v>0</v>
      </c>
      <c r="DF19" s="190">
        <v>6</v>
      </c>
      <c r="DG19" s="190">
        <v>47</v>
      </c>
      <c r="DH19" s="190">
        <v>53</v>
      </c>
      <c r="DI19" s="190">
        <v>0</v>
      </c>
      <c r="DJ19" s="190">
        <v>0</v>
      </c>
      <c r="DK19" s="190">
        <v>0</v>
      </c>
      <c r="DL19" s="190">
        <v>0</v>
      </c>
      <c r="DM19" s="190">
        <v>0</v>
      </c>
      <c r="DN19" s="190">
        <v>0</v>
      </c>
      <c r="DO19" s="190">
        <v>0</v>
      </c>
      <c r="DP19" s="190">
        <v>0</v>
      </c>
      <c r="DQ19" s="190">
        <v>0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5216</v>
      </c>
      <c r="C20" s="190">
        <v>1384</v>
      </c>
      <c r="D20" s="190">
        <v>5500</v>
      </c>
      <c r="E20" s="190">
        <v>3566</v>
      </c>
      <c r="F20" s="190">
        <v>0</v>
      </c>
      <c r="G20" s="190">
        <v>42</v>
      </c>
      <c r="H20" s="190">
        <v>42</v>
      </c>
      <c r="I20" s="190">
        <v>0</v>
      </c>
      <c r="J20" s="190">
        <v>1680</v>
      </c>
      <c r="K20" s="190">
        <v>1680</v>
      </c>
      <c r="L20" s="190">
        <v>0</v>
      </c>
      <c r="M20" s="190">
        <v>813</v>
      </c>
      <c r="N20" s="190">
        <v>813</v>
      </c>
      <c r="O20" s="190">
        <v>0</v>
      </c>
      <c r="P20" s="190">
        <v>867</v>
      </c>
      <c r="Q20" s="190">
        <v>867</v>
      </c>
      <c r="R20" s="190">
        <v>0</v>
      </c>
      <c r="S20" s="190">
        <v>20</v>
      </c>
      <c r="T20" s="190">
        <v>20</v>
      </c>
      <c r="U20" s="190">
        <v>0</v>
      </c>
      <c r="V20" s="190">
        <v>254</v>
      </c>
      <c r="W20" s="190">
        <v>254</v>
      </c>
      <c r="X20" s="190">
        <v>179</v>
      </c>
      <c r="Y20" s="190">
        <v>5320</v>
      </c>
      <c r="Z20" s="190">
        <v>5499</v>
      </c>
      <c r="AA20" s="190">
        <v>114</v>
      </c>
      <c r="AB20" s="190">
        <v>2157</v>
      </c>
      <c r="AC20" s="190">
        <v>2271</v>
      </c>
      <c r="AD20" s="190">
        <v>112</v>
      </c>
      <c r="AE20" s="190">
        <v>2031</v>
      </c>
      <c r="AF20" s="190">
        <v>2143</v>
      </c>
      <c r="AG20" s="190">
        <v>2</v>
      </c>
      <c r="AH20" s="190">
        <v>87</v>
      </c>
      <c r="AI20" s="190">
        <v>89</v>
      </c>
      <c r="AJ20" s="190">
        <v>0</v>
      </c>
      <c r="AK20" s="190">
        <v>39</v>
      </c>
      <c r="AL20" s="190">
        <v>39</v>
      </c>
      <c r="AM20" s="190">
        <v>65</v>
      </c>
      <c r="AN20" s="190">
        <v>3163</v>
      </c>
      <c r="AO20" s="190">
        <v>3228</v>
      </c>
      <c r="AP20" s="190">
        <v>9746</v>
      </c>
      <c r="AQ20" s="190">
        <v>55179</v>
      </c>
      <c r="AR20" s="190">
        <v>64925</v>
      </c>
      <c r="AS20" s="190">
        <v>9747</v>
      </c>
      <c r="AT20" s="190">
        <v>55181</v>
      </c>
      <c r="AU20" s="190">
        <v>64928</v>
      </c>
      <c r="AV20" s="190">
        <v>-1</v>
      </c>
      <c r="AW20" s="190">
        <v>-2</v>
      </c>
      <c r="AX20" s="190">
        <v>-3</v>
      </c>
      <c r="AY20" s="190">
        <v>418</v>
      </c>
      <c r="AZ20" s="190">
        <v>5257</v>
      </c>
      <c r="BA20" s="190">
        <v>5675</v>
      </c>
      <c r="BB20" s="190">
        <v>222</v>
      </c>
      <c r="BC20" s="190">
        <v>3</v>
      </c>
      <c r="BD20" s="190">
        <v>0</v>
      </c>
      <c r="BE20" s="190">
        <v>3276</v>
      </c>
      <c r="BF20" s="190">
        <v>51</v>
      </c>
      <c r="BG20" s="190">
        <v>14</v>
      </c>
      <c r="BH20" s="190">
        <v>225</v>
      </c>
      <c r="BI20" s="190">
        <v>3341</v>
      </c>
      <c r="BJ20" s="190">
        <v>3566</v>
      </c>
      <c r="BK20" s="190">
        <v>-40</v>
      </c>
      <c r="BL20" s="190">
        <v>40</v>
      </c>
      <c r="BM20" s="190">
        <v>0</v>
      </c>
      <c r="BN20" s="190">
        <v>19</v>
      </c>
      <c r="BO20" s="190">
        <v>100</v>
      </c>
      <c r="BP20" s="190">
        <v>119</v>
      </c>
      <c r="BQ20" s="190">
        <v>72</v>
      </c>
      <c r="BR20" s="190">
        <v>727</v>
      </c>
      <c r="BS20" s="190">
        <v>799</v>
      </c>
      <c r="BT20" s="190">
        <v>142</v>
      </c>
      <c r="BU20" s="190">
        <v>1049</v>
      </c>
      <c r="BV20" s="190">
        <v>1191</v>
      </c>
      <c r="BW20" s="190">
        <v>10164</v>
      </c>
      <c r="BX20" s="190">
        <v>60436</v>
      </c>
      <c r="BY20" s="190">
        <v>70600</v>
      </c>
      <c r="BZ20" s="190">
        <v>10095</v>
      </c>
      <c r="CA20" s="190">
        <v>59412</v>
      </c>
      <c r="CB20" s="190">
        <v>69507</v>
      </c>
      <c r="CC20" s="190">
        <v>162628</v>
      </c>
      <c r="CD20" s="190">
        <v>62</v>
      </c>
      <c r="CE20" s="190">
        <v>868</v>
      </c>
      <c r="CF20" s="190">
        <v>67</v>
      </c>
      <c r="CG20" s="190">
        <v>789</v>
      </c>
      <c r="CH20" s="190">
        <v>856</v>
      </c>
      <c r="CI20" s="190">
        <v>300</v>
      </c>
      <c r="CJ20" s="190">
        <v>14</v>
      </c>
      <c r="CK20" s="190">
        <v>2</v>
      </c>
      <c r="CL20" s="190">
        <v>235</v>
      </c>
      <c r="CM20" s="190">
        <v>237</v>
      </c>
      <c r="CN20" s="190">
        <v>507</v>
      </c>
      <c r="CO20" s="190">
        <v>4889</v>
      </c>
      <c r="CP20" s="190">
        <v>5396</v>
      </c>
      <c r="CQ20" s="190">
        <v>0</v>
      </c>
      <c r="CR20" s="190">
        <v>6</v>
      </c>
      <c r="CS20" s="190">
        <v>6</v>
      </c>
      <c r="CT20" s="190">
        <v>9657</v>
      </c>
      <c r="CU20" s="190">
        <v>55547</v>
      </c>
      <c r="CV20" s="190">
        <v>65204</v>
      </c>
      <c r="CW20" s="190">
        <v>552</v>
      </c>
      <c r="CX20" s="190">
        <v>2544</v>
      </c>
      <c r="CY20" s="190">
        <v>3096</v>
      </c>
      <c r="CZ20" s="190">
        <v>547</v>
      </c>
      <c r="DA20" s="190">
        <v>3</v>
      </c>
      <c r="DB20" s="190">
        <v>0</v>
      </c>
      <c r="DC20" s="190">
        <v>2442</v>
      </c>
      <c r="DD20" s="190">
        <v>28</v>
      </c>
      <c r="DE20" s="190">
        <v>4</v>
      </c>
      <c r="DF20" s="190">
        <v>550</v>
      </c>
      <c r="DG20" s="190">
        <v>2474</v>
      </c>
      <c r="DH20" s="190">
        <v>3024</v>
      </c>
      <c r="DI20" s="190">
        <v>2</v>
      </c>
      <c r="DJ20" s="190">
        <v>0</v>
      </c>
      <c r="DK20" s="190">
        <v>0</v>
      </c>
      <c r="DL20" s="190">
        <v>69</v>
      </c>
      <c r="DM20" s="190">
        <v>0</v>
      </c>
      <c r="DN20" s="190">
        <v>1</v>
      </c>
      <c r="DO20" s="190">
        <v>2</v>
      </c>
      <c r="DP20" s="190">
        <v>70</v>
      </c>
      <c r="DQ20" s="190">
        <v>72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747</v>
      </c>
      <c r="C21" s="190">
        <v>116</v>
      </c>
      <c r="D21" s="190">
        <v>799</v>
      </c>
      <c r="E21" s="190">
        <v>528</v>
      </c>
      <c r="F21" s="190">
        <v>0</v>
      </c>
      <c r="G21" s="190">
        <v>0</v>
      </c>
      <c r="H21" s="190">
        <v>0</v>
      </c>
      <c r="I21" s="190">
        <v>0</v>
      </c>
      <c r="J21" s="190">
        <v>237</v>
      </c>
      <c r="K21" s="190">
        <v>237</v>
      </c>
      <c r="L21" s="190">
        <v>0</v>
      </c>
      <c r="M21" s="190">
        <v>128</v>
      </c>
      <c r="N21" s="190">
        <v>128</v>
      </c>
      <c r="O21" s="190">
        <v>0</v>
      </c>
      <c r="P21" s="190">
        <v>109</v>
      </c>
      <c r="Q21" s="190">
        <v>109</v>
      </c>
      <c r="R21" s="190">
        <v>0</v>
      </c>
      <c r="S21" s="190">
        <v>0</v>
      </c>
      <c r="T21" s="190">
        <v>0</v>
      </c>
      <c r="U21" s="190">
        <v>0</v>
      </c>
      <c r="V21" s="190">
        <v>34</v>
      </c>
      <c r="W21" s="190">
        <v>34</v>
      </c>
      <c r="X21" s="190">
        <v>29</v>
      </c>
      <c r="Y21" s="190">
        <v>770</v>
      </c>
      <c r="Z21" s="190">
        <v>799</v>
      </c>
      <c r="AA21" s="190">
        <v>21</v>
      </c>
      <c r="AB21" s="190">
        <v>337</v>
      </c>
      <c r="AC21" s="190">
        <v>358</v>
      </c>
      <c r="AD21" s="190">
        <v>20</v>
      </c>
      <c r="AE21" s="190">
        <v>325</v>
      </c>
      <c r="AF21" s="190">
        <v>345</v>
      </c>
      <c r="AG21" s="190">
        <v>1</v>
      </c>
      <c r="AH21" s="190">
        <v>8</v>
      </c>
      <c r="AI21" s="190">
        <v>9</v>
      </c>
      <c r="AJ21" s="190">
        <v>0</v>
      </c>
      <c r="AK21" s="190">
        <v>4</v>
      </c>
      <c r="AL21" s="190">
        <v>4</v>
      </c>
      <c r="AM21" s="190">
        <v>8</v>
      </c>
      <c r="AN21" s="190">
        <v>433</v>
      </c>
      <c r="AO21" s="190">
        <v>441</v>
      </c>
      <c r="AP21" s="190">
        <v>1482</v>
      </c>
      <c r="AQ21" s="190">
        <v>8643</v>
      </c>
      <c r="AR21" s="190">
        <v>10125</v>
      </c>
      <c r="AS21" s="190">
        <v>1482</v>
      </c>
      <c r="AT21" s="190">
        <v>8643</v>
      </c>
      <c r="AU21" s="190">
        <v>10125</v>
      </c>
      <c r="AV21" s="190">
        <v>0</v>
      </c>
      <c r="AW21" s="190">
        <v>0</v>
      </c>
      <c r="AX21" s="190">
        <v>0</v>
      </c>
      <c r="AY21" s="190">
        <v>69</v>
      </c>
      <c r="AZ21" s="190">
        <v>782</v>
      </c>
      <c r="BA21" s="190">
        <v>851</v>
      </c>
      <c r="BB21" s="190">
        <v>33</v>
      </c>
      <c r="BC21" s="190">
        <v>0</v>
      </c>
      <c r="BD21" s="190">
        <v>0</v>
      </c>
      <c r="BE21" s="190">
        <v>481</v>
      </c>
      <c r="BF21" s="190">
        <v>7</v>
      </c>
      <c r="BG21" s="190">
        <v>7</v>
      </c>
      <c r="BH21" s="190">
        <v>33</v>
      </c>
      <c r="BI21" s="190">
        <v>495</v>
      </c>
      <c r="BJ21" s="190">
        <v>528</v>
      </c>
      <c r="BK21" s="190">
        <v>0</v>
      </c>
      <c r="BL21" s="190">
        <v>0</v>
      </c>
      <c r="BM21" s="190">
        <v>0</v>
      </c>
      <c r="BN21" s="190">
        <v>3</v>
      </c>
      <c r="BO21" s="190">
        <v>30</v>
      </c>
      <c r="BP21" s="190">
        <v>33</v>
      </c>
      <c r="BQ21" s="190">
        <v>11</v>
      </c>
      <c r="BR21" s="190">
        <v>122</v>
      </c>
      <c r="BS21" s="190">
        <v>133</v>
      </c>
      <c r="BT21" s="190">
        <v>22</v>
      </c>
      <c r="BU21" s="190">
        <v>135</v>
      </c>
      <c r="BV21" s="190">
        <v>157</v>
      </c>
      <c r="BW21" s="190">
        <v>1551</v>
      </c>
      <c r="BX21" s="190">
        <v>9425</v>
      </c>
      <c r="BY21" s="190">
        <v>10976</v>
      </c>
      <c r="BZ21" s="190">
        <v>1535</v>
      </c>
      <c r="CA21" s="190">
        <v>9260</v>
      </c>
      <c r="CB21" s="190">
        <v>10795</v>
      </c>
      <c r="CC21" s="190">
        <v>24720</v>
      </c>
      <c r="CD21" s="190">
        <v>13</v>
      </c>
      <c r="CE21" s="190">
        <v>143</v>
      </c>
      <c r="CF21" s="190">
        <v>16</v>
      </c>
      <c r="CG21" s="190">
        <v>133</v>
      </c>
      <c r="CH21" s="190">
        <v>149</v>
      </c>
      <c r="CI21" s="190">
        <v>35</v>
      </c>
      <c r="CJ21" s="190">
        <v>9</v>
      </c>
      <c r="CK21" s="190">
        <v>0</v>
      </c>
      <c r="CL21" s="190">
        <v>32</v>
      </c>
      <c r="CM21" s="190">
        <v>32</v>
      </c>
      <c r="CN21" s="190">
        <v>81</v>
      </c>
      <c r="CO21" s="190">
        <v>792</v>
      </c>
      <c r="CP21" s="190">
        <v>873</v>
      </c>
      <c r="CQ21" s="190">
        <v>0</v>
      </c>
      <c r="CR21" s="190">
        <v>1</v>
      </c>
      <c r="CS21" s="190">
        <v>1</v>
      </c>
      <c r="CT21" s="190">
        <v>1470</v>
      </c>
      <c r="CU21" s="190">
        <v>8633</v>
      </c>
      <c r="CV21" s="190">
        <v>10103</v>
      </c>
      <c r="CW21" s="190">
        <v>93</v>
      </c>
      <c r="CX21" s="190">
        <v>374</v>
      </c>
      <c r="CY21" s="190">
        <v>467</v>
      </c>
      <c r="CZ21" s="190">
        <v>90</v>
      </c>
      <c r="DA21" s="190">
        <v>2</v>
      </c>
      <c r="DB21" s="190">
        <v>0</v>
      </c>
      <c r="DC21" s="190">
        <v>364</v>
      </c>
      <c r="DD21" s="190">
        <v>5</v>
      </c>
      <c r="DE21" s="190">
        <v>0</v>
      </c>
      <c r="DF21" s="190">
        <v>92</v>
      </c>
      <c r="DG21" s="190">
        <v>369</v>
      </c>
      <c r="DH21" s="190">
        <v>461</v>
      </c>
      <c r="DI21" s="190">
        <v>1</v>
      </c>
      <c r="DJ21" s="190">
        <v>0</v>
      </c>
      <c r="DK21" s="190">
        <v>0</v>
      </c>
      <c r="DL21" s="190">
        <v>5</v>
      </c>
      <c r="DM21" s="190">
        <v>0</v>
      </c>
      <c r="DN21" s="190">
        <v>0</v>
      </c>
      <c r="DO21" s="190">
        <v>1</v>
      </c>
      <c r="DP21" s="190">
        <v>5</v>
      </c>
      <c r="DQ21" s="190">
        <v>6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441</v>
      </c>
      <c r="C22" s="190">
        <v>50</v>
      </c>
      <c r="D22" s="190">
        <v>441</v>
      </c>
      <c r="E22" s="190">
        <v>319</v>
      </c>
      <c r="F22" s="190">
        <v>0</v>
      </c>
      <c r="G22" s="190">
        <v>18</v>
      </c>
      <c r="H22" s="190">
        <v>18</v>
      </c>
      <c r="I22" s="190">
        <v>0</v>
      </c>
      <c r="J22" s="190">
        <v>99</v>
      </c>
      <c r="K22" s="190">
        <v>99</v>
      </c>
      <c r="L22" s="190">
        <v>0</v>
      </c>
      <c r="M22" s="190">
        <v>34</v>
      </c>
      <c r="N22" s="190">
        <v>34</v>
      </c>
      <c r="O22" s="190">
        <v>0</v>
      </c>
      <c r="P22" s="190">
        <v>65</v>
      </c>
      <c r="Q22" s="190">
        <v>65</v>
      </c>
      <c r="R22" s="190">
        <v>0</v>
      </c>
      <c r="S22" s="190">
        <v>3</v>
      </c>
      <c r="T22" s="190">
        <v>3</v>
      </c>
      <c r="U22" s="190">
        <v>0</v>
      </c>
      <c r="V22" s="190">
        <v>23</v>
      </c>
      <c r="W22" s="190">
        <v>23</v>
      </c>
      <c r="X22" s="190">
        <v>6</v>
      </c>
      <c r="Y22" s="190">
        <v>435</v>
      </c>
      <c r="Z22" s="190">
        <v>441</v>
      </c>
      <c r="AA22" s="190">
        <v>3</v>
      </c>
      <c r="AB22" s="190">
        <v>220</v>
      </c>
      <c r="AC22" s="190">
        <v>223</v>
      </c>
      <c r="AD22" s="190">
        <v>3</v>
      </c>
      <c r="AE22" s="190">
        <v>202</v>
      </c>
      <c r="AF22" s="190">
        <v>205</v>
      </c>
      <c r="AG22" s="190">
        <v>0</v>
      </c>
      <c r="AH22" s="190">
        <v>14</v>
      </c>
      <c r="AI22" s="190">
        <v>14</v>
      </c>
      <c r="AJ22" s="190">
        <v>0</v>
      </c>
      <c r="AK22" s="190">
        <v>4</v>
      </c>
      <c r="AL22" s="190">
        <v>4</v>
      </c>
      <c r="AM22" s="190">
        <v>3</v>
      </c>
      <c r="AN22" s="190">
        <v>215</v>
      </c>
      <c r="AO22" s="190">
        <v>218</v>
      </c>
      <c r="AP22" s="190">
        <v>551</v>
      </c>
      <c r="AQ22" s="190">
        <v>5442</v>
      </c>
      <c r="AR22" s="190">
        <v>5993</v>
      </c>
      <c r="AS22" s="190">
        <v>551</v>
      </c>
      <c r="AT22" s="190">
        <v>5442</v>
      </c>
      <c r="AU22" s="190">
        <v>5993</v>
      </c>
      <c r="AV22" s="190">
        <v>0</v>
      </c>
      <c r="AW22" s="190">
        <v>0</v>
      </c>
      <c r="AX22" s="190">
        <v>0</v>
      </c>
      <c r="AY22" s="190">
        <v>26</v>
      </c>
      <c r="AZ22" s="190">
        <v>532</v>
      </c>
      <c r="BA22" s="190">
        <v>558</v>
      </c>
      <c r="BB22" s="190">
        <v>8</v>
      </c>
      <c r="BC22" s="190">
        <v>0</v>
      </c>
      <c r="BD22" s="190">
        <v>0</v>
      </c>
      <c r="BE22" s="190">
        <v>310</v>
      </c>
      <c r="BF22" s="190">
        <v>0</v>
      </c>
      <c r="BG22" s="190">
        <v>1</v>
      </c>
      <c r="BH22" s="190">
        <v>8</v>
      </c>
      <c r="BI22" s="190">
        <v>311</v>
      </c>
      <c r="BJ22" s="190">
        <v>319</v>
      </c>
      <c r="BK22" s="190">
        <v>2</v>
      </c>
      <c r="BL22" s="190">
        <v>-2</v>
      </c>
      <c r="BM22" s="190">
        <v>0</v>
      </c>
      <c r="BN22" s="190">
        <v>1</v>
      </c>
      <c r="BO22" s="190">
        <v>4</v>
      </c>
      <c r="BP22" s="190">
        <v>5</v>
      </c>
      <c r="BQ22" s="190">
        <v>1</v>
      </c>
      <c r="BR22" s="190">
        <v>28</v>
      </c>
      <c r="BS22" s="190">
        <v>29</v>
      </c>
      <c r="BT22" s="190">
        <v>14</v>
      </c>
      <c r="BU22" s="190">
        <v>191</v>
      </c>
      <c r="BV22" s="190">
        <v>205</v>
      </c>
      <c r="BW22" s="190">
        <v>577</v>
      </c>
      <c r="BX22" s="190">
        <v>5974</v>
      </c>
      <c r="BY22" s="190">
        <v>6551</v>
      </c>
      <c r="BZ22" s="190">
        <v>570</v>
      </c>
      <c r="CA22" s="190">
        <v>5946</v>
      </c>
      <c r="CB22" s="190">
        <v>6516</v>
      </c>
      <c r="CC22" s="190">
        <v>12205</v>
      </c>
      <c r="CD22" s="190">
        <v>4</v>
      </c>
      <c r="CE22" s="190">
        <v>33</v>
      </c>
      <c r="CF22" s="190">
        <v>7</v>
      </c>
      <c r="CG22" s="190">
        <v>23</v>
      </c>
      <c r="CH22" s="190">
        <v>30</v>
      </c>
      <c r="CI22" s="190">
        <v>7</v>
      </c>
      <c r="CJ22" s="190">
        <v>1</v>
      </c>
      <c r="CK22" s="190">
        <v>0</v>
      </c>
      <c r="CL22" s="190">
        <v>5</v>
      </c>
      <c r="CM22" s="190">
        <v>5</v>
      </c>
      <c r="CN22" s="190">
        <v>40</v>
      </c>
      <c r="CO22" s="190">
        <v>489</v>
      </c>
      <c r="CP22" s="190">
        <v>529</v>
      </c>
      <c r="CQ22" s="190">
        <v>0</v>
      </c>
      <c r="CR22" s="190">
        <v>1</v>
      </c>
      <c r="CS22" s="190">
        <v>1</v>
      </c>
      <c r="CT22" s="190">
        <v>537</v>
      </c>
      <c r="CU22" s="190">
        <v>5485</v>
      </c>
      <c r="CV22" s="190">
        <v>6022</v>
      </c>
      <c r="CW22" s="190">
        <v>35</v>
      </c>
      <c r="CX22" s="190">
        <v>291</v>
      </c>
      <c r="CY22" s="190">
        <v>326</v>
      </c>
      <c r="CZ22" s="190">
        <v>35</v>
      </c>
      <c r="DA22" s="190">
        <v>0</v>
      </c>
      <c r="DB22" s="190">
        <v>0</v>
      </c>
      <c r="DC22" s="190">
        <v>288</v>
      </c>
      <c r="DD22" s="190">
        <v>2</v>
      </c>
      <c r="DE22" s="190">
        <v>0</v>
      </c>
      <c r="DF22" s="190">
        <v>35</v>
      </c>
      <c r="DG22" s="190">
        <v>290</v>
      </c>
      <c r="DH22" s="190">
        <v>325</v>
      </c>
      <c r="DI22" s="190">
        <v>0</v>
      </c>
      <c r="DJ22" s="190">
        <v>0</v>
      </c>
      <c r="DK22" s="190">
        <v>0</v>
      </c>
      <c r="DL22" s="190">
        <v>1</v>
      </c>
      <c r="DM22" s="190">
        <v>0</v>
      </c>
      <c r="DN22" s="190">
        <v>0</v>
      </c>
      <c r="DO22" s="190">
        <v>0</v>
      </c>
      <c r="DP22" s="190">
        <v>1</v>
      </c>
      <c r="DQ22" s="190">
        <v>1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109</v>
      </c>
      <c r="C23" s="190">
        <v>6</v>
      </c>
      <c r="D23" s="190">
        <v>98</v>
      </c>
      <c r="E23" s="190">
        <v>71</v>
      </c>
      <c r="F23" s="190">
        <v>0</v>
      </c>
      <c r="G23" s="190">
        <v>6</v>
      </c>
      <c r="H23" s="190">
        <v>6</v>
      </c>
      <c r="I23" s="190">
        <v>1</v>
      </c>
      <c r="J23" s="190">
        <v>25</v>
      </c>
      <c r="K23" s="190">
        <v>26</v>
      </c>
      <c r="L23" s="190">
        <v>1</v>
      </c>
      <c r="M23" s="190">
        <v>11</v>
      </c>
      <c r="N23" s="190">
        <v>12</v>
      </c>
      <c r="O23" s="190">
        <v>0</v>
      </c>
      <c r="P23" s="190">
        <v>14</v>
      </c>
      <c r="Q23" s="190">
        <v>14</v>
      </c>
      <c r="R23" s="190">
        <v>0</v>
      </c>
      <c r="S23" s="190">
        <v>1</v>
      </c>
      <c r="T23" s="190">
        <v>1</v>
      </c>
      <c r="U23" s="190">
        <v>0</v>
      </c>
      <c r="V23" s="190">
        <v>1</v>
      </c>
      <c r="W23" s="190">
        <v>1</v>
      </c>
      <c r="X23" s="190">
        <v>4</v>
      </c>
      <c r="Y23" s="190">
        <v>94</v>
      </c>
      <c r="Z23" s="190">
        <v>98</v>
      </c>
      <c r="AA23" s="190">
        <v>1</v>
      </c>
      <c r="AB23" s="190">
        <v>45</v>
      </c>
      <c r="AC23" s="190">
        <v>46</v>
      </c>
      <c r="AD23" s="190">
        <v>1</v>
      </c>
      <c r="AE23" s="190">
        <v>40</v>
      </c>
      <c r="AF23" s="190">
        <v>41</v>
      </c>
      <c r="AG23" s="190">
        <v>0</v>
      </c>
      <c r="AH23" s="190">
        <v>3</v>
      </c>
      <c r="AI23" s="190">
        <v>3</v>
      </c>
      <c r="AJ23" s="190">
        <v>0</v>
      </c>
      <c r="AK23" s="190">
        <v>2</v>
      </c>
      <c r="AL23" s="190">
        <v>2</v>
      </c>
      <c r="AM23" s="190">
        <v>3</v>
      </c>
      <c r="AN23" s="190">
        <v>49</v>
      </c>
      <c r="AO23" s="190">
        <v>52</v>
      </c>
      <c r="AP23" s="190">
        <v>225</v>
      </c>
      <c r="AQ23" s="190">
        <v>1188</v>
      </c>
      <c r="AR23" s="190">
        <v>1413</v>
      </c>
      <c r="AS23" s="190">
        <v>225</v>
      </c>
      <c r="AT23" s="190">
        <v>1189</v>
      </c>
      <c r="AU23" s="190">
        <v>1414</v>
      </c>
      <c r="AV23" s="190">
        <v>0</v>
      </c>
      <c r="AW23" s="190">
        <v>-1</v>
      </c>
      <c r="AX23" s="190">
        <v>-1</v>
      </c>
      <c r="AY23" s="190">
        <v>15</v>
      </c>
      <c r="AZ23" s="190">
        <v>164</v>
      </c>
      <c r="BA23" s="190">
        <v>179</v>
      </c>
      <c r="BB23" s="190">
        <v>5</v>
      </c>
      <c r="BC23" s="190">
        <v>0</v>
      </c>
      <c r="BD23" s="190">
        <v>0</v>
      </c>
      <c r="BE23" s="190">
        <v>66</v>
      </c>
      <c r="BF23" s="190">
        <v>0</v>
      </c>
      <c r="BG23" s="190">
        <v>0</v>
      </c>
      <c r="BH23" s="190">
        <v>5</v>
      </c>
      <c r="BI23" s="190">
        <v>66</v>
      </c>
      <c r="BJ23" s="190">
        <v>71</v>
      </c>
      <c r="BK23" s="190">
        <v>0</v>
      </c>
      <c r="BL23" s="190">
        <v>0</v>
      </c>
      <c r="BM23" s="190">
        <v>0</v>
      </c>
      <c r="BN23" s="190">
        <v>0</v>
      </c>
      <c r="BO23" s="190">
        <v>6</v>
      </c>
      <c r="BP23" s="190">
        <v>6</v>
      </c>
      <c r="BQ23" s="190">
        <v>4</v>
      </c>
      <c r="BR23" s="190">
        <v>44</v>
      </c>
      <c r="BS23" s="190">
        <v>48</v>
      </c>
      <c r="BT23" s="190">
        <v>6</v>
      </c>
      <c r="BU23" s="190">
        <v>48</v>
      </c>
      <c r="BV23" s="190">
        <v>54</v>
      </c>
      <c r="BW23" s="190">
        <v>240</v>
      </c>
      <c r="BX23" s="190">
        <v>1352</v>
      </c>
      <c r="BY23" s="190">
        <v>1592</v>
      </c>
      <c r="BZ23" s="190">
        <v>240</v>
      </c>
      <c r="CA23" s="190">
        <v>1349</v>
      </c>
      <c r="CB23" s="190">
        <v>1589</v>
      </c>
      <c r="CC23" s="190">
        <v>3106</v>
      </c>
      <c r="CD23" s="190">
        <v>0</v>
      </c>
      <c r="CE23" s="190">
        <v>4</v>
      </c>
      <c r="CF23" s="190">
        <v>0</v>
      </c>
      <c r="CG23" s="190">
        <v>3</v>
      </c>
      <c r="CH23" s="190">
        <v>3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28</v>
      </c>
      <c r="CO23" s="190">
        <v>146</v>
      </c>
      <c r="CP23" s="190">
        <v>174</v>
      </c>
      <c r="CQ23" s="190">
        <v>0</v>
      </c>
      <c r="CR23" s="190">
        <v>0</v>
      </c>
      <c r="CS23" s="190">
        <v>0</v>
      </c>
      <c r="CT23" s="190">
        <v>212</v>
      </c>
      <c r="CU23" s="190">
        <v>1206</v>
      </c>
      <c r="CV23" s="190">
        <v>1418</v>
      </c>
      <c r="CW23" s="190">
        <v>15</v>
      </c>
      <c r="CX23" s="190">
        <v>70</v>
      </c>
      <c r="CY23" s="190">
        <v>85</v>
      </c>
      <c r="CZ23" s="190">
        <v>15</v>
      </c>
      <c r="DA23" s="190">
        <v>0</v>
      </c>
      <c r="DB23" s="190">
        <v>0</v>
      </c>
      <c r="DC23" s="190">
        <v>70</v>
      </c>
      <c r="DD23" s="190">
        <v>0</v>
      </c>
      <c r="DE23" s="190">
        <v>0</v>
      </c>
      <c r="DF23" s="190">
        <v>15</v>
      </c>
      <c r="DG23" s="190">
        <v>70</v>
      </c>
      <c r="DH23" s="190">
        <v>85</v>
      </c>
      <c r="DI23" s="190">
        <v>0</v>
      </c>
      <c r="DJ23" s="190">
        <v>0</v>
      </c>
      <c r="DK23" s="190">
        <v>0</v>
      </c>
      <c r="DL23" s="190">
        <v>0</v>
      </c>
      <c r="DM23" s="190">
        <v>0</v>
      </c>
      <c r="DN23" s="190">
        <v>0</v>
      </c>
      <c r="DO23" s="190">
        <v>0</v>
      </c>
      <c r="DP23" s="190">
        <v>0</v>
      </c>
      <c r="DQ23" s="190">
        <v>0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29766</v>
      </c>
      <c r="C24" s="190">
        <v>5526</v>
      </c>
      <c r="D24" s="190">
        <v>33892</v>
      </c>
      <c r="E24" s="190">
        <v>25609</v>
      </c>
      <c r="F24" s="190">
        <v>54</v>
      </c>
      <c r="G24" s="190">
        <v>316</v>
      </c>
      <c r="H24" s="190">
        <v>370</v>
      </c>
      <c r="I24" s="190">
        <v>22</v>
      </c>
      <c r="J24" s="190">
        <v>7118</v>
      </c>
      <c r="K24" s="190">
        <v>7140</v>
      </c>
      <c r="L24" s="190">
        <v>8</v>
      </c>
      <c r="M24" s="190">
        <v>2432</v>
      </c>
      <c r="N24" s="190">
        <v>2440</v>
      </c>
      <c r="O24" s="190">
        <v>14</v>
      </c>
      <c r="P24" s="190">
        <v>4686</v>
      </c>
      <c r="Q24" s="190">
        <v>4700</v>
      </c>
      <c r="R24" s="190">
        <v>1</v>
      </c>
      <c r="S24" s="190">
        <v>178</v>
      </c>
      <c r="T24" s="190">
        <v>179</v>
      </c>
      <c r="U24" s="190">
        <v>0</v>
      </c>
      <c r="V24" s="190">
        <v>1143</v>
      </c>
      <c r="W24" s="190">
        <v>1143</v>
      </c>
      <c r="X24" s="190">
        <v>1983</v>
      </c>
      <c r="Y24" s="190">
        <v>29511</v>
      </c>
      <c r="Z24" s="190">
        <v>31494</v>
      </c>
      <c r="AA24" s="190">
        <v>1356</v>
      </c>
      <c r="AB24" s="190">
        <v>14872</v>
      </c>
      <c r="AC24" s="190">
        <v>16228</v>
      </c>
      <c r="AD24" s="190">
        <v>1116</v>
      </c>
      <c r="AE24" s="190">
        <v>13595</v>
      </c>
      <c r="AF24" s="190">
        <v>14711</v>
      </c>
      <c r="AG24" s="190">
        <v>78</v>
      </c>
      <c r="AH24" s="190">
        <v>459</v>
      </c>
      <c r="AI24" s="190">
        <v>537</v>
      </c>
      <c r="AJ24" s="190">
        <v>162</v>
      </c>
      <c r="AK24" s="190">
        <v>818</v>
      </c>
      <c r="AL24" s="190">
        <v>980</v>
      </c>
      <c r="AM24" s="190">
        <v>627</v>
      </c>
      <c r="AN24" s="190">
        <v>14639</v>
      </c>
      <c r="AO24" s="190">
        <v>15266</v>
      </c>
      <c r="AP24" s="190">
        <v>81928</v>
      </c>
      <c r="AQ24" s="190">
        <v>421408</v>
      </c>
      <c r="AR24" s="190">
        <v>503336</v>
      </c>
      <c r="AS24" s="190">
        <v>83630</v>
      </c>
      <c r="AT24" s="190">
        <v>437192</v>
      </c>
      <c r="AU24" s="190">
        <v>520822</v>
      </c>
      <c r="AV24" s="190">
        <v>-1702</v>
      </c>
      <c r="AW24" s="190">
        <v>-15784</v>
      </c>
      <c r="AX24" s="190">
        <v>-17486</v>
      </c>
      <c r="AY24" s="190">
        <v>4755</v>
      </c>
      <c r="AZ24" s="190">
        <v>39722</v>
      </c>
      <c r="BA24" s="190">
        <v>44477</v>
      </c>
      <c r="BB24" s="190">
        <v>2300</v>
      </c>
      <c r="BC24" s="190">
        <v>42</v>
      </c>
      <c r="BD24" s="190">
        <v>10</v>
      </c>
      <c r="BE24" s="190">
        <v>22832</v>
      </c>
      <c r="BF24" s="190">
        <v>217</v>
      </c>
      <c r="BG24" s="190">
        <v>208</v>
      </c>
      <c r="BH24" s="190">
        <v>2352</v>
      </c>
      <c r="BI24" s="190">
        <v>23257</v>
      </c>
      <c r="BJ24" s="190">
        <v>25609</v>
      </c>
      <c r="BK24" s="190">
        <v>-997</v>
      </c>
      <c r="BL24" s="190">
        <v>997</v>
      </c>
      <c r="BM24" s="190">
        <v>0</v>
      </c>
      <c r="BN24" s="190">
        <v>43</v>
      </c>
      <c r="BO24" s="190">
        <v>170</v>
      </c>
      <c r="BP24" s="190">
        <v>213</v>
      </c>
      <c r="BQ24" s="190">
        <v>361</v>
      </c>
      <c r="BR24" s="190">
        <v>2318</v>
      </c>
      <c r="BS24" s="190">
        <v>2679</v>
      </c>
      <c r="BT24" s="190">
        <v>2996</v>
      </c>
      <c r="BU24" s="190">
        <v>12980</v>
      </c>
      <c r="BV24" s="190">
        <v>15976</v>
      </c>
      <c r="BW24" s="190">
        <v>86683</v>
      </c>
      <c r="BX24" s="190">
        <v>461130</v>
      </c>
      <c r="BY24" s="190">
        <v>547813</v>
      </c>
      <c r="BZ24" s="190">
        <v>84180</v>
      </c>
      <c r="CA24" s="190">
        <v>452404</v>
      </c>
      <c r="CB24" s="190">
        <v>536584</v>
      </c>
      <c r="CC24" s="190">
        <v>1085179</v>
      </c>
      <c r="CD24" s="190">
        <v>621</v>
      </c>
      <c r="CE24" s="190">
        <v>9160</v>
      </c>
      <c r="CF24" s="190">
        <v>2258</v>
      </c>
      <c r="CG24" s="190">
        <v>5345</v>
      </c>
      <c r="CH24" s="190">
        <v>7603</v>
      </c>
      <c r="CI24" s="190">
        <v>4076</v>
      </c>
      <c r="CJ24" s="190">
        <v>579</v>
      </c>
      <c r="CK24" s="190">
        <v>245</v>
      </c>
      <c r="CL24" s="190">
        <v>3381</v>
      </c>
      <c r="CM24" s="190">
        <v>3626</v>
      </c>
      <c r="CN24" s="190">
        <v>4051</v>
      </c>
      <c r="CO24" s="190">
        <v>26502</v>
      </c>
      <c r="CP24" s="190">
        <v>30553</v>
      </c>
      <c r="CQ24" s="190">
        <v>111</v>
      </c>
      <c r="CR24" s="190">
        <v>369</v>
      </c>
      <c r="CS24" s="190">
        <v>480</v>
      </c>
      <c r="CT24" s="190">
        <v>82632</v>
      </c>
      <c r="CU24" s="190">
        <v>434628</v>
      </c>
      <c r="CV24" s="190">
        <v>517260</v>
      </c>
      <c r="CW24" s="190">
        <v>5201</v>
      </c>
      <c r="CX24" s="190">
        <v>16524</v>
      </c>
      <c r="CY24" s="190">
        <v>21725</v>
      </c>
      <c r="CZ24" s="190">
        <v>5041</v>
      </c>
      <c r="DA24" s="190">
        <v>131</v>
      </c>
      <c r="DB24" s="190">
        <v>0</v>
      </c>
      <c r="DC24" s="190">
        <v>15992</v>
      </c>
      <c r="DD24" s="190">
        <v>276</v>
      </c>
      <c r="DE24" s="190">
        <v>98</v>
      </c>
      <c r="DF24" s="190">
        <v>5172</v>
      </c>
      <c r="DG24" s="190">
        <v>16366</v>
      </c>
      <c r="DH24" s="190">
        <v>21538</v>
      </c>
      <c r="DI24" s="190">
        <v>28</v>
      </c>
      <c r="DJ24" s="190">
        <v>1</v>
      </c>
      <c r="DK24" s="190">
        <v>0</v>
      </c>
      <c r="DL24" s="190">
        <v>150</v>
      </c>
      <c r="DM24" s="190">
        <v>7</v>
      </c>
      <c r="DN24" s="190">
        <v>1</v>
      </c>
      <c r="DO24" s="190">
        <v>29</v>
      </c>
      <c r="DP24" s="190">
        <v>158</v>
      </c>
      <c r="DQ24" s="190">
        <v>187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643</v>
      </c>
      <c r="C25" s="190">
        <v>70</v>
      </c>
      <c r="D25" s="190">
        <v>632</v>
      </c>
      <c r="E25" s="190">
        <v>401</v>
      </c>
      <c r="F25" s="190">
        <v>0</v>
      </c>
      <c r="G25" s="190">
        <v>1</v>
      </c>
      <c r="H25" s="190">
        <v>1</v>
      </c>
      <c r="I25" s="190">
        <v>1</v>
      </c>
      <c r="J25" s="190">
        <v>206</v>
      </c>
      <c r="K25" s="190">
        <v>207</v>
      </c>
      <c r="L25" s="190">
        <v>1</v>
      </c>
      <c r="M25" s="190">
        <v>87</v>
      </c>
      <c r="N25" s="190">
        <v>88</v>
      </c>
      <c r="O25" s="190">
        <v>0</v>
      </c>
      <c r="P25" s="190">
        <v>119</v>
      </c>
      <c r="Q25" s="190">
        <v>119</v>
      </c>
      <c r="R25" s="190">
        <v>0</v>
      </c>
      <c r="S25" s="190">
        <v>1</v>
      </c>
      <c r="T25" s="190">
        <v>1</v>
      </c>
      <c r="U25" s="190">
        <v>0</v>
      </c>
      <c r="V25" s="190">
        <v>24</v>
      </c>
      <c r="W25" s="190">
        <v>24</v>
      </c>
      <c r="X25" s="190">
        <v>18</v>
      </c>
      <c r="Y25" s="190">
        <v>612</v>
      </c>
      <c r="Z25" s="190">
        <v>630</v>
      </c>
      <c r="AA25" s="190">
        <v>12</v>
      </c>
      <c r="AB25" s="190">
        <v>254</v>
      </c>
      <c r="AC25" s="190">
        <v>266</v>
      </c>
      <c r="AD25" s="190">
        <v>10</v>
      </c>
      <c r="AE25" s="190">
        <v>244</v>
      </c>
      <c r="AF25" s="190">
        <v>254</v>
      </c>
      <c r="AG25" s="190">
        <v>0</v>
      </c>
      <c r="AH25" s="190">
        <v>9</v>
      </c>
      <c r="AI25" s="190">
        <v>9</v>
      </c>
      <c r="AJ25" s="190">
        <v>2</v>
      </c>
      <c r="AK25" s="190">
        <v>1</v>
      </c>
      <c r="AL25" s="190">
        <v>3</v>
      </c>
      <c r="AM25" s="190">
        <v>6</v>
      </c>
      <c r="AN25" s="190">
        <v>358</v>
      </c>
      <c r="AO25" s="190">
        <v>364</v>
      </c>
      <c r="AP25" s="190">
        <v>1728</v>
      </c>
      <c r="AQ25" s="190">
        <v>9389</v>
      </c>
      <c r="AR25" s="190">
        <v>11117</v>
      </c>
      <c r="AS25" s="190">
        <v>1728</v>
      </c>
      <c r="AT25" s="190">
        <v>9389</v>
      </c>
      <c r="AU25" s="190">
        <v>11117</v>
      </c>
      <c r="AV25" s="190">
        <v>0</v>
      </c>
      <c r="AW25" s="190">
        <v>0</v>
      </c>
      <c r="AX25" s="190">
        <v>0</v>
      </c>
      <c r="AY25" s="190">
        <v>72</v>
      </c>
      <c r="AZ25" s="190">
        <v>704</v>
      </c>
      <c r="BA25" s="190">
        <v>776</v>
      </c>
      <c r="BB25" s="190">
        <v>22</v>
      </c>
      <c r="BC25" s="190">
        <v>1</v>
      </c>
      <c r="BD25" s="190">
        <v>0</v>
      </c>
      <c r="BE25" s="190">
        <v>374</v>
      </c>
      <c r="BF25" s="190">
        <v>2</v>
      </c>
      <c r="BG25" s="190">
        <v>2</v>
      </c>
      <c r="BH25" s="190">
        <v>23</v>
      </c>
      <c r="BI25" s="190">
        <v>378</v>
      </c>
      <c r="BJ25" s="190">
        <v>401</v>
      </c>
      <c r="BK25" s="190">
        <v>-2</v>
      </c>
      <c r="BL25" s="190">
        <v>2</v>
      </c>
      <c r="BM25" s="190">
        <v>0</v>
      </c>
      <c r="BN25" s="190">
        <v>4</v>
      </c>
      <c r="BO25" s="190">
        <v>26</v>
      </c>
      <c r="BP25" s="190">
        <v>30</v>
      </c>
      <c r="BQ25" s="190">
        <v>15</v>
      </c>
      <c r="BR25" s="190">
        <v>152</v>
      </c>
      <c r="BS25" s="190">
        <v>167</v>
      </c>
      <c r="BT25" s="190">
        <v>32</v>
      </c>
      <c r="BU25" s="190">
        <v>146</v>
      </c>
      <c r="BV25" s="190">
        <v>178</v>
      </c>
      <c r="BW25" s="190">
        <v>1800</v>
      </c>
      <c r="BX25" s="190">
        <v>10093</v>
      </c>
      <c r="BY25" s="190">
        <v>11893</v>
      </c>
      <c r="BZ25" s="190">
        <v>1783</v>
      </c>
      <c r="CA25" s="190">
        <v>10020</v>
      </c>
      <c r="CB25" s="190">
        <v>11803</v>
      </c>
      <c r="CC25" s="190">
        <v>25735</v>
      </c>
      <c r="CD25" s="190">
        <v>3</v>
      </c>
      <c r="CE25" s="190">
        <v>80</v>
      </c>
      <c r="CF25" s="190">
        <v>16</v>
      </c>
      <c r="CG25" s="190">
        <v>63</v>
      </c>
      <c r="CH25" s="190">
        <v>79</v>
      </c>
      <c r="CI25" s="190">
        <v>10</v>
      </c>
      <c r="CJ25" s="190">
        <v>9</v>
      </c>
      <c r="CK25" s="190">
        <v>1</v>
      </c>
      <c r="CL25" s="190">
        <v>10</v>
      </c>
      <c r="CM25" s="190">
        <v>11</v>
      </c>
      <c r="CN25" s="190">
        <v>54</v>
      </c>
      <c r="CO25" s="190">
        <v>640</v>
      </c>
      <c r="CP25" s="190">
        <v>694</v>
      </c>
      <c r="CQ25" s="190">
        <v>0</v>
      </c>
      <c r="CR25" s="190">
        <v>0</v>
      </c>
      <c r="CS25" s="190">
        <v>0</v>
      </c>
      <c r="CT25" s="190">
        <v>1746</v>
      </c>
      <c r="CU25" s="190">
        <v>9453</v>
      </c>
      <c r="CV25" s="190">
        <v>11199</v>
      </c>
      <c r="CW25" s="190">
        <v>112</v>
      </c>
      <c r="CX25" s="190">
        <v>515</v>
      </c>
      <c r="CY25" s="190">
        <v>627</v>
      </c>
      <c r="CZ25" s="190">
        <v>109</v>
      </c>
      <c r="DA25" s="190">
        <v>2</v>
      </c>
      <c r="DB25" s="190">
        <v>0</v>
      </c>
      <c r="DC25" s="190">
        <v>505</v>
      </c>
      <c r="DD25" s="190">
        <v>5</v>
      </c>
      <c r="DE25" s="190">
        <v>0</v>
      </c>
      <c r="DF25" s="190">
        <v>111</v>
      </c>
      <c r="DG25" s="190">
        <v>510</v>
      </c>
      <c r="DH25" s="190">
        <v>621</v>
      </c>
      <c r="DI25" s="190">
        <v>1</v>
      </c>
      <c r="DJ25" s="190">
        <v>0</v>
      </c>
      <c r="DK25" s="190">
        <v>0</v>
      </c>
      <c r="DL25" s="190">
        <v>4</v>
      </c>
      <c r="DM25" s="190">
        <v>1</v>
      </c>
      <c r="DN25" s="190">
        <v>0</v>
      </c>
      <c r="DO25" s="190">
        <v>1</v>
      </c>
      <c r="DP25" s="190">
        <v>5</v>
      </c>
      <c r="DQ25" s="190">
        <v>6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483</v>
      </c>
      <c r="C26" s="190">
        <v>120</v>
      </c>
      <c r="D26" s="190">
        <v>457</v>
      </c>
      <c r="E26" s="190">
        <v>313</v>
      </c>
      <c r="F26" s="190">
        <v>0</v>
      </c>
      <c r="G26" s="190">
        <v>6</v>
      </c>
      <c r="H26" s="190">
        <v>6</v>
      </c>
      <c r="I26" s="190">
        <v>0</v>
      </c>
      <c r="J26" s="190">
        <v>120</v>
      </c>
      <c r="K26" s="190">
        <v>120</v>
      </c>
      <c r="L26" s="190">
        <v>0</v>
      </c>
      <c r="M26" s="190">
        <v>49</v>
      </c>
      <c r="N26" s="190">
        <v>49</v>
      </c>
      <c r="O26" s="190">
        <v>0</v>
      </c>
      <c r="P26" s="190">
        <v>71</v>
      </c>
      <c r="Q26" s="190">
        <v>71</v>
      </c>
      <c r="R26" s="190">
        <v>0</v>
      </c>
      <c r="S26" s="190">
        <v>2</v>
      </c>
      <c r="T26" s="190">
        <v>2</v>
      </c>
      <c r="U26" s="190">
        <v>0</v>
      </c>
      <c r="V26" s="190">
        <v>24</v>
      </c>
      <c r="W26" s="190">
        <v>24</v>
      </c>
      <c r="X26" s="190">
        <v>5</v>
      </c>
      <c r="Y26" s="190">
        <v>452</v>
      </c>
      <c r="Z26" s="190">
        <v>457</v>
      </c>
      <c r="AA26" s="190">
        <v>4</v>
      </c>
      <c r="AB26" s="190">
        <v>208</v>
      </c>
      <c r="AC26" s="190">
        <v>212</v>
      </c>
      <c r="AD26" s="190">
        <v>4</v>
      </c>
      <c r="AE26" s="190">
        <v>195</v>
      </c>
      <c r="AF26" s="190">
        <v>199</v>
      </c>
      <c r="AG26" s="190">
        <v>0</v>
      </c>
      <c r="AH26" s="190">
        <v>5</v>
      </c>
      <c r="AI26" s="190">
        <v>5</v>
      </c>
      <c r="AJ26" s="190">
        <v>0</v>
      </c>
      <c r="AK26" s="190">
        <v>8</v>
      </c>
      <c r="AL26" s="190">
        <v>8</v>
      </c>
      <c r="AM26" s="190">
        <v>1</v>
      </c>
      <c r="AN26" s="190">
        <v>244</v>
      </c>
      <c r="AO26" s="190">
        <v>245</v>
      </c>
      <c r="AP26" s="190">
        <v>540</v>
      </c>
      <c r="AQ26" s="190">
        <v>4969</v>
      </c>
      <c r="AR26" s="190">
        <v>5509</v>
      </c>
      <c r="AS26" s="190">
        <v>540</v>
      </c>
      <c r="AT26" s="190">
        <v>4970</v>
      </c>
      <c r="AU26" s="190">
        <v>5510</v>
      </c>
      <c r="AV26" s="190">
        <v>0</v>
      </c>
      <c r="AW26" s="190">
        <v>-1</v>
      </c>
      <c r="AX26" s="190">
        <v>-1</v>
      </c>
      <c r="AY26" s="190">
        <v>34</v>
      </c>
      <c r="AZ26" s="190">
        <v>545</v>
      </c>
      <c r="BA26" s="190">
        <v>579</v>
      </c>
      <c r="BB26" s="190">
        <v>5</v>
      </c>
      <c r="BC26" s="190">
        <v>0</v>
      </c>
      <c r="BD26" s="190">
        <v>0</v>
      </c>
      <c r="BE26" s="190">
        <v>291</v>
      </c>
      <c r="BF26" s="190">
        <v>10</v>
      </c>
      <c r="BG26" s="190">
        <v>7</v>
      </c>
      <c r="BH26" s="190">
        <v>5</v>
      </c>
      <c r="BI26" s="190">
        <v>308</v>
      </c>
      <c r="BJ26" s="190">
        <v>313</v>
      </c>
      <c r="BK26" s="190">
        <v>7</v>
      </c>
      <c r="BL26" s="190">
        <v>-7</v>
      </c>
      <c r="BM26" s="190">
        <v>0</v>
      </c>
      <c r="BN26" s="190">
        <v>1</v>
      </c>
      <c r="BO26" s="190">
        <v>23</v>
      </c>
      <c r="BP26" s="190">
        <v>24</v>
      </c>
      <c r="BQ26" s="190">
        <v>1</v>
      </c>
      <c r="BR26" s="190">
        <v>69</v>
      </c>
      <c r="BS26" s="190">
        <v>70</v>
      </c>
      <c r="BT26" s="190">
        <v>20</v>
      </c>
      <c r="BU26" s="190">
        <v>152</v>
      </c>
      <c r="BV26" s="190">
        <v>172</v>
      </c>
      <c r="BW26" s="190">
        <v>574</v>
      </c>
      <c r="BX26" s="190">
        <v>5514</v>
      </c>
      <c r="BY26" s="190">
        <v>6088</v>
      </c>
      <c r="BZ26" s="190">
        <v>539</v>
      </c>
      <c r="CA26" s="190">
        <v>5215</v>
      </c>
      <c r="CB26" s="190">
        <v>5754</v>
      </c>
      <c r="CC26" s="190">
        <v>9646</v>
      </c>
      <c r="CD26" s="190">
        <v>9</v>
      </c>
      <c r="CE26" s="190">
        <v>313</v>
      </c>
      <c r="CF26" s="190">
        <v>32</v>
      </c>
      <c r="CG26" s="190">
        <v>234</v>
      </c>
      <c r="CH26" s="190">
        <v>266</v>
      </c>
      <c r="CI26" s="190">
        <v>67</v>
      </c>
      <c r="CJ26" s="190">
        <v>13</v>
      </c>
      <c r="CK26" s="190">
        <v>3</v>
      </c>
      <c r="CL26" s="190">
        <v>65</v>
      </c>
      <c r="CM26" s="190">
        <v>68</v>
      </c>
      <c r="CN26" s="190">
        <v>29</v>
      </c>
      <c r="CO26" s="190">
        <v>502</v>
      </c>
      <c r="CP26" s="190">
        <v>531</v>
      </c>
      <c r="CQ26" s="190">
        <v>0</v>
      </c>
      <c r="CR26" s="190">
        <v>1</v>
      </c>
      <c r="CS26" s="190">
        <v>1</v>
      </c>
      <c r="CT26" s="190">
        <v>545</v>
      </c>
      <c r="CU26" s="190">
        <v>5012</v>
      </c>
      <c r="CV26" s="190">
        <v>5557</v>
      </c>
      <c r="CW26" s="190">
        <v>32</v>
      </c>
      <c r="CX26" s="190">
        <v>261</v>
      </c>
      <c r="CY26" s="190">
        <v>293</v>
      </c>
      <c r="CZ26" s="190">
        <v>29</v>
      </c>
      <c r="DA26" s="190">
        <v>3</v>
      </c>
      <c r="DB26" s="190">
        <v>0</v>
      </c>
      <c r="DC26" s="190">
        <v>239</v>
      </c>
      <c r="DD26" s="190">
        <v>13</v>
      </c>
      <c r="DE26" s="190">
        <v>6</v>
      </c>
      <c r="DF26" s="190">
        <v>32</v>
      </c>
      <c r="DG26" s="190">
        <v>258</v>
      </c>
      <c r="DH26" s="190">
        <v>290</v>
      </c>
      <c r="DI26" s="190">
        <v>0</v>
      </c>
      <c r="DJ26" s="190">
        <v>0</v>
      </c>
      <c r="DK26" s="190">
        <v>0</v>
      </c>
      <c r="DL26" s="190">
        <v>3</v>
      </c>
      <c r="DM26" s="190">
        <v>0</v>
      </c>
      <c r="DN26" s="190">
        <v>0</v>
      </c>
      <c r="DO26" s="190">
        <v>0</v>
      </c>
      <c r="DP26" s="190">
        <v>3</v>
      </c>
      <c r="DQ26" s="190">
        <v>3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73</v>
      </c>
      <c r="C27" s="190">
        <v>18</v>
      </c>
      <c r="D27" s="190">
        <v>83</v>
      </c>
      <c r="E27" s="190">
        <v>43</v>
      </c>
      <c r="F27" s="190">
        <v>0</v>
      </c>
      <c r="G27" s="190">
        <v>6</v>
      </c>
      <c r="H27" s="190">
        <v>6</v>
      </c>
      <c r="I27" s="190">
        <v>0</v>
      </c>
      <c r="J27" s="190">
        <v>34</v>
      </c>
      <c r="K27" s="190">
        <v>34</v>
      </c>
      <c r="L27" s="190">
        <v>0</v>
      </c>
      <c r="M27" s="190">
        <v>10</v>
      </c>
      <c r="N27" s="190">
        <v>10</v>
      </c>
      <c r="O27" s="190">
        <v>0</v>
      </c>
      <c r="P27" s="190">
        <v>24</v>
      </c>
      <c r="Q27" s="190">
        <v>24</v>
      </c>
      <c r="R27" s="190">
        <v>0</v>
      </c>
      <c r="S27" s="190">
        <v>2</v>
      </c>
      <c r="T27" s="190">
        <v>2</v>
      </c>
      <c r="U27" s="190">
        <v>0</v>
      </c>
      <c r="V27" s="190">
        <v>6</v>
      </c>
      <c r="W27" s="190">
        <v>6</v>
      </c>
      <c r="X27" s="190">
        <v>1</v>
      </c>
      <c r="Y27" s="190">
        <v>82</v>
      </c>
      <c r="Z27" s="190">
        <v>83</v>
      </c>
      <c r="AA27" s="190">
        <v>1</v>
      </c>
      <c r="AB27" s="190">
        <v>29</v>
      </c>
      <c r="AC27" s="190">
        <v>30</v>
      </c>
      <c r="AD27" s="190">
        <v>1</v>
      </c>
      <c r="AE27" s="190">
        <v>17</v>
      </c>
      <c r="AF27" s="190">
        <v>18</v>
      </c>
      <c r="AG27" s="190">
        <v>0</v>
      </c>
      <c r="AH27" s="190">
        <v>8</v>
      </c>
      <c r="AI27" s="190">
        <v>8</v>
      </c>
      <c r="AJ27" s="190">
        <v>0</v>
      </c>
      <c r="AK27" s="190">
        <v>4</v>
      </c>
      <c r="AL27" s="190">
        <v>4</v>
      </c>
      <c r="AM27" s="190">
        <v>0</v>
      </c>
      <c r="AN27" s="190">
        <v>53</v>
      </c>
      <c r="AO27" s="190">
        <v>53</v>
      </c>
      <c r="AP27" s="190">
        <v>90</v>
      </c>
      <c r="AQ27" s="190">
        <v>839</v>
      </c>
      <c r="AR27" s="190">
        <v>929</v>
      </c>
      <c r="AS27" s="190">
        <v>90</v>
      </c>
      <c r="AT27" s="190">
        <v>839</v>
      </c>
      <c r="AU27" s="190">
        <v>929</v>
      </c>
      <c r="AV27" s="190">
        <v>0</v>
      </c>
      <c r="AW27" s="190">
        <v>0</v>
      </c>
      <c r="AX27" s="190">
        <v>0</v>
      </c>
      <c r="AY27" s="190">
        <v>4</v>
      </c>
      <c r="AZ27" s="190">
        <v>87</v>
      </c>
      <c r="BA27" s="190">
        <v>91</v>
      </c>
      <c r="BB27" s="190">
        <v>1</v>
      </c>
      <c r="BC27" s="190">
        <v>0</v>
      </c>
      <c r="BD27" s="190">
        <v>0</v>
      </c>
      <c r="BE27" s="190">
        <v>41</v>
      </c>
      <c r="BF27" s="190">
        <v>0</v>
      </c>
      <c r="BG27" s="190">
        <v>1</v>
      </c>
      <c r="BH27" s="190">
        <v>1</v>
      </c>
      <c r="BI27" s="190">
        <v>42</v>
      </c>
      <c r="BJ27" s="190">
        <v>43</v>
      </c>
      <c r="BK27" s="190">
        <v>-1</v>
      </c>
      <c r="BL27" s="190">
        <v>1</v>
      </c>
      <c r="BM27" s="190">
        <v>0</v>
      </c>
      <c r="BN27" s="190">
        <v>1</v>
      </c>
      <c r="BO27" s="190">
        <v>4</v>
      </c>
      <c r="BP27" s="190">
        <v>5</v>
      </c>
      <c r="BQ27" s="190">
        <v>1</v>
      </c>
      <c r="BR27" s="190">
        <v>10</v>
      </c>
      <c r="BS27" s="190">
        <v>11</v>
      </c>
      <c r="BT27" s="190">
        <v>2</v>
      </c>
      <c r="BU27" s="190">
        <v>30</v>
      </c>
      <c r="BV27" s="190">
        <v>32</v>
      </c>
      <c r="BW27" s="190">
        <v>94</v>
      </c>
      <c r="BX27" s="190">
        <v>926</v>
      </c>
      <c r="BY27" s="190">
        <v>1020</v>
      </c>
      <c r="BZ27" s="190">
        <v>93</v>
      </c>
      <c r="CA27" s="190">
        <v>922</v>
      </c>
      <c r="CB27" s="190">
        <v>1015</v>
      </c>
      <c r="CC27" s="190">
        <v>1865</v>
      </c>
      <c r="CD27" s="190">
        <v>1</v>
      </c>
      <c r="CE27" s="190">
        <v>2</v>
      </c>
      <c r="CF27" s="190">
        <v>1</v>
      </c>
      <c r="CG27" s="190">
        <v>2</v>
      </c>
      <c r="CH27" s="190">
        <v>3</v>
      </c>
      <c r="CI27" s="190">
        <v>2</v>
      </c>
      <c r="CJ27" s="190">
        <v>0</v>
      </c>
      <c r="CK27" s="190">
        <v>0</v>
      </c>
      <c r="CL27" s="190">
        <v>2</v>
      </c>
      <c r="CM27" s="190">
        <v>2</v>
      </c>
      <c r="CN27" s="190">
        <v>6</v>
      </c>
      <c r="CO27" s="190">
        <v>59</v>
      </c>
      <c r="CP27" s="190">
        <v>65</v>
      </c>
      <c r="CQ27" s="190">
        <v>0</v>
      </c>
      <c r="CR27" s="190">
        <v>1</v>
      </c>
      <c r="CS27" s="190">
        <v>1</v>
      </c>
      <c r="CT27" s="190">
        <v>88</v>
      </c>
      <c r="CU27" s="190">
        <v>867</v>
      </c>
      <c r="CV27" s="190">
        <v>955</v>
      </c>
      <c r="CW27" s="190">
        <v>8</v>
      </c>
      <c r="CX27" s="190">
        <v>51</v>
      </c>
      <c r="CY27" s="190">
        <v>59</v>
      </c>
      <c r="CZ27" s="190">
        <v>7</v>
      </c>
      <c r="DA27" s="190">
        <v>0</v>
      </c>
      <c r="DB27" s="190">
        <v>0</v>
      </c>
      <c r="DC27" s="190">
        <v>50</v>
      </c>
      <c r="DD27" s="190">
        <v>0</v>
      </c>
      <c r="DE27" s="190">
        <v>0</v>
      </c>
      <c r="DF27" s="190">
        <v>7</v>
      </c>
      <c r="DG27" s="190">
        <v>50</v>
      </c>
      <c r="DH27" s="190">
        <v>57</v>
      </c>
      <c r="DI27" s="190">
        <v>1</v>
      </c>
      <c r="DJ27" s="190">
        <v>0</v>
      </c>
      <c r="DK27" s="190">
        <v>0</v>
      </c>
      <c r="DL27" s="190">
        <v>1</v>
      </c>
      <c r="DM27" s="190">
        <v>0</v>
      </c>
      <c r="DN27" s="190">
        <v>0</v>
      </c>
      <c r="DO27" s="190">
        <v>1</v>
      </c>
      <c r="DP27" s="190">
        <v>1</v>
      </c>
      <c r="DQ27" s="190">
        <v>2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511</v>
      </c>
      <c r="C28" s="190">
        <v>57</v>
      </c>
      <c r="D28" s="190">
        <v>516</v>
      </c>
      <c r="E28" s="190">
        <v>382</v>
      </c>
      <c r="F28" s="190">
        <v>0</v>
      </c>
      <c r="G28" s="190">
        <v>29</v>
      </c>
      <c r="H28" s="190">
        <v>29</v>
      </c>
      <c r="I28" s="190">
        <v>1</v>
      </c>
      <c r="J28" s="190">
        <v>126</v>
      </c>
      <c r="K28" s="190">
        <v>127</v>
      </c>
      <c r="L28" s="190">
        <v>1</v>
      </c>
      <c r="M28" s="190">
        <v>60</v>
      </c>
      <c r="N28" s="190">
        <v>61</v>
      </c>
      <c r="O28" s="190">
        <v>0</v>
      </c>
      <c r="P28" s="190">
        <v>66</v>
      </c>
      <c r="Q28" s="190">
        <v>66</v>
      </c>
      <c r="R28" s="190">
        <v>0</v>
      </c>
      <c r="S28" s="190">
        <v>5</v>
      </c>
      <c r="T28" s="190">
        <v>5</v>
      </c>
      <c r="U28" s="190">
        <v>0</v>
      </c>
      <c r="V28" s="190">
        <v>7</v>
      </c>
      <c r="W28" s="190">
        <v>7</v>
      </c>
      <c r="X28" s="190">
        <v>19</v>
      </c>
      <c r="Y28" s="190">
        <v>496</v>
      </c>
      <c r="Z28" s="190">
        <v>515</v>
      </c>
      <c r="AA28" s="190">
        <v>8</v>
      </c>
      <c r="AB28" s="190">
        <v>239</v>
      </c>
      <c r="AC28" s="190">
        <v>247</v>
      </c>
      <c r="AD28" s="190">
        <v>7</v>
      </c>
      <c r="AE28" s="190">
        <v>225</v>
      </c>
      <c r="AF28" s="190">
        <v>232</v>
      </c>
      <c r="AG28" s="190">
        <v>0</v>
      </c>
      <c r="AH28" s="190">
        <v>8</v>
      </c>
      <c r="AI28" s="190">
        <v>8</v>
      </c>
      <c r="AJ28" s="190">
        <v>1</v>
      </c>
      <c r="AK28" s="190">
        <v>6</v>
      </c>
      <c r="AL28" s="190">
        <v>7</v>
      </c>
      <c r="AM28" s="190">
        <v>11</v>
      </c>
      <c r="AN28" s="190">
        <v>257</v>
      </c>
      <c r="AO28" s="190">
        <v>268</v>
      </c>
      <c r="AP28" s="190">
        <v>527</v>
      </c>
      <c r="AQ28" s="190">
        <v>5198</v>
      </c>
      <c r="AR28" s="190">
        <v>5725</v>
      </c>
      <c r="AS28" s="190">
        <v>527</v>
      </c>
      <c r="AT28" s="190">
        <v>5198</v>
      </c>
      <c r="AU28" s="190">
        <v>5725</v>
      </c>
      <c r="AV28" s="190">
        <v>0</v>
      </c>
      <c r="AW28" s="190">
        <v>0</v>
      </c>
      <c r="AX28" s="190">
        <v>0</v>
      </c>
      <c r="AY28" s="190">
        <v>39</v>
      </c>
      <c r="AZ28" s="190">
        <v>631</v>
      </c>
      <c r="BA28" s="190">
        <v>670</v>
      </c>
      <c r="BB28" s="190">
        <v>19</v>
      </c>
      <c r="BC28" s="190">
        <v>0</v>
      </c>
      <c r="BD28" s="190">
        <v>0</v>
      </c>
      <c r="BE28" s="190">
        <v>360</v>
      </c>
      <c r="BF28" s="190">
        <v>3</v>
      </c>
      <c r="BG28" s="190">
        <v>0</v>
      </c>
      <c r="BH28" s="190">
        <v>19</v>
      </c>
      <c r="BI28" s="190">
        <v>363</v>
      </c>
      <c r="BJ28" s="190">
        <v>382</v>
      </c>
      <c r="BK28" s="190">
        <v>-10</v>
      </c>
      <c r="BL28" s="190">
        <v>10</v>
      </c>
      <c r="BM28" s="190">
        <v>0</v>
      </c>
      <c r="BN28" s="190">
        <v>2</v>
      </c>
      <c r="BO28" s="190">
        <v>6</v>
      </c>
      <c r="BP28" s="190">
        <v>8</v>
      </c>
      <c r="BQ28" s="190">
        <v>6</v>
      </c>
      <c r="BR28" s="190">
        <v>89</v>
      </c>
      <c r="BS28" s="190">
        <v>95</v>
      </c>
      <c r="BT28" s="190">
        <v>22</v>
      </c>
      <c r="BU28" s="190">
        <v>163</v>
      </c>
      <c r="BV28" s="190">
        <v>185</v>
      </c>
      <c r="BW28" s="190">
        <v>566</v>
      </c>
      <c r="BX28" s="190">
        <v>5829</v>
      </c>
      <c r="BY28" s="190">
        <v>6395</v>
      </c>
      <c r="BZ28" s="190">
        <v>560</v>
      </c>
      <c r="CA28" s="190">
        <v>5778</v>
      </c>
      <c r="CB28" s="190">
        <v>6338</v>
      </c>
      <c r="CC28" s="190">
        <v>11989</v>
      </c>
      <c r="CD28" s="190">
        <v>2</v>
      </c>
      <c r="CE28" s="190">
        <v>48</v>
      </c>
      <c r="CF28" s="190">
        <v>6</v>
      </c>
      <c r="CG28" s="190">
        <v>40</v>
      </c>
      <c r="CH28" s="190">
        <v>46</v>
      </c>
      <c r="CI28" s="190">
        <v>12</v>
      </c>
      <c r="CJ28" s="190">
        <v>1</v>
      </c>
      <c r="CK28" s="190">
        <v>0</v>
      </c>
      <c r="CL28" s="190">
        <v>11</v>
      </c>
      <c r="CM28" s="190">
        <v>11</v>
      </c>
      <c r="CN28" s="190">
        <v>41</v>
      </c>
      <c r="CO28" s="190">
        <v>603</v>
      </c>
      <c r="CP28" s="190">
        <v>644</v>
      </c>
      <c r="CQ28" s="190">
        <v>0</v>
      </c>
      <c r="CR28" s="190">
        <v>0</v>
      </c>
      <c r="CS28" s="190">
        <v>0</v>
      </c>
      <c r="CT28" s="190">
        <v>525</v>
      </c>
      <c r="CU28" s="190">
        <v>5226</v>
      </c>
      <c r="CV28" s="190">
        <v>5751</v>
      </c>
      <c r="CW28" s="190">
        <v>37</v>
      </c>
      <c r="CX28" s="190">
        <v>232</v>
      </c>
      <c r="CY28" s="190">
        <v>269</v>
      </c>
      <c r="CZ28" s="190">
        <v>36</v>
      </c>
      <c r="DA28" s="190">
        <v>1</v>
      </c>
      <c r="DB28" s="190">
        <v>0</v>
      </c>
      <c r="DC28" s="190">
        <v>229</v>
      </c>
      <c r="DD28" s="190">
        <v>2</v>
      </c>
      <c r="DE28" s="190">
        <v>1</v>
      </c>
      <c r="DF28" s="190">
        <v>37</v>
      </c>
      <c r="DG28" s="190">
        <v>232</v>
      </c>
      <c r="DH28" s="190">
        <v>269</v>
      </c>
      <c r="DI28" s="190">
        <v>0</v>
      </c>
      <c r="DJ28" s="190">
        <v>0</v>
      </c>
      <c r="DK28" s="190">
        <v>0</v>
      </c>
      <c r="DL28" s="190">
        <v>0</v>
      </c>
      <c r="DM28" s="190">
        <v>0</v>
      </c>
      <c r="DN28" s="190">
        <v>0</v>
      </c>
      <c r="DO28" s="190">
        <v>0</v>
      </c>
      <c r="DP28" s="190">
        <v>0</v>
      </c>
      <c r="DQ28" s="190">
        <v>0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1444</v>
      </c>
      <c r="C29" s="190">
        <v>254</v>
      </c>
      <c r="D29" s="190">
        <v>1667</v>
      </c>
      <c r="E29" s="190">
        <v>1030</v>
      </c>
      <c r="F29" s="190">
        <v>5</v>
      </c>
      <c r="G29" s="190">
        <v>29</v>
      </c>
      <c r="H29" s="190">
        <v>34</v>
      </c>
      <c r="I29" s="190">
        <v>1</v>
      </c>
      <c r="J29" s="190">
        <v>502</v>
      </c>
      <c r="K29" s="190">
        <v>503</v>
      </c>
      <c r="L29" s="190">
        <v>1</v>
      </c>
      <c r="M29" s="190">
        <v>198</v>
      </c>
      <c r="N29" s="190">
        <v>199</v>
      </c>
      <c r="O29" s="190">
        <v>0</v>
      </c>
      <c r="P29" s="190">
        <v>304</v>
      </c>
      <c r="Q29" s="190">
        <v>304</v>
      </c>
      <c r="R29" s="190">
        <v>0</v>
      </c>
      <c r="S29" s="190">
        <v>11</v>
      </c>
      <c r="T29" s="190">
        <v>11</v>
      </c>
      <c r="U29" s="190">
        <v>0</v>
      </c>
      <c r="V29" s="190">
        <v>134</v>
      </c>
      <c r="W29" s="190">
        <v>134</v>
      </c>
      <c r="X29" s="190">
        <v>56</v>
      </c>
      <c r="Y29" s="190">
        <v>1611</v>
      </c>
      <c r="Z29" s="190">
        <v>1667</v>
      </c>
      <c r="AA29" s="190">
        <v>39</v>
      </c>
      <c r="AB29" s="190">
        <v>647</v>
      </c>
      <c r="AC29" s="190">
        <v>686</v>
      </c>
      <c r="AD29" s="190">
        <v>38</v>
      </c>
      <c r="AE29" s="190">
        <v>632</v>
      </c>
      <c r="AF29" s="190">
        <v>670</v>
      </c>
      <c r="AG29" s="190">
        <v>0</v>
      </c>
      <c r="AH29" s="190">
        <v>8</v>
      </c>
      <c r="AI29" s="190">
        <v>8</v>
      </c>
      <c r="AJ29" s="190">
        <v>1</v>
      </c>
      <c r="AK29" s="190">
        <v>7</v>
      </c>
      <c r="AL29" s="190">
        <v>8</v>
      </c>
      <c r="AM29" s="190">
        <v>17</v>
      </c>
      <c r="AN29" s="190">
        <v>964</v>
      </c>
      <c r="AO29" s="190">
        <v>981</v>
      </c>
      <c r="AP29" s="190">
        <v>3530</v>
      </c>
      <c r="AQ29" s="190">
        <v>18860</v>
      </c>
      <c r="AR29" s="190">
        <v>22390</v>
      </c>
      <c r="AS29" s="190">
        <v>3530</v>
      </c>
      <c r="AT29" s="190">
        <v>18860</v>
      </c>
      <c r="AU29" s="190">
        <v>22390</v>
      </c>
      <c r="AV29" s="190">
        <v>0</v>
      </c>
      <c r="AW29" s="190">
        <v>0</v>
      </c>
      <c r="AX29" s="190">
        <v>0</v>
      </c>
      <c r="AY29" s="190">
        <v>158</v>
      </c>
      <c r="AZ29" s="190">
        <v>1698</v>
      </c>
      <c r="BA29" s="190">
        <v>1856</v>
      </c>
      <c r="BB29" s="190">
        <v>54</v>
      </c>
      <c r="BC29" s="190">
        <v>0</v>
      </c>
      <c r="BD29" s="190">
        <v>0</v>
      </c>
      <c r="BE29" s="190">
        <v>968</v>
      </c>
      <c r="BF29" s="190">
        <v>6</v>
      </c>
      <c r="BG29" s="190">
        <v>2</v>
      </c>
      <c r="BH29" s="190">
        <v>54</v>
      </c>
      <c r="BI29" s="190">
        <v>976</v>
      </c>
      <c r="BJ29" s="190">
        <v>1030</v>
      </c>
      <c r="BK29" s="190">
        <v>8</v>
      </c>
      <c r="BL29" s="190">
        <v>-8</v>
      </c>
      <c r="BM29" s="190">
        <v>0</v>
      </c>
      <c r="BN29" s="190">
        <v>12</v>
      </c>
      <c r="BO29" s="190">
        <v>45</v>
      </c>
      <c r="BP29" s="190">
        <v>57</v>
      </c>
      <c r="BQ29" s="190">
        <v>32</v>
      </c>
      <c r="BR29" s="190">
        <v>217</v>
      </c>
      <c r="BS29" s="190">
        <v>249</v>
      </c>
      <c r="BT29" s="190">
        <v>52</v>
      </c>
      <c r="BU29" s="190">
        <v>468</v>
      </c>
      <c r="BV29" s="190">
        <v>520</v>
      </c>
      <c r="BW29" s="190">
        <v>3688</v>
      </c>
      <c r="BX29" s="190">
        <v>20558</v>
      </c>
      <c r="BY29" s="190">
        <v>24246</v>
      </c>
      <c r="BZ29" s="190">
        <v>3673</v>
      </c>
      <c r="CA29" s="190">
        <v>20457</v>
      </c>
      <c r="CB29" s="190">
        <v>24130</v>
      </c>
      <c r="CC29" s="190">
        <v>55948</v>
      </c>
      <c r="CD29" s="190">
        <v>3</v>
      </c>
      <c r="CE29" s="190">
        <v>108</v>
      </c>
      <c r="CF29" s="190">
        <v>14</v>
      </c>
      <c r="CG29" s="190">
        <v>88</v>
      </c>
      <c r="CH29" s="190">
        <v>102</v>
      </c>
      <c r="CI29" s="190">
        <v>13</v>
      </c>
      <c r="CJ29" s="190">
        <v>1</v>
      </c>
      <c r="CK29" s="190">
        <v>1</v>
      </c>
      <c r="CL29" s="190">
        <v>13</v>
      </c>
      <c r="CM29" s="190">
        <v>14</v>
      </c>
      <c r="CN29" s="190">
        <v>121</v>
      </c>
      <c r="CO29" s="190">
        <v>1495</v>
      </c>
      <c r="CP29" s="190">
        <v>1616</v>
      </c>
      <c r="CQ29" s="190">
        <v>0</v>
      </c>
      <c r="CR29" s="190">
        <v>25</v>
      </c>
      <c r="CS29" s="190">
        <v>25</v>
      </c>
      <c r="CT29" s="190">
        <v>3567</v>
      </c>
      <c r="CU29" s="190">
        <v>19063</v>
      </c>
      <c r="CV29" s="190">
        <v>22630</v>
      </c>
      <c r="CW29" s="190">
        <v>191</v>
      </c>
      <c r="CX29" s="190">
        <v>1033</v>
      </c>
      <c r="CY29" s="190">
        <v>1224</v>
      </c>
      <c r="CZ29" s="190">
        <v>190</v>
      </c>
      <c r="DA29" s="190">
        <v>1</v>
      </c>
      <c r="DB29" s="190">
        <v>0</v>
      </c>
      <c r="DC29" s="190">
        <v>1017</v>
      </c>
      <c r="DD29" s="190">
        <v>4</v>
      </c>
      <c r="DE29" s="190">
        <v>0</v>
      </c>
      <c r="DF29" s="190">
        <v>191</v>
      </c>
      <c r="DG29" s="190">
        <v>1021</v>
      </c>
      <c r="DH29" s="190">
        <v>1212</v>
      </c>
      <c r="DI29" s="190">
        <v>0</v>
      </c>
      <c r="DJ29" s="190">
        <v>0</v>
      </c>
      <c r="DK29" s="190">
        <v>0</v>
      </c>
      <c r="DL29" s="190">
        <v>12</v>
      </c>
      <c r="DM29" s="190">
        <v>0</v>
      </c>
      <c r="DN29" s="190">
        <v>0</v>
      </c>
      <c r="DO29" s="190">
        <v>0</v>
      </c>
      <c r="DP29" s="190">
        <v>12</v>
      </c>
      <c r="DQ29" s="190">
        <v>12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46</v>
      </c>
      <c r="C30" s="190">
        <v>5</v>
      </c>
      <c r="D30" s="190">
        <v>46</v>
      </c>
      <c r="E30" s="190">
        <v>30</v>
      </c>
      <c r="F30" s="190">
        <v>0</v>
      </c>
      <c r="G30" s="190">
        <v>2</v>
      </c>
      <c r="H30" s="190">
        <v>2</v>
      </c>
      <c r="I30" s="190">
        <v>0</v>
      </c>
      <c r="J30" s="190">
        <v>13</v>
      </c>
      <c r="K30" s="190">
        <v>13</v>
      </c>
      <c r="L30" s="190">
        <v>0</v>
      </c>
      <c r="M30" s="190">
        <v>4</v>
      </c>
      <c r="N30" s="190">
        <v>4</v>
      </c>
      <c r="O30" s="190">
        <v>0</v>
      </c>
      <c r="P30" s="190">
        <v>9</v>
      </c>
      <c r="Q30" s="190">
        <v>9</v>
      </c>
      <c r="R30" s="190">
        <v>0</v>
      </c>
      <c r="S30" s="190">
        <v>0</v>
      </c>
      <c r="T30" s="190">
        <v>0</v>
      </c>
      <c r="U30" s="190">
        <v>0</v>
      </c>
      <c r="V30" s="190">
        <v>3</v>
      </c>
      <c r="W30" s="190">
        <v>3</v>
      </c>
      <c r="X30" s="190">
        <v>2</v>
      </c>
      <c r="Y30" s="190">
        <v>44</v>
      </c>
      <c r="Z30" s="190">
        <v>46</v>
      </c>
      <c r="AA30" s="190">
        <v>1</v>
      </c>
      <c r="AB30" s="190">
        <v>19</v>
      </c>
      <c r="AC30" s="190">
        <v>20</v>
      </c>
      <c r="AD30" s="190">
        <v>1</v>
      </c>
      <c r="AE30" s="190">
        <v>19</v>
      </c>
      <c r="AF30" s="190">
        <v>20</v>
      </c>
      <c r="AG30" s="190">
        <v>0</v>
      </c>
      <c r="AH30" s="190">
        <v>0</v>
      </c>
      <c r="AI30" s="190">
        <v>0</v>
      </c>
      <c r="AJ30" s="190">
        <v>0</v>
      </c>
      <c r="AK30" s="190">
        <v>0</v>
      </c>
      <c r="AL30" s="190">
        <v>0</v>
      </c>
      <c r="AM30" s="190">
        <v>1</v>
      </c>
      <c r="AN30" s="190">
        <v>25</v>
      </c>
      <c r="AO30" s="190">
        <v>26</v>
      </c>
      <c r="AP30" s="190">
        <v>70</v>
      </c>
      <c r="AQ30" s="190">
        <v>436</v>
      </c>
      <c r="AR30" s="190">
        <v>506</v>
      </c>
      <c r="AS30" s="190">
        <v>70</v>
      </c>
      <c r="AT30" s="190">
        <v>436</v>
      </c>
      <c r="AU30" s="190">
        <v>506</v>
      </c>
      <c r="AV30" s="190">
        <v>0</v>
      </c>
      <c r="AW30" s="190">
        <v>0</v>
      </c>
      <c r="AX30" s="190">
        <v>0</v>
      </c>
      <c r="AY30" s="190">
        <v>12</v>
      </c>
      <c r="AZ30" s="190">
        <v>48</v>
      </c>
      <c r="BA30" s="190">
        <v>60</v>
      </c>
      <c r="BB30" s="190">
        <v>2</v>
      </c>
      <c r="BC30" s="190">
        <v>0</v>
      </c>
      <c r="BD30" s="190">
        <v>0</v>
      </c>
      <c r="BE30" s="190">
        <v>28</v>
      </c>
      <c r="BF30" s="190">
        <v>0</v>
      </c>
      <c r="BG30" s="190">
        <v>0</v>
      </c>
      <c r="BH30" s="190">
        <v>2</v>
      </c>
      <c r="BI30" s="190">
        <v>28</v>
      </c>
      <c r="BJ30" s="190">
        <v>30</v>
      </c>
      <c r="BK30" s="190">
        <v>4</v>
      </c>
      <c r="BL30" s="190">
        <v>-4</v>
      </c>
      <c r="BM30" s="190">
        <v>0</v>
      </c>
      <c r="BN30" s="190">
        <v>0</v>
      </c>
      <c r="BO30" s="190">
        <v>1</v>
      </c>
      <c r="BP30" s="190">
        <v>1</v>
      </c>
      <c r="BQ30" s="190">
        <v>0</v>
      </c>
      <c r="BR30" s="190">
        <v>1</v>
      </c>
      <c r="BS30" s="190">
        <v>1</v>
      </c>
      <c r="BT30" s="190">
        <v>6</v>
      </c>
      <c r="BU30" s="190">
        <v>22</v>
      </c>
      <c r="BV30" s="190">
        <v>28</v>
      </c>
      <c r="BW30" s="190">
        <v>82</v>
      </c>
      <c r="BX30" s="190">
        <v>484</v>
      </c>
      <c r="BY30" s="190">
        <v>566</v>
      </c>
      <c r="BZ30" s="190">
        <v>81</v>
      </c>
      <c r="CA30" s="190">
        <v>483</v>
      </c>
      <c r="CB30" s="190">
        <v>564</v>
      </c>
      <c r="CC30" s="190">
        <v>1199</v>
      </c>
      <c r="CD30" s="190">
        <v>0</v>
      </c>
      <c r="CE30" s="190">
        <v>1</v>
      </c>
      <c r="CF30" s="190">
        <v>1</v>
      </c>
      <c r="CG30" s="190">
        <v>0</v>
      </c>
      <c r="CH30" s="190">
        <v>1</v>
      </c>
      <c r="CI30" s="190">
        <v>2</v>
      </c>
      <c r="CJ30" s="190">
        <v>0</v>
      </c>
      <c r="CK30" s="190">
        <v>0</v>
      </c>
      <c r="CL30" s="190">
        <v>1</v>
      </c>
      <c r="CM30" s="190">
        <v>1</v>
      </c>
      <c r="CN30" s="190">
        <v>4</v>
      </c>
      <c r="CO30" s="190">
        <v>51</v>
      </c>
      <c r="CP30" s="190">
        <v>55</v>
      </c>
      <c r="CQ30" s="190">
        <v>0</v>
      </c>
      <c r="CR30" s="190">
        <v>0</v>
      </c>
      <c r="CS30" s="190">
        <v>0</v>
      </c>
      <c r="CT30" s="190">
        <v>78</v>
      </c>
      <c r="CU30" s="190">
        <v>433</v>
      </c>
      <c r="CV30" s="190">
        <v>511</v>
      </c>
      <c r="CW30" s="190">
        <v>7</v>
      </c>
      <c r="CX30" s="190">
        <v>27</v>
      </c>
      <c r="CY30" s="190">
        <v>34</v>
      </c>
      <c r="CZ30" s="190">
        <v>7</v>
      </c>
      <c r="DA30" s="190">
        <v>0</v>
      </c>
      <c r="DB30" s="190">
        <v>0</v>
      </c>
      <c r="DC30" s="190">
        <v>27</v>
      </c>
      <c r="DD30" s="190">
        <v>0</v>
      </c>
      <c r="DE30" s="190">
        <v>0</v>
      </c>
      <c r="DF30" s="190">
        <v>7</v>
      </c>
      <c r="DG30" s="190">
        <v>27</v>
      </c>
      <c r="DH30" s="190">
        <v>34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44</v>
      </c>
      <c r="C31" s="190">
        <v>8</v>
      </c>
      <c r="D31" s="190">
        <v>43</v>
      </c>
      <c r="E31" s="190">
        <v>30</v>
      </c>
      <c r="F31" s="190">
        <v>0</v>
      </c>
      <c r="G31" s="190">
        <v>0</v>
      </c>
      <c r="H31" s="190">
        <v>0</v>
      </c>
      <c r="I31" s="190">
        <v>0</v>
      </c>
      <c r="J31" s="190">
        <v>10</v>
      </c>
      <c r="K31" s="190">
        <v>10</v>
      </c>
      <c r="L31" s="190">
        <v>0</v>
      </c>
      <c r="M31" s="190">
        <v>5</v>
      </c>
      <c r="N31" s="190">
        <v>5</v>
      </c>
      <c r="O31" s="190">
        <v>0</v>
      </c>
      <c r="P31" s="190">
        <v>5</v>
      </c>
      <c r="Q31" s="190">
        <v>5</v>
      </c>
      <c r="R31" s="190">
        <v>0</v>
      </c>
      <c r="S31" s="190">
        <v>0</v>
      </c>
      <c r="T31" s="190">
        <v>0</v>
      </c>
      <c r="U31" s="190">
        <v>0</v>
      </c>
      <c r="V31" s="190">
        <v>3</v>
      </c>
      <c r="W31" s="190">
        <v>3</v>
      </c>
      <c r="X31" s="190">
        <v>0</v>
      </c>
      <c r="Y31" s="190">
        <v>43</v>
      </c>
      <c r="Z31" s="190">
        <v>43</v>
      </c>
      <c r="AA31" s="190">
        <v>0</v>
      </c>
      <c r="AB31" s="190">
        <v>16</v>
      </c>
      <c r="AC31" s="190">
        <v>16</v>
      </c>
      <c r="AD31" s="190">
        <v>0</v>
      </c>
      <c r="AE31" s="190">
        <v>15</v>
      </c>
      <c r="AF31" s="190">
        <v>15</v>
      </c>
      <c r="AG31" s="190">
        <v>0</v>
      </c>
      <c r="AH31" s="190">
        <v>1</v>
      </c>
      <c r="AI31" s="190">
        <v>1</v>
      </c>
      <c r="AJ31" s="190">
        <v>0</v>
      </c>
      <c r="AK31" s="190">
        <v>0</v>
      </c>
      <c r="AL31" s="190">
        <v>0</v>
      </c>
      <c r="AM31" s="190">
        <v>0</v>
      </c>
      <c r="AN31" s="190">
        <v>27</v>
      </c>
      <c r="AO31" s="190">
        <v>27</v>
      </c>
      <c r="AP31" s="190">
        <v>8</v>
      </c>
      <c r="AQ31" s="190">
        <v>392</v>
      </c>
      <c r="AR31" s="190">
        <v>400</v>
      </c>
      <c r="AS31" s="190">
        <v>8</v>
      </c>
      <c r="AT31" s="190">
        <v>392</v>
      </c>
      <c r="AU31" s="190">
        <v>400</v>
      </c>
      <c r="AV31" s="190">
        <v>0</v>
      </c>
      <c r="AW31" s="190">
        <v>0</v>
      </c>
      <c r="AX31" s="190">
        <v>0</v>
      </c>
      <c r="AY31" s="190">
        <v>1</v>
      </c>
      <c r="AZ31" s="190">
        <v>47</v>
      </c>
      <c r="BA31" s="190">
        <v>48</v>
      </c>
      <c r="BB31" s="190">
        <v>0</v>
      </c>
      <c r="BC31" s="190">
        <v>0</v>
      </c>
      <c r="BD31" s="190">
        <v>0</v>
      </c>
      <c r="BE31" s="190">
        <v>30</v>
      </c>
      <c r="BF31" s="190">
        <v>0</v>
      </c>
      <c r="BG31" s="190">
        <v>0</v>
      </c>
      <c r="BH31" s="190">
        <v>0</v>
      </c>
      <c r="BI31" s="190">
        <v>30</v>
      </c>
      <c r="BJ31" s="190">
        <v>30</v>
      </c>
      <c r="BK31" s="190">
        <v>1</v>
      </c>
      <c r="BL31" s="190">
        <v>-1</v>
      </c>
      <c r="BM31" s="190">
        <v>0</v>
      </c>
      <c r="BN31" s="190">
        <v>0</v>
      </c>
      <c r="BO31" s="190">
        <v>0</v>
      </c>
      <c r="BP31" s="190">
        <v>0</v>
      </c>
      <c r="BQ31" s="190">
        <v>0</v>
      </c>
      <c r="BR31" s="190">
        <v>2</v>
      </c>
      <c r="BS31" s="190">
        <v>2</v>
      </c>
      <c r="BT31" s="190">
        <v>0</v>
      </c>
      <c r="BU31" s="190">
        <v>16</v>
      </c>
      <c r="BV31" s="190">
        <v>16</v>
      </c>
      <c r="BW31" s="190">
        <v>9</v>
      </c>
      <c r="BX31" s="190">
        <v>439</v>
      </c>
      <c r="BY31" s="190">
        <v>448</v>
      </c>
      <c r="BZ31" s="190">
        <v>9</v>
      </c>
      <c r="CA31" s="190">
        <v>436</v>
      </c>
      <c r="CB31" s="190">
        <v>445</v>
      </c>
      <c r="CC31" s="190">
        <v>721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0</v>
      </c>
      <c r="CO31" s="190">
        <v>67</v>
      </c>
      <c r="CP31" s="190">
        <v>67</v>
      </c>
      <c r="CQ31" s="190">
        <v>0</v>
      </c>
      <c r="CR31" s="190">
        <v>0</v>
      </c>
      <c r="CS31" s="190">
        <v>0</v>
      </c>
      <c r="CT31" s="190">
        <v>9</v>
      </c>
      <c r="CU31" s="190">
        <v>372</v>
      </c>
      <c r="CV31" s="190">
        <v>381</v>
      </c>
      <c r="CW31" s="190">
        <v>1</v>
      </c>
      <c r="CX31" s="190">
        <v>18</v>
      </c>
      <c r="CY31" s="190">
        <v>19</v>
      </c>
      <c r="CZ31" s="190">
        <v>1</v>
      </c>
      <c r="DA31" s="190">
        <v>0</v>
      </c>
      <c r="DB31" s="190">
        <v>0</v>
      </c>
      <c r="DC31" s="190">
        <v>18</v>
      </c>
      <c r="DD31" s="190">
        <v>0</v>
      </c>
      <c r="DE31" s="190">
        <v>0</v>
      </c>
      <c r="DF31" s="190">
        <v>1</v>
      </c>
      <c r="DG31" s="190">
        <v>18</v>
      </c>
      <c r="DH31" s="190">
        <v>19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1427</v>
      </c>
      <c r="C32" s="190">
        <v>306</v>
      </c>
      <c r="D32" s="190">
        <v>1523</v>
      </c>
      <c r="E32" s="190">
        <v>971</v>
      </c>
      <c r="F32" s="190">
        <v>0</v>
      </c>
      <c r="G32" s="190">
        <v>2</v>
      </c>
      <c r="H32" s="190">
        <v>2</v>
      </c>
      <c r="I32" s="190">
        <v>0</v>
      </c>
      <c r="J32" s="190">
        <v>490</v>
      </c>
      <c r="K32" s="190">
        <v>490</v>
      </c>
      <c r="L32" s="190">
        <v>0</v>
      </c>
      <c r="M32" s="190">
        <v>280</v>
      </c>
      <c r="N32" s="190">
        <v>280</v>
      </c>
      <c r="O32" s="190">
        <v>0</v>
      </c>
      <c r="P32" s="190">
        <v>210</v>
      </c>
      <c r="Q32" s="190">
        <v>210</v>
      </c>
      <c r="R32" s="190">
        <v>0</v>
      </c>
      <c r="S32" s="190">
        <v>1</v>
      </c>
      <c r="T32" s="190">
        <v>1</v>
      </c>
      <c r="U32" s="190">
        <v>0</v>
      </c>
      <c r="V32" s="190">
        <v>62</v>
      </c>
      <c r="W32" s="190">
        <v>62</v>
      </c>
      <c r="X32" s="190">
        <v>28</v>
      </c>
      <c r="Y32" s="190">
        <v>1495</v>
      </c>
      <c r="Z32" s="190">
        <v>1523</v>
      </c>
      <c r="AA32" s="190">
        <v>19</v>
      </c>
      <c r="AB32" s="190">
        <v>538</v>
      </c>
      <c r="AC32" s="190">
        <v>557</v>
      </c>
      <c r="AD32" s="190">
        <v>19</v>
      </c>
      <c r="AE32" s="190">
        <v>526</v>
      </c>
      <c r="AF32" s="190">
        <v>545</v>
      </c>
      <c r="AG32" s="190">
        <v>0</v>
      </c>
      <c r="AH32" s="190">
        <v>9</v>
      </c>
      <c r="AI32" s="190">
        <v>9</v>
      </c>
      <c r="AJ32" s="190">
        <v>0</v>
      </c>
      <c r="AK32" s="190">
        <v>3</v>
      </c>
      <c r="AL32" s="190">
        <v>3</v>
      </c>
      <c r="AM32" s="190">
        <v>9</v>
      </c>
      <c r="AN32" s="190">
        <v>957</v>
      </c>
      <c r="AO32" s="190">
        <v>966</v>
      </c>
      <c r="AP32" s="190">
        <v>3122</v>
      </c>
      <c r="AQ32" s="190">
        <v>18856</v>
      </c>
      <c r="AR32" s="190">
        <v>21978</v>
      </c>
      <c r="AS32" s="190">
        <v>3122</v>
      </c>
      <c r="AT32" s="190">
        <v>18856</v>
      </c>
      <c r="AU32" s="190">
        <v>21978</v>
      </c>
      <c r="AV32" s="190">
        <v>0</v>
      </c>
      <c r="AW32" s="190">
        <v>0</v>
      </c>
      <c r="AX32" s="190">
        <v>0</v>
      </c>
      <c r="AY32" s="190">
        <v>315</v>
      </c>
      <c r="AZ32" s="190">
        <v>1391</v>
      </c>
      <c r="BA32" s="190">
        <v>1706</v>
      </c>
      <c r="BB32" s="190">
        <v>37</v>
      </c>
      <c r="BC32" s="190">
        <v>0</v>
      </c>
      <c r="BD32" s="190">
        <v>0</v>
      </c>
      <c r="BE32" s="190">
        <v>919</v>
      </c>
      <c r="BF32" s="190">
        <v>11</v>
      </c>
      <c r="BG32" s="190">
        <v>4</v>
      </c>
      <c r="BH32" s="190">
        <v>37</v>
      </c>
      <c r="BI32" s="190">
        <v>934</v>
      </c>
      <c r="BJ32" s="190">
        <v>971</v>
      </c>
      <c r="BK32" s="190">
        <v>203</v>
      </c>
      <c r="BL32" s="190">
        <v>-203</v>
      </c>
      <c r="BM32" s="190">
        <v>0</v>
      </c>
      <c r="BN32" s="190">
        <v>4</v>
      </c>
      <c r="BO32" s="190">
        <v>27</v>
      </c>
      <c r="BP32" s="190">
        <v>31</v>
      </c>
      <c r="BQ32" s="190">
        <v>22</v>
      </c>
      <c r="BR32" s="190">
        <v>166</v>
      </c>
      <c r="BS32" s="190">
        <v>188</v>
      </c>
      <c r="BT32" s="190">
        <v>49</v>
      </c>
      <c r="BU32" s="190">
        <v>467</v>
      </c>
      <c r="BV32" s="190">
        <v>516</v>
      </c>
      <c r="BW32" s="190">
        <v>3437</v>
      </c>
      <c r="BX32" s="190">
        <v>20247</v>
      </c>
      <c r="BY32" s="190">
        <v>23684</v>
      </c>
      <c r="BZ32" s="190">
        <v>3411</v>
      </c>
      <c r="CA32" s="190">
        <v>19965</v>
      </c>
      <c r="CB32" s="190">
        <v>23376</v>
      </c>
      <c r="CC32" s="190">
        <v>52464</v>
      </c>
      <c r="CD32" s="190">
        <v>16</v>
      </c>
      <c r="CE32" s="190">
        <v>292</v>
      </c>
      <c r="CF32" s="190">
        <v>26</v>
      </c>
      <c r="CG32" s="190">
        <v>250</v>
      </c>
      <c r="CH32" s="190">
        <v>276</v>
      </c>
      <c r="CI32" s="190">
        <v>34</v>
      </c>
      <c r="CJ32" s="190">
        <v>8</v>
      </c>
      <c r="CK32" s="190">
        <v>0</v>
      </c>
      <c r="CL32" s="190">
        <v>32</v>
      </c>
      <c r="CM32" s="190">
        <v>32</v>
      </c>
      <c r="CN32" s="190">
        <v>125</v>
      </c>
      <c r="CO32" s="190">
        <v>1689</v>
      </c>
      <c r="CP32" s="190">
        <v>1814</v>
      </c>
      <c r="CQ32" s="190">
        <v>0</v>
      </c>
      <c r="CR32" s="190">
        <v>1</v>
      </c>
      <c r="CS32" s="190">
        <v>1</v>
      </c>
      <c r="CT32" s="190">
        <v>3312</v>
      </c>
      <c r="CU32" s="190">
        <v>18558</v>
      </c>
      <c r="CV32" s="190">
        <v>21870</v>
      </c>
      <c r="CW32" s="190">
        <v>144</v>
      </c>
      <c r="CX32" s="190">
        <v>696</v>
      </c>
      <c r="CY32" s="190">
        <v>840</v>
      </c>
      <c r="CZ32" s="190">
        <v>142</v>
      </c>
      <c r="DA32" s="190">
        <v>2</v>
      </c>
      <c r="DB32" s="190">
        <v>0</v>
      </c>
      <c r="DC32" s="190">
        <v>676</v>
      </c>
      <c r="DD32" s="190">
        <v>8</v>
      </c>
      <c r="DE32" s="190">
        <v>0</v>
      </c>
      <c r="DF32" s="190">
        <v>144</v>
      </c>
      <c r="DG32" s="190">
        <v>684</v>
      </c>
      <c r="DH32" s="190">
        <v>828</v>
      </c>
      <c r="DI32" s="190">
        <v>0</v>
      </c>
      <c r="DJ32" s="190">
        <v>0</v>
      </c>
      <c r="DK32" s="190">
        <v>0</v>
      </c>
      <c r="DL32" s="190">
        <v>11</v>
      </c>
      <c r="DM32" s="190">
        <v>1</v>
      </c>
      <c r="DN32" s="190">
        <v>0</v>
      </c>
      <c r="DO32" s="190">
        <v>0</v>
      </c>
      <c r="DP32" s="190">
        <v>12</v>
      </c>
      <c r="DQ32" s="190">
        <v>12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273</v>
      </c>
      <c r="C33" s="190">
        <v>65</v>
      </c>
      <c r="D33" s="190">
        <v>300</v>
      </c>
      <c r="E33" s="190">
        <v>154</v>
      </c>
      <c r="F33" s="190">
        <v>0</v>
      </c>
      <c r="G33" s="190">
        <v>3</v>
      </c>
      <c r="H33" s="190">
        <v>3</v>
      </c>
      <c r="I33" s="190">
        <v>0</v>
      </c>
      <c r="J33" s="190">
        <v>124</v>
      </c>
      <c r="K33" s="190">
        <v>124</v>
      </c>
      <c r="L33" s="190">
        <v>0</v>
      </c>
      <c r="M33" s="190">
        <v>33</v>
      </c>
      <c r="N33" s="190">
        <v>33</v>
      </c>
      <c r="O33" s="190">
        <v>0</v>
      </c>
      <c r="P33" s="190">
        <v>91</v>
      </c>
      <c r="Q33" s="190">
        <v>91</v>
      </c>
      <c r="R33" s="190">
        <v>0</v>
      </c>
      <c r="S33" s="190">
        <v>1</v>
      </c>
      <c r="T33" s="190">
        <v>1</v>
      </c>
      <c r="U33" s="190">
        <v>0</v>
      </c>
      <c r="V33" s="190">
        <v>22</v>
      </c>
      <c r="W33" s="190">
        <v>22</v>
      </c>
      <c r="X33" s="190">
        <v>3</v>
      </c>
      <c r="Y33" s="190">
        <v>296</v>
      </c>
      <c r="Z33" s="190">
        <v>299</v>
      </c>
      <c r="AA33" s="190">
        <v>2</v>
      </c>
      <c r="AB33" s="190">
        <v>99</v>
      </c>
      <c r="AC33" s="190">
        <v>101</v>
      </c>
      <c r="AD33" s="190">
        <v>2</v>
      </c>
      <c r="AE33" s="190">
        <v>92</v>
      </c>
      <c r="AF33" s="190">
        <v>94</v>
      </c>
      <c r="AG33" s="190">
        <v>0</v>
      </c>
      <c r="AH33" s="190">
        <v>3</v>
      </c>
      <c r="AI33" s="190">
        <v>3</v>
      </c>
      <c r="AJ33" s="190">
        <v>0</v>
      </c>
      <c r="AK33" s="190">
        <v>4</v>
      </c>
      <c r="AL33" s="190">
        <v>4</v>
      </c>
      <c r="AM33" s="190">
        <v>1</v>
      </c>
      <c r="AN33" s="190">
        <v>197</v>
      </c>
      <c r="AO33" s="190">
        <v>198</v>
      </c>
      <c r="AP33" s="190">
        <v>297</v>
      </c>
      <c r="AQ33" s="190">
        <v>2818</v>
      </c>
      <c r="AR33" s="190">
        <v>3115</v>
      </c>
      <c r="AS33" s="190">
        <v>297</v>
      </c>
      <c r="AT33" s="190">
        <v>2818</v>
      </c>
      <c r="AU33" s="190">
        <v>3115</v>
      </c>
      <c r="AV33" s="190">
        <v>0</v>
      </c>
      <c r="AW33" s="190">
        <v>0</v>
      </c>
      <c r="AX33" s="190">
        <v>0</v>
      </c>
      <c r="AY33" s="190">
        <v>6</v>
      </c>
      <c r="AZ33" s="190">
        <v>298</v>
      </c>
      <c r="BA33" s="190">
        <v>304</v>
      </c>
      <c r="BB33" s="190">
        <v>5</v>
      </c>
      <c r="BC33" s="190">
        <v>0</v>
      </c>
      <c r="BD33" s="190">
        <v>0</v>
      </c>
      <c r="BE33" s="190">
        <v>146</v>
      </c>
      <c r="BF33" s="190">
        <v>2</v>
      </c>
      <c r="BG33" s="190">
        <v>1</v>
      </c>
      <c r="BH33" s="190">
        <v>5</v>
      </c>
      <c r="BI33" s="190">
        <v>149</v>
      </c>
      <c r="BJ33" s="190">
        <v>154</v>
      </c>
      <c r="BK33" s="190">
        <v>-10</v>
      </c>
      <c r="BL33" s="190">
        <v>10</v>
      </c>
      <c r="BM33" s="190">
        <v>0</v>
      </c>
      <c r="BN33" s="190">
        <v>0</v>
      </c>
      <c r="BO33" s="190">
        <v>11</v>
      </c>
      <c r="BP33" s="190">
        <v>11</v>
      </c>
      <c r="BQ33" s="190">
        <v>4</v>
      </c>
      <c r="BR33" s="190">
        <v>15</v>
      </c>
      <c r="BS33" s="190">
        <v>19</v>
      </c>
      <c r="BT33" s="190">
        <v>7</v>
      </c>
      <c r="BU33" s="190">
        <v>113</v>
      </c>
      <c r="BV33" s="190">
        <v>120</v>
      </c>
      <c r="BW33" s="190">
        <v>303</v>
      </c>
      <c r="BX33" s="190">
        <v>3116</v>
      </c>
      <c r="BY33" s="190">
        <v>3419</v>
      </c>
      <c r="BZ33" s="190">
        <v>295</v>
      </c>
      <c r="CA33" s="190">
        <v>3064</v>
      </c>
      <c r="CB33" s="190">
        <v>3359</v>
      </c>
      <c r="CC33" s="190">
        <v>6810</v>
      </c>
      <c r="CD33" s="190">
        <v>3</v>
      </c>
      <c r="CE33" s="190">
        <v>56</v>
      </c>
      <c r="CF33" s="190">
        <v>8</v>
      </c>
      <c r="CG33" s="190">
        <v>47</v>
      </c>
      <c r="CH33" s="190">
        <v>55</v>
      </c>
      <c r="CI33" s="190">
        <v>6</v>
      </c>
      <c r="CJ33" s="190">
        <v>0</v>
      </c>
      <c r="CK33" s="190">
        <v>0</v>
      </c>
      <c r="CL33" s="190">
        <v>5</v>
      </c>
      <c r="CM33" s="190">
        <v>5</v>
      </c>
      <c r="CN33" s="190">
        <v>15</v>
      </c>
      <c r="CO33" s="190">
        <v>270</v>
      </c>
      <c r="CP33" s="190">
        <v>285</v>
      </c>
      <c r="CQ33" s="190">
        <v>0</v>
      </c>
      <c r="CR33" s="190">
        <v>0</v>
      </c>
      <c r="CS33" s="190">
        <v>0</v>
      </c>
      <c r="CT33" s="190">
        <v>288</v>
      </c>
      <c r="CU33" s="190">
        <v>2846</v>
      </c>
      <c r="CV33" s="190">
        <v>3134</v>
      </c>
      <c r="CW33" s="190">
        <v>19</v>
      </c>
      <c r="CX33" s="190">
        <v>145</v>
      </c>
      <c r="CY33" s="190">
        <v>164</v>
      </c>
      <c r="CZ33" s="190">
        <v>18</v>
      </c>
      <c r="DA33" s="190">
        <v>1</v>
      </c>
      <c r="DB33" s="190">
        <v>0</v>
      </c>
      <c r="DC33" s="190">
        <v>142</v>
      </c>
      <c r="DD33" s="190">
        <v>2</v>
      </c>
      <c r="DE33" s="190">
        <v>0</v>
      </c>
      <c r="DF33" s="190">
        <v>19</v>
      </c>
      <c r="DG33" s="190">
        <v>144</v>
      </c>
      <c r="DH33" s="190">
        <v>163</v>
      </c>
      <c r="DI33" s="190">
        <v>0</v>
      </c>
      <c r="DJ33" s="190">
        <v>0</v>
      </c>
      <c r="DK33" s="190">
        <v>0</v>
      </c>
      <c r="DL33" s="190">
        <v>1</v>
      </c>
      <c r="DM33" s="190">
        <v>0</v>
      </c>
      <c r="DN33" s="190">
        <v>0</v>
      </c>
      <c r="DO33" s="190">
        <v>0</v>
      </c>
      <c r="DP33" s="190">
        <v>1</v>
      </c>
      <c r="DQ33" s="190">
        <v>1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382</v>
      </c>
      <c r="C34" s="190">
        <v>128</v>
      </c>
      <c r="D34" s="190">
        <v>422</v>
      </c>
      <c r="E34" s="190">
        <v>245</v>
      </c>
      <c r="F34" s="190">
        <v>0</v>
      </c>
      <c r="G34" s="190">
        <v>48</v>
      </c>
      <c r="H34" s="190">
        <v>48</v>
      </c>
      <c r="I34" s="190">
        <v>0</v>
      </c>
      <c r="J34" s="190">
        <v>158</v>
      </c>
      <c r="K34" s="190">
        <v>158</v>
      </c>
      <c r="L34" s="190">
        <v>0</v>
      </c>
      <c r="M34" s="190">
        <v>50</v>
      </c>
      <c r="N34" s="190">
        <v>50</v>
      </c>
      <c r="O34" s="190">
        <v>0</v>
      </c>
      <c r="P34" s="190">
        <v>108</v>
      </c>
      <c r="Q34" s="190">
        <v>108</v>
      </c>
      <c r="R34" s="190">
        <v>0</v>
      </c>
      <c r="S34" s="190">
        <v>14</v>
      </c>
      <c r="T34" s="190">
        <v>14</v>
      </c>
      <c r="U34" s="190">
        <v>0</v>
      </c>
      <c r="V34" s="190">
        <v>19</v>
      </c>
      <c r="W34" s="190">
        <v>19</v>
      </c>
      <c r="X34" s="190">
        <v>2</v>
      </c>
      <c r="Y34" s="190">
        <v>420</v>
      </c>
      <c r="Z34" s="190">
        <v>422</v>
      </c>
      <c r="AA34" s="190">
        <v>1</v>
      </c>
      <c r="AB34" s="190">
        <v>181</v>
      </c>
      <c r="AC34" s="190">
        <v>182</v>
      </c>
      <c r="AD34" s="190">
        <v>1</v>
      </c>
      <c r="AE34" s="190">
        <v>149</v>
      </c>
      <c r="AF34" s="190">
        <v>150</v>
      </c>
      <c r="AG34" s="190">
        <v>0</v>
      </c>
      <c r="AH34" s="190">
        <v>8</v>
      </c>
      <c r="AI34" s="190">
        <v>8</v>
      </c>
      <c r="AJ34" s="190">
        <v>0</v>
      </c>
      <c r="AK34" s="190">
        <v>24</v>
      </c>
      <c r="AL34" s="190">
        <v>24</v>
      </c>
      <c r="AM34" s="190">
        <v>1</v>
      </c>
      <c r="AN34" s="190">
        <v>239</v>
      </c>
      <c r="AO34" s="190">
        <v>240</v>
      </c>
      <c r="AP34" s="190">
        <v>228</v>
      </c>
      <c r="AQ34" s="190">
        <v>3547</v>
      </c>
      <c r="AR34" s="190">
        <v>3775</v>
      </c>
      <c r="AS34" s="190">
        <v>228</v>
      </c>
      <c r="AT34" s="190">
        <v>3547</v>
      </c>
      <c r="AU34" s="190">
        <v>3775</v>
      </c>
      <c r="AV34" s="190">
        <v>0</v>
      </c>
      <c r="AW34" s="190">
        <v>0</v>
      </c>
      <c r="AX34" s="190">
        <v>0</v>
      </c>
      <c r="AY34" s="190">
        <v>28</v>
      </c>
      <c r="AZ34" s="190">
        <v>417</v>
      </c>
      <c r="BA34" s="190">
        <v>445</v>
      </c>
      <c r="BB34" s="190">
        <v>4</v>
      </c>
      <c r="BC34" s="190">
        <v>0</v>
      </c>
      <c r="BD34" s="190">
        <v>0</v>
      </c>
      <c r="BE34" s="190">
        <v>241</v>
      </c>
      <c r="BF34" s="190">
        <v>0</v>
      </c>
      <c r="BG34" s="190">
        <v>0</v>
      </c>
      <c r="BH34" s="190">
        <v>4</v>
      </c>
      <c r="BI34" s="190">
        <v>241</v>
      </c>
      <c r="BJ34" s="190">
        <v>245</v>
      </c>
      <c r="BK34" s="190">
        <v>11</v>
      </c>
      <c r="BL34" s="190">
        <v>-11</v>
      </c>
      <c r="BM34" s="190">
        <v>0</v>
      </c>
      <c r="BN34" s="190">
        <v>0</v>
      </c>
      <c r="BO34" s="190">
        <v>19</v>
      </c>
      <c r="BP34" s="190">
        <v>19</v>
      </c>
      <c r="BQ34" s="190">
        <v>1</v>
      </c>
      <c r="BR34" s="190">
        <v>69</v>
      </c>
      <c r="BS34" s="190">
        <v>70</v>
      </c>
      <c r="BT34" s="190">
        <v>12</v>
      </c>
      <c r="BU34" s="190">
        <v>99</v>
      </c>
      <c r="BV34" s="190">
        <v>111</v>
      </c>
      <c r="BW34" s="190">
        <v>256</v>
      </c>
      <c r="BX34" s="190">
        <v>3964</v>
      </c>
      <c r="BY34" s="190">
        <v>4220</v>
      </c>
      <c r="BZ34" s="190">
        <v>254</v>
      </c>
      <c r="CA34" s="190">
        <v>3953</v>
      </c>
      <c r="CB34" s="190">
        <v>4207</v>
      </c>
      <c r="CC34" s="190">
        <v>7306</v>
      </c>
      <c r="CD34" s="190">
        <v>2</v>
      </c>
      <c r="CE34" s="190">
        <v>11</v>
      </c>
      <c r="CF34" s="190">
        <v>2</v>
      </c>
      <c r="CG34" s="190">
        <v>10</v>
      </c>
      <c r="CH34" s="190">
        <v>12</v>
      </c>
      <c r="CI34" s="190">
        <v>1</v>
      </c>
      <c r="CJ34" s="190">
        <v>0</v>
      </c>
      <c r="CK34" s="190">
        <v>0</v>
      </c>
      <c r="CL34" s="190">
        <v>1</v>
      </c>
      <c r="CM34" s="190">
        <v>1</v>
      </c>
      <c r="CN34" s="190">
        <v>19</v>
      </c>
      <c r="CO34" s="190">
        <v>337</v>
      </c>
      <c r="CP34" s="190">
        <v>356</v>
      </c>
      <c r="CQ34" s="190">
        <v>0</v>
      </c>
      <c r="CR34" s="190">
        <v>3</v>
      </c>
      <c r="CS34" s="190">
        <v>3</v>
      </c>
      <c r="CT34" s="190">
        <v>237</v>
      </c>
      <c r="CU34" s="190">
        <v>3627</v>
      </c>
      <c r="CV34" s="190">
        <v>3864</v>
      </c>
      <c r="CW34" s="190">
        <v>16</v>
      </c>
      <c r="CX34" s="190">
        <v>153</v>
      </c>
      <c r="CY34" s="190">
        <v>169</v>
      </c>
      <c r="CZ34" s="190">
        <v>16</v>
      </c>
      <c r="DA34" s="190">
        <v>0</v>
      </c>
      <c r="DB34" s="190">
        <v>0</v>
      </c>
      <c r="DC34" s="190">
        <v>152</v>
      </c>
      <c r="DD34" s="190">
        <v>0</v>
      </c>
      <c r="DE34" s="190">
        <v>0</v>
      </c>
      <c r="DF34" s="190">
        <v>16</v>
      </c>
      <c r="DG34" s="190">
        <v>152</v>
      </c>
      <c r="DH34" s="190">
        <v>168</v>
      </c>
      <c r="DI34" s="190">
        <v>0</v>
      </c>
      <c r="DJ34" s="190">
        <v>0</v>
      </c>
      <c r="DK34" s="190">
        <v>0</v>
      </c>
      <c r="DL34" s="190">
        <v>1</v>
      </c>
      <c r="DM34" s="190">
        <v>0</v>
      </c>
      <c r="DN34" s="190">
        <v>0</v>
      </c>
      <c r="DO34" s="190">
        <v>0</v>
      </c>
      <c r="DP34" s="190">
        <v>1</v>
      </c>
      <c r="DQ34" s="190">
        <v>1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6790</v>
      </c>
      <c r="C35" s="190">
        <v>1623</v>
      </c>
      <c r="D35" s="190">
        <v>6889</v>
      </c>
      <c r="E35" s="190">
        <v>4593</v>
      </c>
      <c r="F35" s="190">
        <v>0</v>
      </c>
      <c r="G35" s="190">
        <v>46</v>
      </c>
      <c r="H35" s="190">
        <v>46</v>
      </c>
      <c r="I35" s="190">
        <v>7</v>
      </c>
      <c r="J35" s="190">
        <v>1969</v>
      </c>
      <c r="K35" s="190">
        <v>1976</v>
      </c>
      <c r="L35" s="190">
        <v>4</v>
      </c>
      <c r="M35" s="190">
        <v>923</v>
      </c>
      <c r="N35" s="190">
        <v>927</v>
      </c>
      <c r="O35" s="190">
        <v>3</v>
      </c>
      <c r="P35" s="190">
        <v>1046</v>
      </c>
      <c r="Q35" s="190">
        <v>1049</v>
      </c>
      <c r="R35" s="190">
        <v>7</v>
      </c>
      <c r="S35" s="190">
        <v>145</v>
      </c>
      <c r="T35" s="190">
        <v>152</v>
      </c>
      <c r="U35" s="190">
        <v>0</v>
      </c>
      <c r="V35" s="190">
        <v>320</v>
      </c>
      <c r="W35" s="190">
        <v>320</v>
      </c>
      <c r="X35" s="190">
        <v>113</v>
      </c>
      <c r="Y35" s="190">
        <v>5315</v>
      </c>
      <c r="Z35" s="190">
        <v>5428</v>
      </c>
      <c r="AA35" s="190">
        <v>68</v>
      </c>
      <c r="AB35" s="190">
        <v>2072</v>
      </c>
      <c r="AC35" s="190">
        <v>2140</v>
      </c>
      <c r="AD35" s="190">
        <v>68</v>
      </c>
      <c r="AE35" s="190">
        <v>2063</v>
      </c>
      <c r="AF35" s="190">
        <v>2131</v>
      </c>
      <c r="AG35" s="190">
        <v>0</v>
      </c>
      <c r="AH35" s="190">
        <v>5</v>
      </c>
      <c r="AI35" s="190">
        <v>5</v>
      </c>
      <c r="AJ35" s="190">
        <v>0</v>
      </c>
      <c r="AK35" s="190">
        <v>4</v>
      </c>
      <c r="AL35" s="190">
        <v>4</v>
      </c>
      <c r="AM35" s="190">
        <v>45</v>
      </c>
      <c r="AN35" s="190">
        <v>3243</v>
      </c>
      <c r="AO35" s="190">
        <v>3288</v>
      </c>
      <c r="AP35" s="190">
        <v>9801</v>
      </c>
      <c r="AQ35" s="190">
        <v>97938</v>
      </c>
      <c r="AR35" s="190">
        <v>107739</v>
      </c>
      <c r="AS35" s="190">
        <v>9664</v>
      </c>
      <c r="AT35" s="190">
        <v>98669</v>
      </c>
      <c r="AU35" s="190">
        <v>108333</v>
      </c>
      <c r="AV35" s="190">
        <v>137</v>
      </c>
      <c r="AW35" s="190">
        <v>-731</v>
      </c>
      <c r="AX35" s="190">
        <v>-594</v>
      </c>
      <c r="AY35" s="190">
        <v>328</v>
      </c>
      <c r="AZ35" s="190">
        <v>9947</v>
      </c>
      <c r="BA35" s="190">
        <v>10275</v>
      </c>
      <c r="BB35" s="190">
        <v>233</v>
      </c>
      <c r="BC35" s="190">
        <v>6</v>
      </c>
      <c r="BD35" s="190">
        <v>1</v>
      </c>
      <c r="BE35" s="190">
        <v>4215</v>
      </c>
      <c r="BF35" s="190">
        <v>77</v>
      </c>
      <c r="BG35" s="190">
        <v>61</v>
      </c>
      <c r="BH35" s="190">
        <v>240</v>
      </c>
      <c r="BI35" s="190">
        <v>4353</v>
      </c>
      <c r="BJ35" s="190">
        <v>4593</v>
      </c>
      <c r="BK35" s="190">
        <v>-274</v>
      </c>
      <c r="BL35" s="190">
        <v>274</v>
      </c>
      <c r="BM35" s="190">
        <v>0</v>
      </c>
      <c r="BN35" s="190">
        <v>12</v>
      </c>
      <c r="BO35" s="190">
        <v>90</v>
      </c>
      <c r="BP35" s="190">
        <v>102</v>
      </c>
      <c r="BQ35" s="190">
        <v>55</v>
      </c>
      <c r="BR35" s="190">
        <v>1190</v>
      </c>
      <c r="BS35" s="190">
        <v>1245</v>
      </c>
      <c r="BT35" s="190">
        <v>295</v>
      </c>
      <c r="BU35" s="190">
        <v>4040</v>
      </c>
      <c r="BV35" s="190">
        <v>4335</v>
      </c>
      <c r="BW35" s="190">
        <v>10129</v>
      </c>
      <c r="BX35" s="190">
        <v>107885</v>
      </c>
      <c r="BY35" s="190">
        <v>118014</v>
      </c>
      <c r="BZ35" s="190">
        <v>9936</v>
      </c>
      <c r="CA35" s="190">
        <v>104736</v>
      </c>
      <c r="CB35" s="190">
        <v>114672</v>
      </c>
      <c r="CC35" s="190">
        <v>240484</v>
      </c>
      <c r="CD35" s="190">
        <v>274</v>
      </c>
      <c r="CE35" s="190">
        <v>2929</v>
      </c>
      <c r="CF35" s="190">
        <v>189</v>
      </c>
      <c r="CG35" s="190">
        <v>2033</v>
      </c>
      <c r="CH35" s="190">
        <v>2222</v>
      </c>
      <c r="CI35" s="190">
        <v>1539</v>
      </c>
      <c r="CJ35" s="190">
        <v>15</v>
      </c>
      <c r="CK35" s="190">
        <v>4</v>
      </c>
      <c r="CL35" s="190">
        <v>1116</v>
      </c>
      <c r="CM35" s="190">
        <v>1120</v>
      </c>
      <c r="CN35" s="190">
        <v>488</v>
      </c>
      <c r="CO35" s="190">
        <v>8889</v>
      </c>
      <c r="CP35" s="190">
        <v>9377</v>
      </c>
      <c r="CQ35" s="190">
        <v>0</v>
      </c>
      <c r="CR35" s="190">
        <v>0</v>
      </c>
      <c r="CS35" s="190">
        <v>0</v>
      </c>
      <c r="CT35" s="190">
        <v>9641</v>
      </c>
      <c r="CU35" s="190">
        <v>98996</v>
      </c>
      <c r="CV35" s="190">
        <v>108637</v>
      </c>
      <c r="CW35" s="190">
        <v>673</v>
      </c>
      <c r="CX35" s="190">
        <v>6411</v>
      </c>
      <c r="CY35" s="190">
        <v>7084</v>
      </c>
      <c r="CZ35" s="190">
        <v>653</v>
      </c>
      <c r="DA35" s="190">
        <v>10</v>
      </c>
      <c r="DB35" s="190">
        <v>0</v>
      </c>
      <c r="DC35" s="190">
        <v>5184</v>
      </c>
      <c r="DD35" s="190">
        <v>119</v>
      </c>
      <c r="DE35" s="190">
        <v>28</v>
      </c>
      <c r="DF35" s="190">
        <v>663</v>
      </c>
      <c r="DG35" s="190">
        <v>5331</v>
      </c>
      <c r="DH35" s="190">
        <v>5994</v>
      </c>
      <c r="DI35" s="190">
        <v>10</v>
      </c>
      <c r="DJ35" s="190">
        <v>0</v>
      </c>
      <c r="DK35" s="190">
        <v>0</v>
      </c>
      <c r="DL35" s="190">
        <v>1047</v>
      </c>
      <c r="DM35" s="190">
        <v>26</v>
      </c>
      <c r="DN35" s="190">
        <v>7</v>
      </c>
      <c r="DO35" s="190">
        <v>10</v>
      </c>
      <c r="DP35" s="190">
        <v>1080</v>
      </c>
      <c r="DQ35" s="190">
        <v>1090</v>
      </c>
      <c r="DR35" s="190">
        <v>1</v>
      </c>
      <c r="DS35" s="190">
        <v>62</v>
      </c>
      <c r="DT35" s="191">
        <v>63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622</v>
      </c>
      <c r="C36" s="190">
        <v>218</v>
      </c>
      <c r="D36" s="190">
        <v>627</v>
      </c>
      <c r="E36" s="190">
        <v>336</v>
      </c>
      <c r="F36" s="190">
        <v>0</v>
      </c>
      <c r="G36" s="190">
        <v>0</v>
      </c>
      <c r="H36" s="190">
        <v>0</v>
      </c>
      <c r="I36" s="190">
        <v>0</v>
      </c>
      <c r="J36" s="190">
        <v>270</v>
      </c>
      <c r="K36" s="190">
        <v>270</v>
      </c>
      <c r="L36" s="190">
        <v>0</v>
      </c>
      <c r="M36" s="190">
        <v>74</v>
      </c>
      <c r="N36" s="190">
        <v>74</v>
      </c>
      <c r="O36" s="190">
        <v>0</v>
      </c>
      <c r="P36" s="190">
        <v>196</v>
      </c>
      <c r="Q36" s="190">
        <v>196</v>
      </c>
      <c r="R36" s="190">
        <v>0</v>
      </c>
      <c r="S36" s="190">
        <v>12</v>
      </c>
      <c r="T36" s="190">
        <v>12</v>
      </c>
      <c r="U36" s="190">
        <v>0</v>
      </c>
      <c r="V36" s="190">
        <v>21</v>
      </c>
      <c r="W36" s="190">
        <v>21</v>
      </c>
      <c r="X36" s="190">
        <v>2</v>
      </c>
      <c r="Y36" s="190">
        <v>384</v>
      </c>
      <c r="Z36" s="190">
        <v>386</v>
      </c>
      <c r="AA36" s="190">
        <v>2</v>
      </c>
      <c r="AB36" s="190">
        <v>193</v>
      </c>
      <c r="AC36" s="190">
        <v>195</v>
      </c>
      <c r="AD36" s="190">
        <v>2</v>
      </c>
      <c r="AE36" s="190">
        <v>179</v>
      </c>
      <c r="AF36" s="190">
        <v>181</v>
      </c>
      <c r="AG36" s="190">
        <v>0</v>
      </c>
      <c r="AH36" s="190">
        <v>8</v>
      </c>
      <c r="AI36" s="190">
        <v>8</v>
      </c>
      <c r="AJ36" s="190">
        <v>0</v>
      </c>
      <c r="AK36" s="190">
        <v>6</v>
      </c>
      <c r="AL36" s="190">
        <v>6</v>
      </c>
      <c r="AM36" s="190">
        <v>0</v>
      </c>
      <c r="AN36" s="190">
        <v>191</v>
      </c>
      <c r="AO36" s="190">
        <v>191</v>
      </c>
      <c r="AP36" s="190">
        <v>642</v>
      </c>
      <c r="AQ36" s="190">
        <v>7462</v>
      </c>
      <c r="AR36" s="190">
        <v>8104</v>
      </c>
      <c r="AS36" s="190">
        <v>634</v>
      </c>
      <c r="AT36" s="190">
        <v>7235</v>
      </c>
      <c r="AU36" s="190">
        <v>7869</v>
      </c>
      <c r="AV36" s="190">
        <v>8</v>
      </c>
      <c r="AW36" s="190">
        <v>227</v>
      </c>
      <c r="AX36" s="190">
        <v>235</v>
      </c>
      <c r="AY36" s="190">
        <v>31</v>
      </c>
      <c r="AZ36" s="190">
        <v>730</v>
      </c>
      <c r="BA36" s="190">
        <v>761</v>
      </c>
      <c r="BB36" s="190">
        <v>25</v>
      </c>
      <c r="BC36" s="190">
        <v>0</v>
      </c>
      <c r="BD36" s="190">
        <v>0</v>
      </c>
      <c r="BE36" s="190">
        <v>309</v>
      </c>
      <c r="BF36" s="190">
        <v>0</v>
      </c>
      <c r="BG36" s="190">
        <v>2</v>
      </c>
      <c r="BH36" s="190">
        <v>25</v>
      </c>
      <c r="BI36" s="190">
        <v>311</v>
      </c>
      <c r="BJ36" s="190">
        <v>336</v>
      </c>
      <c r="BK36" s="190">
        <v>-20</v>
      </c>
      <c r="BL36" s="190">
        <v>20</v>
      </c>
      <c r="BM36" s="190">
        <v>0</v>
      </c>
      <c r="BN36" s="190">
        <v>4</v>
      </c>
      <c r="BO36" s="190">
        <v>40</v>
      </c>
      <c r="BP36" s="190">
        <v>44</v>
      </c>
      <c r="BQ36" s="190">
        <v>7</v>
      </c>
      <c r="BR36" s="190">
        <v>93</v>
      </c>
      <c r="BS36" s="190">
        <v>100</v>
      </c>
      <c r="BT36" s="190">
        <v>15</v>
      </c>
      <c r="BU36" s="190">
        <v>266</v>
      </c>
      <c r="BV36" s="190">
        <v>281</v>
      </c>
      <c r="BW36" s="190">
        <v>673</v>
      </c>
      <c r="BX36" s="190">
        <v>8192</v>
      </c>
      <c r="BY36" s="190">
        <v>8865</v>
      </c>
      <c r="BZ36" s="190">
        <v>664</v>
      </c>
      <c r="CA36" s="190">
        <v>8119</v>
      </c>
      <c r="CB36" s="190">
        <v>8783</v>
      </c>
      <c r="CC36" s="190">
        <v>16251</v>
      </c>
      <c r="CD36" s="190">
        <v>3</v>
      </c>
      <c r="CE36" s="190">
        <v>62</v>
      </c>
      <c r="CF36" s="190">
        <v>7</v>
      </c>
      <c r="CG36" s="190">
        <v>39</v>
      </c>
      <c r="CH36" s="190">
        <v>46</v>
      </c>
      <c r="CI36" s="190">
        <v>48</v>
      </c>
      <c r="CJ36" s="190">
        <v>7</v>
      </c>
      <c r="CK36" s="190">
        <v>2</v>
      </c>
      <c r="CL36" s="190">
        <v>34</v>
      </c>
      <c r="CM36" s="190">
        <v>36</v>
      </c>
      <c r="CN36" s="190">
        <v>44</v>
      </c>
      <c r="CO36" s="190">
        <v>799</v>
      </c>
      <c r="CP36" s="190">
        <v>843</v>
      </c>
      <c r="CQ36" s="190">
        <v>0</v>
      </c>
      <c r="CR36" s="190">
        <v>0</v>
      </c>
      <c r="CS36" s="190">
        <v>0</v>
      </c>
      <c r="CT36" s="190">
        <v>629</v>
      </c>
      <c r="CU36" s="190">
        <v>7393</v>
      </c>
      <c r="CV36" s="190">
        <v>8022</v>
      </c>
      <c r="CW36" s="190">
        <v>37</v>
      </c>
      <c r="CX36" s="190">
        <v>354</v>
      </c>
      <c r="CY36" s="190">
        <v>391</v>
      </c>
      <c r="CZ36" s="190">
        <v>37</v>
      </c>
      <c r="DA36" s="190">
        <v>0</v>
      </c>
      <c r="DB36" s="190">
        <v>0</v>
      </c>
      <c r="DC36" s="190">
        <v>344</v>
      </c>
      <c r="DD36" s="190">
        <v>2</v>
      </c>
      <c r="DE36" s="190">
        <v>2</v>
      </c>
      <c r="DF36" s="190">
        <v>37</v>
      </c>
      <c r="DG36" s="190">
        <v>348</v>
      </c>
      <c r="DH36" s="190">
        <v>385</v>
      </c>
      <c r="DI36" s="190">
        <v>0</v>
      </c>
      <c r="DJ36" s="190">
        <v>0</v>
      </c>
      <c r="DK36" s="190">
        <v>0</v>
      </c>
      <c r="DL36" s="190">
        <v>6</v>
      </c>
      <c r="DM36" s="190">
        <v>0</v>
      </c>
      <c r="DN36" s="190">
        <v>0</v>
      </c>
      <c r="DO36" s="190">
        <v>0</v>
      </c>
      <c r="DP36" s="190">
        <v>6</v>
      </c>
      <c r="DQ36" s="190">
        <v>6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93</v>
      </c>
      <c r="C37" s="190">
        <v>15</v>
      </c>
      <c r="D37" s="190">
        <v>106</v>
      </c>
      <c r="E37" s="190">
        <v>62</v>
      </c>
      <c r="F37" s="190">
        <v>0</v>
      </c>
      <c r="G37" s="190">
        <v>1</v>
      </c>
      <c r="H37" s="190">
        <v>1</v>
      </c>
      <c r="I37" s="190">
        <v>0</v>
      </c>
      <c r="J37" s="190">
        <v>40</v>
      </c>
      <c r="K37" s="190">
        <v>40</v>
      </c>
      <c r="L37" s="190">
        <v>0</v>
      </c>
      <c r="M37" s="190">
        <v>9</v>
      </c>
      <c r="N37" s="190">
        <v>9</v>
      </c>
      <c r="O37" s="190">
        <v>0</v>
      </c>
      <c r="P37" s="190">
        <v>31</v>
      </c>
      <c r="Q37" s="190">
        <v>31</v>
      </c>
      <c r="R37" s="190">
        <v>0</v>
      </c>
      <c r="S37" s="190">
        <v>0</v>
      </c>
      <c r="T37" s="190">
        <v>0</v>
      </c>
      <c r="U37" s="190">
        <v>0</v>
      </c>
      <c r="V37" s="190">
        <v>4</v>
      </c>
      <c r="W37" s="190">
        <v>4</v>
      </c>
      <c r="X37" s="190">
        <v>1</v>
      </c>
      <c r="Y37" s="190">
        <v>105</v>
      </c>
      <c r="Z37" s="190">
        <v>106</v>
      </c>
      <c r="AA37" s="190">
        <v>1</v>
      </c>
      <c r="AB37" s="190">
        <v>38</v>
      </c>
      <c r="AC37" s="190">
        <v>39</v>
      </c>
      <c r="AD37" s="190">
        <v>1</v>
      </c>
      <c r="AE37" s="190">
        <v>35</v>
      </c>
      <c r="AF37" s="190">
        <v>36</v>
      </c>
      <c r="AG37" s="190">
        <v>0</v>
      </c>
      <c r="AH37" s="190">
        <v>3</v>
      </c>
      <c r="AI37" s="190">
        <v>3</v>
      </c>
      <c r="AJ37" s="190">
        <v>0</v>
      </c>
      <c r="AK37" s="190">
        <v>0</v>
      </c>
      <c r="AL37" s="190">
        <v>0</v>
      </c>
      <c r="AM37" s="190">
        <v>0</v>
      </c>
      <c r="AN37" s="190">
        <v>67</v>
      </c>
      <c r="AO37" s="190">
        <v>67</v>
      </c>
      <c r="AP37" s="190">
        <v>85</v>
      </c>
      <c r="AQ37" s="190">
        <v>969</v>
      </c>
      <c r="AR37" s="190">
        <v>1054</v>
      </c>
      <c r="AS37" s="190">
        <v>85</v>
      </c>
      <c r="AT37" s="190">
        <v>969</v>
      </c>
      <c r="AU37" s="190">
        <v>1054</v>
      </c>
      <c r="AV37" s="190">
        <v>0</v>
      </c>
      <c r="AW37" s="190">
        <v>0</v>
      </c>
      <c r="AX37" s="190">
        <v>0</v>
      </c>
      <c r="AY37" s="190">
        <v>-1</v>
      </c>
      <c r="AZ37" s="190">
        <v>134</v>
      </c>
      <c r="BA37" s="190">
        <v>133</v>
      </c>
      <c r="BB37" s="190">
        <v>1</v>
      </c>
      <c r="BC37" s="190">
        <v>0</v>
      </c>
      <c r="BD37" s="190">
        <v>0</v>
      </c>
      <c r="BE37" s="190">
        <v>61</v>
      </c>
      <c r="BF37" s="190">
        <v>0</v>
      </c>
      <c r="BG37" s="190">
        <v>0</v>
      </c>
      <c r="BH37" s="190">
        <v>1</v>
      </c>
      <c r="BI37" s="190">
        <v>61</v>
      </c>
      <c r="BJ37" s="190">
        <v>62</v>
      </c>
      <c r="BK37" s="190">
        <v>-6</v>
      </c>
      <c r="BL37" s="190">
        <v>6</v>
      </c>
      <c r="BM37" s="190">
        <v>0</v>
      </c>
      <c r="BN37" s="190">
        <v>1</v>
      </c>
      <c r="BO37" s="190">
        <v>4</v>
      </c>
      <c r="BP37" s="190">
        <v>5</v>
      </c>
      <c r="BQ37" s="190">
        <v>1</v>
      </c>
      <c r="BR37" s="190">
        <v>29</v>
      </c>
      <c r="BS37" s="190">
        <v>30</v>
      </c>
      <c r="BT37" s="190">
        <v>2</v>
      </c>
      <c r="BU37" s="190">
        <v>34</v>
      </c>
      <c r="BV37" s="190">
        <v>36</v>
      </c>
      <c r="BW37" s="190">
        <v>84</v>
      </c>
      <c r="BX37" s="190">
        <v>1103</v>
      </c>
      <c r="BY37" s="190">
        <v>1187</v>
      </c>
      <c r="BZ37" s="190">
        <v>84</v>
      </c>
      <c r="CA37" s="190">
        <v>1102</v>
      </c>
      <c r="CB37" s="190">
        <v>1186</v>
      </c>
      <c r="CC37" s="190">
        <v>2149</v>
      </c>
      <c r="CD37" s="190">
        <v>1</v>
      </c>
      <c r="CE37" s="190">
        <v>0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4</v>
      </c>
      <c r="CO37" s="190">
        <v>87</v>
      </c>
      <c r="CP37" s="190">
        <v>91</v>
      </c>
      <c r="CQ37" s="190">
        <v>0</v>
      </c>
      <c r="CR37" s="190">
        <v>0</v>
      </c>
      <c r="CS37" s="190">
        <v>0</v>
      </c>
      <c r="CT37" s="190">
        <v>80</v>
      </c>
      <c r="CU37" s="190">
        <v>1016</v>
      </c>
      <c r="CV37" s="190">
        <v>1096</v>
      </c>
      <c r="CW37" s="190">
        <v>5</v>
      </c>
      <c r="CX37" s="190">
        <v>58</v>
      </c>
      <c r="CY37" s="190">
        <v>63</v>
      </c>
      <c r="CZ37" s="190">
        <v>5</v>
      </c>
      <c r="DA37" s="190">
        <v>0</v>
      </c>
      <c r="DB37" s="190">
        <v>0</v>
      </c>
      <c r="DC37" s="190">
        <v>57</v>
      </c>
      <c r="DD37" s="190">
        <v>0</v>
      </c>
      <c r="DE37" s="190">
        <v>0</v>
      </c>
      <c r="DF37" s="190">
        <v>5</v>
      </c>
      <c r="DG37" s="190">
        <v>57</v>
      </c>
      <c r="DH37" s="190">
        <v>62</v>
      </c>
      <c r="DI37" s="190">
        <v>0</v>
      </c>
      <c r="DJ37" s="190">
        <v>0</v>
      </c>
      <c r="DK37" s="190">
        <v>0</v>
      </c>
      <c r="DL37" s="190">
        <v>1</v>
      </c>
      <c r="DM37" s="190">
        <v>0</v>
      </c>
      <c r="DN37" s="190">
        <v>0</v>
      </c>
      <c r="DO37" s="190">
        <v>0</v>
      </c>
      <c r="DP37" s="190">
        <v>1</v>
      </c>
      <c r="DQ37" s="190">
        <v>1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9341</v>
      </c>
      <c r="C38" s="190">
        <v>2391</v>
      </c>
      <c r="D38" s="190">
        <v>9622</v>
      </c>
      <c r="E38" s="190">
        <v>5827</v>
      </c>
      <c r="F38" s="190">
        <v>2</v>
      </c>
      <c r="G38" s="190">
        <v>41</v>
      </c>
      <c r="H38" s="190">
        <v>43</v>
      </c>
      <c r="I38" s="190">
        <v>4</v>
      </c>
      <c r="J38" s="190">
        <v>3439</v>
      </c>
      <c r="K38" s="190">
        <v>3443</v>
      </c>
      <c r="L38" s="190">
        <v>4</v>
      </c>
      <c r="M38" s="190">
        <v>1430</v>
      </c>
      <c r="N38" s="190">
        <v>1434</v>
      </c>
      <c r="O38" s="190">
        <v>0</v>
      </c>
      <c r="P38" s="190">
        <v>2009</v>
      </c>
      <c r="Q38" s="190">
        <v>2009</v>
      </c>
      <c r="R38" s="190">
        <v>0</v>
      </c>
      <c r="S38" s="190">
        <v>20</v>
      </c>
      <c r="T38" s="190">
        <v>20</v>
      </c>
      <c r="U38" s="190">
        <v>0</v>
      </c>
      <c r="V38" s="190">
        <v>352</v>
      </c>
      <c r="W38" s="190">
        <v>352</v>
      </c>
      <c r="X38" s="190">
        <v>263</v>
      </c>
      <c r="Y38" s="190">
        <v>9359</v>
      </c>
      <c r="Z38" s="190">
        <v>9622</v>
      </c>
      <c r="AA38" s="190">
        <v>185</v>
      </c>
      <c r="AB38" s="190">
        <v>3862</v>
      </c>
      <c r="AC38" s="190">
        <v>4047</v>
      </c>
      <c r="AD38" s="190">
        <v>178</v>
      </c>
      <c r="AE38" s="190">
        <v>3675</v>
      </c>
      <c r="AF38" s="190">
        <v>3853</v>
      </c>
      <c r="AG38" s="190">
        <v>3</v>
      </c>
      <c r="AH38" s="190">
        <v>100</v>
      </c>
      <c r="AI38" s="190">
        <v>103</v>
      </c>
      <c r="AJ38" s="190">
        <v>4</v>
      </c>
      <c r="AK38" s="190">
        <v>87</v>
      </c>
      <c r="AL38" s="190">
        <v>91</v>
      </c>
      <c r="AM38" s="190">
        <v>78</v>
      </c>
      <c r="AN38" s="190">
        <v>5497</v>
      </c>
      <c r="AO38" s="190">
        <v>5575</v>
      </c>
      <c r="AP38" s="190">
        <v>14114</v>
      </c>
      <c r="AQ38" s="190">
        <v>100497</v>
      </c>
      <c r="AR38" s="190">
        <v>114611</v>
      </c>
      <c r="AS38" s="190">
        <v>14114</v>
      </c>
      <c r="AT38" s="190">
        <v>100498</v>
      </c>
      <c r="AU38" s="190">
        <v>114612</v>
      </c>
      <c r="AV38" s="190">
        <v>0</v>
      </c>
      <c r="AW38" s="190">
        <v>-1</v>
      </c>
      <c r="AX38" s="190">
        <v>-1</v>
      </c>
      <c r="AY38" s="190">
        <v>718</v>
      </c>
      <c r="AZ38" s="190">
        <v>9736</v>
      </c>
      <c r="BA38" s="190">
        <v>10454</v>
      </c>
      <c r="BB38" s="190">
        <v>280</v>
      </c>
      <c r="BC38" s="190">
        <v>5</v>
      </c>
      <c r="BD38" s="190">
        <v>0</v>
      </c>
      <c r="BE38" s="190">
        <v>5489</v>
      </c>
      <c r="BF38" s="190">
        <v>37</v>
      </c>
      <c r="BG38" s="190">
        <v>16</v>
      </c>
      <c r="BH38" s="190">
        <v>285</v>
      </c>
      <c r="BI38" s="190">
        <v>5542</v>
      </c>
      <c r="BJ38" s="190">
        <v>5827</v>
      </c>
      <c r="BK38" s="190">
        <v>-43</v>
      </c>
      <c r="BL38" s="190">
        <v>43</v>
      </c>
      <c r="BM38" s="190">
        <v>0</v>
      </c>
      <c r="BN38" s="190">
        <v>28</v>
      </c>
      <c r="BO38" s="190">
        <v>201</v>
      </c>
      <c r="BP38" s="190">
        <v>229</v>
      </c>
      <c r="BQ38" s="190">
        <v>149</v>
      </c>
      <c r="BR38" s="190">
        <v>1814</v>
      </c>
      <c r="BS38" s="190">
        <v>1963</v>
      </c>
      <c r="BT38" s="190">
        <v>299</v>
      </c>
      <c r="BU38" s="190">
        <v>2136</v>
      </c>
      <c r="BV38" s="190">
        <v>2435</v>
      </c>
      <c r="BW38" s="190">
        <v>14832</v>
      </c>
      <c r="BX38" s="190">
        <v>110233</v>
      </c>
      <c r="BY38" s="190">
        <v>125065</v>
      </c>
      <c r="BZ38" s="190">
        <v>14722</v>
      </c>
      <c r="CA38" s="190">
        <v>109259</v>
      </c>
      <c r="CB38" s="190">
        <v>123981</v>
      </c>
      <c r="CC38" s="190">
        <v>274736</v>
      </c>
      <c r="CD38" s="190">
        <v>110</v>
      </c>
      <c r="CE38" s="190">
        <v>906</v>
      </c>
      <c r="CF38" s="190">
        <v>103</v>
      </c>
      <c r="CG38" s="190">
        <v>793</v>
      </c>
      <c r="CH38" s="190">
        <v>896</v>
      </c>
      <c r="CI38" s="190">
        <v>217</v>
      </c>
      <c r="CJ38" s="190">
        <v>31</v>
      </c>
      <c r="CK38" s="190">
        <v>7</v>
      </c>
      <c r="CL38" s="190">
        <v>181</v>
      </c>
      <c r="CM38" s="190">
        <v>188</v>
      </c>
      <c r="CN38" s="190">
        <v>708</v>
      </c>
      <c r="CO38" s="190">
        <v>9549</v>
      </c>
      <c r="CP38" s="190">
        <v>10257</v>
      </c>
      <c r="CQ38" s="190">
        <v>2</v>
      </c>
      <c r="CR38" s="190">
        <v>94</v>
      </c>
      <c r="CS38" s="190">
        <v>96</v>
      </c>
      <c r="CT38" s="190">
        <v>14124</v>
      </c>
      <c r="CU38" s="190">
        <v>100684</v>
      </c>
      <c r="CV38" s="190">
        <v>114808</v>
      </c>
      <c r="CW38" s="190">
        <v>992</v>
      </c>
      <c r="CX38" s="190">
        <v>4982</v>
      </c>
      <c r="CY38" s="190">
        <v>5974</v>
      </c>
      <c r="CZ38" s="190">
        <v>983</v>
      </c>
      <c r="DA38" s="190">
        <v>8</v>
      </c>
      <c r="DB38" s="190">
        <v>0</v>
      </c>
      <c r="DC38" s="190">
        <v>4868</v>
      </c>
      <c r="DD38" s="190">
        <v>53</v>
      </c>
      <c r="DE38" s="190">
        <v>3</v>
      </c>
      <c r="DF38" s="190">
        <v>991</v>
      </c>
      <c r="DG38" s="190">
        <v>4924</v>
      </c>
      <c r="DH38" s="190">
        <v>5915</v>
      </c>
      <c r="DI38" s="190">
        <v>1</v>
      </c>
      <c r="DJ38" s="190">
        <v>0</v>
      </c>
      <c r="DK38" s="190">
        <v>0</v>
      </c>
      <c r="DL38" s="190">
        <v>57</v>
      </c>
      <c r="DM38" s="190">
        <v>1</v>
      </c>
      <c r="DN38" s="190">
        <v>0</v>
      </c>
      <c r="DO38" s="190">
        <v>1</v>
      </c>
      <c r="DP38" s="190">
        <v>58</v>
      </c>
      <c r="DQ38" s="190">
        <v>59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7541</v>
      </c>
      <c r="C39" s="190">
        <v>2108</v>
      </c>
      <c r="D39" s="190">
        <v>6450</v>
      </c>
      <c r="E39" s="190">
        <v>3909</v>
      </c>
      <c r="F39" s="190">
        <v>1</v>
      </c>
      <c r="G39" s="190">
        <v>47</v>
      </c>
      <c r="H39" s="190">
        <v>48</v>
      </c>
      <c r="I39" s="190">
        <v>3</v>
      </c>
      <c r="J39" s="190">
        <v>2362</v>
      </c>
      <c r="K39" s="190">
        <v>2365</v>
      </c>
      <c r="L39" s="190">
        <v>1</v>
      </c>
      <c r="M39" s="190">
        <v>714</v>
      </c>
      <c r="N39" s="190">
        <v>715</v>
      </c>
      <c r="O39" s="190">
        <v>2</v>
      </c>
      <c r="P39" s="190">
        <v>1648</v>
      </c>
      <c r="Q39" s="190">
        <v>1650</v>
      </c>
      <c r="R39" s="190">
        <v>0</v>
      </c>
      <c r="S39" s="190">
        <v>77</v>
      </c>
      <c r="T39" s="190">
        <v>77</v>
      </c>
      <c r="U39" s="190">
        <v>0</v>
      </c>
      <c r="V39" s="190">
        <v>176</v>
      </c>
      <c r="W39" s="190">
        <v>176</v>
      </c>
      <c r="X39" s="190">
        <v>268</v>
      </c>
      <c r="Y39" s="190">
        <v>6182</v>
      </c>
      <c r="Z39" s="190">
        <v>6450</v>
      </c>
      <c r="AA39" s="190">
        <v>129</v>
      </c>
      <c r="AB39" s="190">
        <v>1854</v>
      </c>
      <c r="AC39" s="190">
        <v>1983</v>
      </c>
      <c r="AD39" s="190">
        <v>128</v>
      </c>
      <c r="AE39" s="190">
        <v>1844</v>
      </c>
      <c r="AF39" s="190">
        <v>1972</v>
      </c>
      <c r="AG39" s="190">
        <v>1</v>
      </c>
      <c r="AH39" s="190">
        <v>6</v>
      </c>
      <c r="AI39" s="190">
        <v>7</v>
      </c>
      <c r="AJ39" s="190">
        <v>0</v>
      </c>
      <c r="AK39" s="190">
        <v>4</v>
      </c>
      <c r="AL39" s="190">
        <v>4</v>
      </c>
      <c r="AM39" s="190">
        <v>139</v>
      </c>
      <c r="AN39" s="190">
        <v>4328</v>
      </c>
      <c r="AO39" s="190">
        <v>4467</v>
      </c>
      <c r="AP39" s="190">
        <v>13476</v>
      </c>
      <c r="AQ39" s="190">
        <v>77654</v>
      </c>
      <c r="AR39" s="190">
        <v>91130</v>
      </c>
      <c r="AS39" s="190">
        <v>13357</v>
      </c>
      <c r="AT39" s="190">
        <v>77284</v>
      </c>
      <c r="AU39" s="190">
        <v>90641</v>
      </c>
      <c r="AV39" s="190">
        <v>119</v>
      </c>
      <c r="AW39" s="190">
        <v>370</v>
      </c>
      <c r="AX39" s="190">
        <v>489</v>
      </c>
      <c r="AY39" s="190">
        <v>726</v>
      </c>
      <c r="AZ39" s="190">
        <v>8040</v>
      </c>
      <c r="BA39" s="190">
        <v>8766</v>
      </c>
      <c r="BB39" s="190">
        <v>352</v>
      </c>
      <c r="BC39" s="190">
        <v>17</v>
      </c>
      <c r="BD39" s="190">
        <v>1</v>
      </c>
      <c r="BE39" s="190">
        <v>3484</v>
      </c>
      <c r="BF39" s="190">
        <v>31</v>
      </c>
      <c r="BG39" s="190">
        <v>24</v>
      </c>
      <c r="BH39" s="190">
        <v>370</v>
      </c>
      <c r="BI39" s="190">
        <v>3539</v>
      </c>
      <c r="BJ39" s="190">
        <v>3909</v>
      </c>
      <c r="BK39" s="190">
        <v>-320</v>
      </c>
      <c r="BL39" s="190">
        <v>320</v>
      </c>
      <c r="BM39" s="190">
        <v>0</v>
      </c>
      <c r="BN39" s="190">
        <v>27</v>
      </c>
      <c r="BO39" s="190">
        <v>91</v>
      </c>
      <c r="BP39" s="190">
        <v>118</v>
      </c>
      <c r="BQ39" s="190">
        <v>65</v>
      </c>
      <c r="BR39" s="190">
        <v>710</v>
      </c>
      <c r="BS39" s="190">
        <v>775</v>
      </c>
      <c r="BT39" s="190">
        <v>584</v>
      </c>
      <c r="BU39" s="190">
        <v>3380</v>
      </c>
      <c r="BV39" s="190">
        <v>3964</v>
      </c>
      <c r="BW39" s="190">
        <v>14202</v>
      </c>
      <c r="BX39" s="190">
        <v>85694</v>
      </c>
      <c r="BY39" s="190">
        <v>99896</v>
      </c>
      <c r="BZ39" s="190">
        <v>13584</v>
      </c>
      <c r="CA39" s="190">
        <v>83581</v>
      </c>
      <c r="CB39" s="190">
        <v>97165</v>
      </c>
      <c r="CC39" s="190">
        <v>208081</v>
      </c>
      <c r="CD39" s="190">
        <v>126</v>
      </c>
      <c r="CE39" s="190">
        <v>2675</v>
      </c>
      <c r="CF39" s="190">
        <v>609</v>
      </c>
      <c r="CG39" s="190">
        <v>1531</v>
      </c>
      <c r="CH39" s="190">
        <v>2140</v>
      </c>
      <c r="CI39" s="190">
        <v>782</v>
      </c>
      <c r="CJ39" s="190">
        <v>19</v>
      </c>
      <c r="CK39" s="190">
        <v>9</v>
      </c>
      <c r="CL39" s="190">
        <v>582</v>
      </c>
      <c r="CM39" s="190">
        <v>591</v>
      </c>
      <c r="CN39" s="190">
        <v>871</v>
      </c>
      <c r="CO39" s="190">
        <v>8134</v>
      </c>
      <c r="CP39" s="190">
        <v>9005</v>
      </c>
      <c r="CQ39" s="190">
        <v>0</v>
      </c>
      <c r="CR39" s="190">
        <v>0</v>
      </c>
      <c r="CS39" s="190">
        <v>0</v>
      </c>
      <c r="CT39" s="190">
        <v>13331</v>
      </c>
      <c r="CU39" s="190">
        <v>77560</v>
      </c>
      <c r="CV39" s="190">
        <v>90891</v>
      </c>
      <c r="CW39" s="190">
        <v>1038</v>
      </c>
      <c r="CX39" s="190">
        <v>4625</v>
      </c>
      <c r="CY39" s="190">
        <v>5663</v>
      </c>
      <c r="CZ39" s="190">
        <v>970</v>
      </c>
      <c r="DA39" s="190">
        <v>45</v>
      </c>
      <c r="DB39" s="190">
        <v>0</v>
      </c>
      <c r="DC39" s="190">
        <v>4246</v>
      </c>
      <c r="DD39" s="190">
        <v>74</v>
      </c>
      <c r="DE39" s="190">
        <v>19</v>
      </c>
      <c r="DF39" s="190">
        <v>1015</v>
      </c>
      <c r="DG39" s="190">
        <v>4339</v>
      </c>
      <c r="DH39" s="190">
        <v>5354</v>
      </c>
      <c r="DI39" s="190">
        <v>22</v>
      </c>
      <c r="DJ39" s="190">
        <v>1</v>
      </c>
      <c r="DK39" s="190">
        <v>0</v>
      </c>
      <c r="DL39" s="190">
        <v>276</v>
      </c>
      <c r="DM39" s="190">
        <v>8</v>
      </c>
      <c r="DN39" s="190">
        <v>2</v>
      </c>
      <c r="DO39" s="190">
        <v>23</v>
      </c>
      <c r="DP39" s="190">
        <v>286</v>
      </c>
      <c r="DQ39" s="190">
        <v>309</v>
      </c>
      <c r="DR39" s="190">
        <v>8</v>
      </c>
      <c r="DS39" s="190">
        <v>19</v>
      </c>
      <c r="DT39" s="191">
        <v>27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162</v>
      </c>
      <c r="C40" s="190">
        <v>37</v>
      </c>
      <c r="D40" s="190">
        <v>154</v>
      </c>
      <c r="E40" s="190">
        <v>95</v>
      </c>
      <c r="F40" s="190">
        <v>0</v>
      </c>
      <c r="G40" s="190">
        <v>0</v>
      </c>
      <c r="H40" s="190">
        <v>0</v>
      </c>
      <c r="I40" s="190">
        <v>0</v>
      </c>
      <c r="J40" s="190">
        <v>46</v>
      </c>
      <c r="K40" s="190">
        <v>46</v>
      </c>
      <c r="L40" s="190">
        <v>0</v>
      </c>
      <c r="M40" s="190">
        <v>7</v>
      </c>
      <c r="N40" s="190">
        <v>7</v>
      </c>
      <c r="O40" s="190">
        <v>0</v>
      </c>
      <c r="P40" s="190">
        <v>39</v>
      </c>
      <c r="Q40" s="190">
        <v>39</v>
      </c>
      <c r="R40" s="190">
        <v>0</v>
      </c>
      <c r="S40" s="190">
        <v>0</v>
      </c>
      <c r="T40" s="190">
        <v>0</v>
      </c>
      <c r="U40" s="190">
        <v>0</v>
      </c>
      <c r="V40" s="190">
        <v>13</v>
      </c>
      <c r="W40" s="190">
        <v>13</v>
      </c>
      <c r="X40" s="190">
        <v>7</v>
      </c>
      <c r="Y40" s="190">
        <v>147</v>
      </c>
      <c r="Z40" s="190">
        <v>154</v>
      </c>
      <c r="AA40" s="190">
        <v>7</v>
      </c>
      <c r="AB40" s="190">
        <v>59</v>
      </c>
      <c r="AC40" s="190">
        <v>66</v>
      </c>
      <c r="AD40" s="190">
        <v>7</v>
      </c>
      <c r="AE40" s="190">
        <v>55</v>
      </c>
      <c r="AF40" s="190">
        <v>62</v>
      </c>
      <c r="AG40" s="190">
        <v>0</v>
      </c>
      <c r="AH40" s="190">
        <v>1</v>
      </c>
      <c r="AI40" s="190">
        <v>1</v>
      </c>
      <c r="AJ40" s="190">
        <v>0</v>
      </c>
      <c r="AK40" s="190">
        <v>3</v>
      </c>
      <c r="AL40" s="190">
        <v>3</v>
      </c>
      <c r="AM40" s="190">
        <v>0</v>
      </c>
      <c r="AN40" s="190">
        <v>88</v>
      </c>
      <c r="AO40" s="190">
        <v>88</v>
      </c>
      <c r="AP40" s="190">
        <v>254</v>
      </c>
      <c r="AQ40" s="190">
        <v>1953</v>
      </c>
      <c r="AR40" s="190">
        <v>2207</v>
      </c>
      <c r="AS40" s="190">
        <v>254</v>
      </c>
      <c r="AT40" s="190">
        <v>1953</v>
      </c>
      <c r="AU40" s="190">
        <v>2207</v>
      </c>
      <c r="AV40" s="190">
        <v>0</v>
      </c>
      <c r="AW40" s="190">
        <v>0</v>
      </c>
      <c r="AX40" s="190">
        <v>0</v>
      </c>
      <c r="AY40" s="190">
        <v>14</v>
      </c>
      <c r="AZ40" s="190">
        <v>169</v>
      </c>
      <c r="BA40" s="190">
        <v>183</v>
      </c>
      <c r="BB40" s="190">
        <v>7</v>
      </c>
      <c r="BC40" s="190">
        <v>0</v>
      </c>
      <c r="BD40" s="190">
        <v>0</v>
      </c>
      <c r="BE40" s="190">
        <v>87</v>
      </c>
      <c r="BF40" s="190">
        <v>1</v>
      </c>
      <c r="BG40" s="190">
        <v>0</v>
      </c>
      <c r="BH40" s="190">
        <v>7</v>
      </c>
      <c r="BI40" s="190">
        <v>88</v>
      </c>
      <c r="BJ40" s="190">
        <v>95</v>
      </c>
      <c r="BK40" s="190">
        <v>2</v>
      </c>
      <c r="BL40" s="190">
        <v>-2</v>
      </c>
      <c r="BM40" s="190">
        <v>0</v>
      </c>
      <c r="BN40" s="190">
        <v>1</v>
      </c>
      <c r="BO40" s="190">
        <v>14</v>
      </c>
      <c r="BP40" s="190">
        <v>15</v>
      </c>
      <c r="BQ40" s="190">
        <v>0</v>
      </c>
      <c r="BR40" s="190">
        <v>23</v>
      </c>
      <c r="BS40" s="190">
        <v>23</v>
      </c>
      <c r="BT40" s="190">
        <v>4</v>
      </c>
      <c r="BU40" s="190">
        <v>46</v>
      </c>
      <c r="BV40" s="190">
        <v>50</v>
      </c>
      <c r="BW40" s="190">
        <v>268</v>
      </c>
      <c r="BX40" s="190">
        <v>2122</v>
      </c>
      <c r="BY40" s="190">
        <v>2390</v>
      </c>
      <c r="BZ40" s="190">
        <v>267</v>
      </c>
      <c r="CA40" s="190">
        <v>2102</v>
      </c>
      <c r="CB40" s="190">
        <v>2369</v>
      </c>
      <c r="CC40" s="190">
        <v>5322</v>
      </c>
      <c r="CD40" s="190">
        <v>3</v>
      </c>
      <c r="CE40" s="190">
        <v>19</v>
      </c>
      <c r="CF40" s="190">
        <v>1</v>
      </c>
      <c r="CG40" s="190">
        <v>19</v>
      </c>
      <c r="CH40" s="190">
        <v>20</v>
      </c>
      <c r="CI40" s="190">
        <v>1</v>
      </c>
      <c r="CJ40" s="190">
        <v>0</v>
      </c>
      <c r="CK40" s="190">
        <v>0</v>
      </c>
      <c r="CL40" s="190">
        <v>1</v>
      </c>
      <c r="CM40" s="190">
        <v>1</v>
      </c>
      <c r="CN40" s="190">
        <v>14</v>
      </c>
      <c r="CO40" s="190">
        <v>171</v>
      </c>
      <c r="CP40" s="190">
        <v>185</v>
      </c>
      <c r="CQ40" s="190">
        <v>0</v>
      </c>
      <c r="CR40" s="190">
        <v>0</v>
      </c>
      <c r="CS40" s="190">
        <v>0</v>
      </c>
      <c r="CT40" s="190">
        <v>254</v>
      </c>
      <c r="CU40" s="190">
        <v>1951</v>
      </c>
      <c r="CV40" s="190">
        <v>2205</v>
      </c>
      <c r="CW40" s="190">
        <v>8</v>
      </c>
      <c r="CX40" s="190">
        <v>98</v>
      </c>
      <c r="CY40" s="190">
        <v>106</v>
      </c>
      <c r="CZ40" s="190">
        <v>8</v>
      </c>
      <c r="DA40" s="190">
        <v>0</v>
      </c>
      <c r="DB40" s="190">
        <v>0</v>
      </c>
      <c r="DC40" s="190">
        <v>94</v>
      </c>
      <c r="DD40" s="190">
        <v>0</v>
      </c>
      <c r="DE40" s="190">
        <v>0</v>
      </c>
      <c r="DF40" s="190">
        <v>8</v>
      </c>
      <c r="DG40" s="190">
        <v>94</v>
      </c>
      <c r="DH40" s="190">
        <v>102</v>
      </c>
      <c r="DI40" s="190">
        <v>0</v>
      </c>
      <c r="DJ40" s="190">
        <v>0</v>
      </c>
      <c r="DK40" s="190">
        <v>0</v>
      </c>
      <c r="DL40" s="190">
        <v>4</v>
      </c>
      <c r="DM40" s="190">
        <v>0</v>
      </c>
      <c r="DN40" s="190">
        <v>0</v>
      </c>
      <c r="DO40" s="190">
        <v>0</v>
      </c>
      <c r="DP40" s="190">
        <v>4</v>
      </c>
      <c r="DQ40" s="190">
        <v>4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11665</v>
      </c>
      <c r="C41" s="190">
        <v>3025</v>
      </c>
      <c r="D41" s="190">
        <v>11974</v>
      </c>
      <c r="E41" s="190">
        <v>8413</v>
      </c>
      <c r="F41" s="190">
        <v>11</v>
      </c>
      <c r="G41" s="190">
        <v>51</v>
      </c>
      <c r="H41" s="190">
        <v>62</v>
      </c>
      <c r="I41" s="190">
        <v>4</v>
      </c>
      <c r="J41" s="190">
        <v>3256</v>
      </c>
      <c r="K41" s="190">
        <v>3260</v>
      </c>
      <c r="L41" s="190">
        <v>4</v>
      </c>
      <c r="M41" s="190">
        <v>1329</v>
      </c>
      <c r="N41" s="190">
        <v>1333</v>
      </c>
      <c r="O41" s="190">
        <v>0</v>
      </c>
      <c r="P41" s="190">
        <v>1927</v>
      </c>
      <c r="Q41" s="190">
        <v>1927</v>
      </c>
      <c r="R41" s="190">
        <v>0</v>
      </c>
      <c r="S41" s="190">
        <v>28</v>
      </c>
      <c r="T41" s="190">
        <v>28</v>
      </c>
      <c r="U41" s="190">
        <v>0</v>
      </c>
      <c r="V41" s="190">
        <v>301</v>
      </c>
      <c r="W41" s="190">
        <v>301</v>
      </c>
      <c r="X41" s="190">
        <v>369</v>
      </c>
      <c r="Y41" s="190">
        <v>11603</v>
      </c>
      <c r="Z41" s="190">
        <v>11972</v>
      </c>
      <c r="AA41" s="190">
        <v>256</v>
      </c>
      <c r="AB41" s="190">
        <v>5548</v>
      </c>
      <c r="AC41" s="190">
        <v>5804</v>
      </c>
      <c r="AD41" s="190">
        <v>238</v>
      </c>
      <c r="AE41" s="190">
        <v>5326</v>
      </c>
      <c r="AF41" s="190">
        <v>5564</v>
      </c>
      <c r="AG41" s="190">
        <v>13</v>
      </c>
      <c r="AH41" s="190">
        <v>122</v>
      </c>
      <c r="AI41" s="190">
        <v>135</v>
      </c>
      <c r="AJ41" s="190">
        <v>5</v>
      </c>
      <c r="AK41" s="190">
        <v>100</v>
      </c>
      <c r="AL41" s="190">
        <v>105</v>
      </c>
      <c r="AM41" s="190">
        <v>113</v>
      </c>
      <c r="AN41" s="190">
        <v>6055</v>
      </c>
      <c r="AO41" s="190">
        <v>6168</v>
      </c>
      <c r="AP41" s="190">
        <v>22213</v>
      </c>
      <c r="AQ41" s="190">
        <v>133860</v>
      </c>
      <c r="AR41" s="190">
        <v>156073</v>
      </c>
      <c r="AS41" s="190">
        <v>22214</v>
      </c>
      <c r="AT41" s="190">
        <v>133861</v>
      </c>
      <c r="AU41" s="190">
        <v>156075</v>
      </c>
      <c r="AV41" s="190">
        <v>-1</v>
      </c>
      <c r="AW41" s="190">
        <v>-1</v>
      </c>
      <c r="AX41" s="190">
        <v>-2</v>
      </c>
      <c r="AY41" s="190">
        <v>1572</v>
      </c>
      <c r="AZ41" s="190">
        <v>12890</v>
      </c>
      <c r="BA41" s="190">
        <v>14462</v>
      </c>
      <c r="BB41" s="190">
        <v>421</v>
      </c>
      <c r="BC41" s="190">
        <v>2</v>
      </c>
      <c r="BD41" s="190">
        <v>1</v>
      </c>
      <c r="BE41" s="190">
        <v>7925</v>
      </c>
      <c r="BF41" s="190">
        <v>44</v>
      </c>
      <c r="BG41" s="190">
        <v>20</v>
      </c>
      <c r="BH41" s="190">
        <v>424</v>
      </c>
      <c r="BI41" s="190">
        <v>7989</v>
      </c>
      <c r="BJ41" s="190">
        <v>8413</v>
      </c>
      <c r="BK41" s="190">
        <v>163</v>
      </c>
      <c r="BL41" s="190">
        <v>-163</v>
      </c>
      <c r="BM41" s="190">
        <v>0</v>
      </c>
      <c r="BN41" s="190">
        <v>42</v>
      </c>
      <c r="BO41" s="190">
        <v>206</v>
      </c>
      <c r="BP41" s="190">
        <v>248</v>
      </c>
      <c r="BQ41" s="190">
        <v>122</v>
      </c>
      <c r="BR41" s="190">
        <v>1326</v>
      </c>
      <c r="BS41" s="190">
        <v>1448</v>
      </c>
      <c r="BT41" s="190">
        <v>821</v>
      </c>
      <c r="BU41" s="190">
        <v>3532</v>
      </c>
      <c r="BV41" s="190">
        <v>4353</v>
      </c>
      <c r="BW41" s="190">
        <v>23785</v>
      </c>
      <c r="BX41" s="190">
        <v>146750</v>
      </c>
      <c r="BY41" s="190">
        <v>170535</v>
      </c>
      <c r="BZ41" s="190">
        <v>23633</v>
      </c>
      <c r="CA41" s="190">
        <v>145494</v>
      </c>
      <c r="CB41" s="190">
        <v>169127</v>
      </c>
      <c r="CC41" s="190">
        <v>369653</v>
      </c>
      <c r="CD41" s="190">
        <v>109</v>
      </c>
      <c r="CE41" s="190">
        <v>1143</v>
      </c>
      <c r="CF41" s="190">
        <v>144</v>
      </c>
      <c r="CG41" s="190">
        <v>917</v>
      </c>
      <c r="CH41" s="190">
        <v>1061</v>
      </c>
      <c r="CI41" s="190">
        <v>408</v>
      </c>
      <c r="CJ41" s="190">
        <v>59</v>
      </c>
      <c r="CK41" s="190">
        <v>8</v>
      </c>
      <c r="CL41" s="190">
        <v>339</v>
      </c>
      <c r="CM41" s="190">
        <v>347</v>
      </c>
      <c r="CN41" s="190">
        <v>1303</v>
      </c>
      <c r="CO41" s="190">
        <v>12422</v>
      </c>
      <c r="CP41" s="190">
        <v>13725</v>
      </c>
      <c r="CQ41" s="190">
        <v>0</v>
      </c>
      <c r="CR41" s="190">
        <v>35</v>
      </c>
      <c r="CS41" s="190">
        <v>35</v>
      </c>
      <c r="CT41" s="190">
        <v>22482</v>
      </c>
      <c r="CU41" s="190">
        <v>134328</v>
      </c>
      <c r="CV41" s="190">
        <v>156810</v>
      </c>
      <c r="CW41" s="190">
        <v>1693</v>
      </c>
      <c r="CX41" s="190">
        <v>6900</v>
      </c>
      <c r="CY41" s="190">
        <v>8593</v>
      </c>
      <c r="CZ41" s="190">
        <v>1685</v>
      </c>
      <c r="DA41" s="190">
        <v>6</v>
      </c>
      <c r="DB41" s="190">
        <v>0</v>
      </c>
      <c r="DC41" s="190">
        <v>6774</v>
      </c>
      <c r="DD41" s="190">
        <v>52</v>
      </c>
      <c r="DE41" s="190">
        <v>10</v>
      </c>
      <c r="DF41" s="190">
        <v>1691</v>
      </c>
      <c r="DG41" s="190">
        <v>6836</v>
      </c>
      <c r="DH41" s="190">
        <v>8527</v>
      </c>
      <c r="DI41" s="190">
        <v>2</v>
      </c>
      <c r="DJ41" s="190">
        <v>0</v>
      </c>
      <c r="DK41" s="190">
        <v>0</v>
      </c>
      <c r="DL41" s="190">
        <v>64</v>
      </c>
      <c r="DM41" s="190">
        <v>0</v>
      </c>
      <c r="DN41" s="190">
        <v>0</v>
      </c>
      <c r="DO41" s="190">
        <v>2</v>
      </c>
      <c r="DP41" s="190">
        <v>64</v>
      </c>
      <c r="DQ41" s="190">
        <v>66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10802</v>
      </c>
      <c r="C42" s="190">
        <v>3665</v>
      </c>
      <c r="D42" s="190">
        <v>11524</v>
      </c>
      <c r="E42" s="190">
        <v>6511</v>
      </c>
      <c r="F42" s="190">
        <v>3</v>
      </c>
      <c r="G42" s="190">
        <v>128</v>
      </c>
      <c r="H42" s="190">
        <v>131</v>
      </c>
      <c r="I42" s="190">
        <v>11</v>
      </c>
      <c r="J42" s="190">
        <v>4452</v>
      </c>
      <c r="K42" s="190">
        <v>4463</v>
      </c>
      <c r="L42" s="190">
        <v>11</v>
      </c>
      <c r="M42" s="190">
        <v>4445</v>
      </c>
      <c r="N42" s="190">
        <v>4456</v>
      </c>
      <c r="O42" s="190">
        <v>0</v>
      </c>
      <c r="P42" s="190">
        <v>7</v>
      </c>
      <c r="Q42" s="190">
        <v>7</v>
      </c>
      <c r="R42" s="190">
        <v>2</v>
      </c>
      <c r="S42" s="190">
        <v>354</v>
      </c>
      <c r="T42" s="190">
        <v>356</v>
      </c>
      <c r="U42" s="190">
        <v>0</v>
      </c>
      <c r="V42" s="190">
        <v>550</v>
      </c>
      <c r="W42" s="190">
        <v>550</v>
      </c>
      <c r="X42" s="190">
        <v>125</v>
      </c>
      <c r="Y42" s="190">
        <v>6810</v>
      </c>
      <c r="Z42" s="190">
        <v>6935</v>
      </c>
      <c r="AA42" s="190">
        <v>62</v>
      </c>
      <c r="AB42" s="190">
        <v>2510</v>
      </c>
      <c r="AC42" s="190">
        <v>2572</v>
      </c>
      <c r="AD42" s="190">
        <v>62</v>
      </c>
      <c r="AE42" s="190">
        <v>2431</v>
      </c>
      <c r="AF42" s="190">
        <v>2493</v>
      </c>
      <c r="AG42" s="190">
        <v>0</v>
      </c>
      <c r="AH42" s="190">
        <v>46</v>
      </c>
      <c r="AI42" s="190">
        <v>46</v>
      </c>
      <c r="AJ42" s="190">
        <v>0</v>
      </c>
      <c r="AK42" s="190">
        <v>33</v>
      </c>
      <c r="AL42" s="190">
        <v>33</v>
      </c>
      <c r="AM42" s="190">
        <v>63</v>
      </c>
      <c r="AN42" s="190">
        <v>4300</v>
      </c>
      <c r="AO42" s="190">
        <v>4363</v>
      </c>
      <c r="AP42" s="190">
        <v>11624</v>
      </c>
      <c r="AQ42" s="190">
        <v>111700</v>
      </c>
      <c r="AR42" s="190">
        <v>123324</v>
      </c>
      <c r="AS42" s="190">
        <v>11598</v>
      </c>
      <c r="AT42" s="190">
        <v>110920</v>
      </c>
      <c r="AU42" s="190">
        <v>122518</v>
      </c>
      <c r="AV42" s="190">
        <v>26</v>
      </c>
      <c r="AW42" s="190">
        <v>780</v>
      </c>
      <c r="AX42" s="190">
        <v>806</v>
      </c>
      <c r="AY42" s="190">
        <v>869</v>
      </c>
      <c r="AZ42" s="190">
        <v>11350</v>
      </c>
      <c r="BA42" s="190">
        <v>12219</v>
      </c>
      <c r="BB42" s="190">
        <v>235</v>
      </c>
      <c r="BC42" s="190">
        <v>4</v>
      </c>
      <c r="BD42" s="190">
        <v>2</v>
      </c>
      <c r="BE42" s="190">
        <v>6135</v>
      </c>
      <c r="BF42" s="190">
        <v>88</v>
      </c>
      <c r="BG42" s="190">
        <v>47</v>
      </c>
      <c r="BH42" s="190">
        <v>241</v>
      </c>
      <c r="BI42" s="190">
        <v>6270</v>
      </c>
      <c r="BJ42" s="190">
        <v>6511</v>
      </c>
      <c r="BK42" s="190">
        <v>1</v>
      </c>
      <c r="BL42" s="190">
        <v>-1</v>
      </c>
      <c r="BM42" s="190">
        <v>0</v>
      </c>
      <c r="BN42" s="190">
        <v>11</v>
      </c>
      <c r="BO42" s="190">
        <v>115</v>
      </c>
      <c r="BP42" s="190">
        <v>126</v>
      </c>
      <c r="BQ42" s="190">
        <v>16</v>
      </c>
      <c r="BR42" s="190">
        <v>392</v>
      </c>
      <c r="BS42" s="190">
        <v>408</v>
      </c>
      <c r="BT42" s="190">
        <v>600</v>
      </c>
      <c r="BU42" s="190">
        <v>4574</v>
      </c>
      <c r="BV42" s="190">
        <v>5174</v>
      </c>
      <c r="BW42" s="190">
        <v>12493</v>
      </c>
      <c r="BX42" s="190">
        <v>123050</v>
      </c>
      <c r="BY42" s="190">
        <v>135543</v>
      </c>
      <c r="BZ42" s="190">
        <v>12178</v>
      </c>
      <c r="CA42" s="190">
        <v>120611</v>
      </c>
      <c r="CB42" s="190">
        <v>132789</v>
      </c>
      <c r="CC42" s="190">
        <v>273361</v>
      </c>
      <c r="CD42" s="190">
        <v>241</v>
      </c>
      <c r="CE42" s="190">
        <v>2466</v>
      </c>
      <c r="CF42" s="190">
        <v>308</v>
      </c>
      <c r="CG42" s="190">
        <v>1702</v>
      </c>
      <c r="CH42" s="190">
        <v>2010</v>
      </c>
      <c r="CI42" s="190">
        <v>916</v>
      </c>
      <c r="CJ42" s="190">
        <v>39</v>
      </c>
      <c r="CK42" s="190">
        <v>7</v>
      </c>
      <c r="CL42" s="190">
        <v>737</v>
      </c>
      <c r="CM42" s="190">
        <v>744</v>
      </c>
      <c r="CN42" s="190">
        <v>841</v>
      </c>
      <c r="CO42" s="190">
        <v>11590</v>
      </c>
      <c r="CP42" s="190">
        <v>12431</v>
      </c>
      <c r="CQ42" s="190">
        <v>0</v>
      </c>
      <c r="CR42" s="190">
        <v>11</v>
      </c>
      <c r="CS42" s="190">
        <v>11</v>
      </c>
      <c r="CT42" s="190">
        <v>11652</v>
      </c>
      <c r="CU42" s="190">
        <v>111460</v>
      </c>
      <c r="CV42" s="190">
        <v>123112</v>
      </c>
      <c r="CW42" s="190">
        <v>974</v>
      </c>
      <c r="CX42" s="190">
        <v>6112</v>
      </c>
      <c r="CY42" s="190">
        <v>7086</v>
      </c>
      <c r="CZ42" s="190">
        <v>891</v>
      </c>
      <c r="DA42" s="190">
        <v>23</v>
      </c>
      <c r="DB42" s="190">
        <v>1</v>
      </c>
      <c r="DC42" s="190">
        <v>5351</v>
      </c>
      <c r="DD42" s="190">
        <v>107</v>
      </c>
      <c r="DE42" s="190">
        <v>21</v>
      </c>
      <c r="DF42" s="190">
        <v>915</v>
      </c>
      <c r="DG42" s="190">
        <v>5479</v>
      </c>
      <c r="DH42" s="190">
        <v>6394</v>
      </c>
      <c r="DI42" s="190">
        <v>57</v>
      </c>
      <c r="DJ42" s="190">
        <v>2</v>
      </c>
      <c r="DK42" s="190">
        <v>0</v>
      </c>
      <c r="DL42" s="190">
        <v>614</v>
      </c>
      <c r="DM42" s="190">
        <v>15</v>
      </c>
      <c r="DN42" s="190">
        <v>4</v>
      </c>
      <c r="DO42" s="190">
        <v>59</v>
      </c>
      <c r="DP42" s="190">
        <v>633</v>
      </c>
      <c r="DQ42" s="190">
        <v>692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2848</v>
      </c>
      <c r="C43" s="190">
        <v>872</v>
      </c>
      <c r="D43" s="190">
        <v>2567</v>
      </c>
      <c r="E43" s="190">
        <v>1664</v>
      </c>
      <c r="F43" s="190">
        <v>3</v>
      </c>
      <c r="G43" s="190">
        <v>29</v>
      </c>
      <c r="H43" s="190">
        <v>32</v>
      </c>
      <c r="I43" s="190">
        <v>1</v>
      </c>
      <c r="J43" s="190">
        <v>795</v>
      </c>
      <c r="K43" s="190">
        <v>796</v>
      </c>
      <c r="L43" s="190">
        <v>0</v>
      </c>
      <c r="M43" s="190">
        <v>227</v>
      </c>
      <c r="N43" s="190">
        <v>227</v>
      </c>
      <c r="O43" s="190">
        <v>1</v>
      </c>
      <c r="P43" s="190">
        <v>568</v>
      </c>
      <c r="Q43" s="190">
        <v>569</v>
      </c>
      <c r="R43" s="190">
        <v>0</v>
      </c>
      <c r="S43" s="190">
        <v>70</v>
      </c>
      <c r="T43" s="190">
        <v>70</v>
      </c>
      <c r="U43" s="190">
        <v>0</v>
      </c>
      <c r="V43" s="190">
        <v>107</v>
      </c>
      <c r="W43" s="190">
        <v>107</v>
      </c>
      <c r="X43" s="190">
        <v>50</v>
      </c>
      <c r="Y43" s="190">
        <v>1747</v>
      </c>
      <c r="Z43" s="190">
        <v>1797</v>
      </c>
      <c r="AA43" s="190">
        <v>29</v>
      </c>
      <c r="AB43" s="190">
        <v>769</v>
      </c>
      <c r="AC43" s="190">
        <v>798</v>
      </c>
      <c r="AD43" s="190">
        <v>25</v>
      </c>
      <c r="AE43" s="190">
        <v>715</v>
      </c>
      <c r="AF43" s="190">
        <v>740</v>
      </c>
      <c r="AG43" s="190">
        <v>2</v>
      </c>
      <c r="AH43" s="190">
        <v>33</v>
      </c>
      <c r="AI43" s="190">
        <v>35</v>
      </c>
      <c r="AJ43" s="190">
        <v>2</v>
      </c>
      <c r="AK43" s="190">
        <v>21</v>
      </c>
      <c r="AL43" s="190">
        <v>23</v>
      </c>
      <c r="AM43" s="190">
        <v>21</v>
      </c>
      <c r="AN43" s="190">
        <v>978</v>
      </c>
      <c r="AO43" s="190">
        <v>999</v>
      </c>
      <c r="AP43" s="190">
        <v>2008</v>
      </c>
      <c r="AQ43" s="190">
        <v>28917</v>
      </c>
      <c r="AR43" s="190">
        <v>30925</v>
      </c>
      <c r="AS43" s="190">
        <v>1962</v>
      </c>
      <c r="AT43" s="190">
        <v>28882</v>
      </c>
      <c r="AU43" s="190">
        <v>30844</v>
      </c>
      <c r="AV43" s="190">
        <v>46</v>
      </c>
      <c r="AW43" s="190">
        <v>35</v>
      </c>
      <c r="AX43" s="190">
        <v>81</v>
      </c>
      <c r="AY43" s="190">
        <v>144</v>
      </c>
      <c r="AZ43" s="190">
        <v>2776</v>
      </c>
      <c r="BA43" s="190">
        <v>2920</v>
      </c>
      <c r="BB43" s="190">
        <v>65</v>
      </c>
      <c r="BC43" s="190">
        <v>2</v>
      </c>
      <c r="BD43" s="190">
        <v>0</v>
      </c>
      <c r="BE43" s="190">
        <v>1547</v>
      </c>
      <c r="BF43" s="190">
        <v>18</v>
      </c>
      <c r="BG43" s="190">
        <v>32</v>
      </c>
      <c r="BH43" s="190">
        <v>67</v>
      </c>
      <c r="BI43" s="190">
        <v>1597</v>
      </c>
      <c r="BJ43" s="190">
        <v>1664</v>
      </c>
      <c r="BK43" s="190">
        <v>-27</v>
      </c>
      <c r="BL43" s="190">
        <v>27</v>
      </c>
      <c r="BM43" s="190">
        <v>0</v>
      </c>
      <c r="BN43" s="190">
        <v>6</v>
      </c>
      <c r="BO43" s="190">
        <v>31</v>
      </c>
      <c r="BP43" s="190">
        <v>37</v>
      </c>
      <c r="BQ43" s="190">
        <v>11</v>
      </c>
      <c r="BR43" s="190">
        <v>237</v>
      </c>
      <c r="BS43" s="190">
        <v>248</v>
      </c>
      <c r="BT43" s="190">
        <v>87</v>
      </c>
      <c r="BU43" s="190">
        <v>884</v>
      </c>
      <c r="BV43" s="190">
        <v>971</v>
      </c>
      <c r="BW43" s="190">
        <v>2152</v>
      </c>
      <c r="BX43" s="190">
        <v>31693</v>
      </c>
      <c r="BY43" s="190">
        <v>33845</v>
      </c>
      <c r="BZ43" s="190">
        <v>2027</v>
      </c>
      <c r="CA43" s="190">
        <v>30038</v>
      </c>
      <c r="CB43" s="190">
        <v>32065</v>
      </c>
      <c r="CC43" s="190">
        <v>49918</v>
      </c>
      <c r="CD43" s="190">
        <v>104</v>
      </c>
      <c r="CE43" s="190">
        <v>1115</v>
      </c>
      <c r="CF43" s="190">
        <v>118</v>
      </c>
      <c r="CG43" s="190">
        <v>764</v>
      </c>
      <c r="CH43" s="190">
        <v>882</v>
      </c>
      <c r="CI43" s="190">
        <v>1185</v>
      </c>
      <c r="CJ43" s="190">
        <v>51</v>
      </c>
      <c r="CK43" s="190">
        <v>7</v>
      </c>
      <c r="CL43" s="190">
        <v>891</v>
      </c>
      <c r="CM43" s="190">
        <v>898</v>
      </c>
      <c r="CN43" s="190">
        <v>135</v>
      </c>
      <c r="CO43" s="190">
        <v>2540</v>
      </c>
      <c r="CP43" s="190">
        <v>2675</v>
      </c>
      <c r="CQ43" s="190">
        <v>0</v>
      </c>
      <c r="CR43" s="190">
        <v>0</v>
      </c>
      <c r="CS43" s="190">
        <v>0</v>
      </c>
      <c r="CT43" s="190">
        <v>2017</v>
      </c>
      <c r="CU43" s="190">
        <v>29153</v>
      </c>
      <c r="CV43" s="190">
        <v>31170</v>
      </c>
      <c r="CW43" s="190">
        <v>181</v>
      </c>
      <c r="CX43" s="190">
        <v>1350</v>
      </c>
      <c r="CY43" s="190">
        <v>1531</v>
      </c>
      <c r="CZ43" s="190">
        <v>167</v>
      </c>
      <c r="DA43" s="190">
        <v>11</v>
      </c>
      <c r="DB43" s="190">
        <v>0</v>
      </c>
      <c r="DC43" s="190">
        <v>1258</v>
      </c>
      <c r="DD43" s="190">
        <v>36</v>
      </c>
      <c r="DE43" s="190">
        <v>18</v>
      </c>
      <c r="DF43" s="190">
        <v>178</v>
      </c>
      <c r="DG43" s="190">
        <v>1312</v>
      </c>
      <c r="DH43" s="190">
        <v>1490</v>
      </c>
      <c r="DI43" s="190">
        <v>3</v>
      </c>
      <c r="DJ43" s="190">
        <v>0</v>
      </c>
      <c r="DK43" s="190">
        <v>0</v>
      </c>
      <c r="DL43" s="190">
        <v>36</v>
      </c>
      <c r="DM43" s="190">
        <v>2</v>
      </c>
      <c r="DN43" s="190">
        <v>0</v>
      </c>
      <c r="DO43" s="190">
        <v>3</v>
      </c>
      <c r="DP43" s="190">
        <v>38</v>
      </c>
      <c r="DQ43" s="190">
        <v>41</v>
      </c>
      <c r="DR43" s="190">
        <v>1</v>
      </c>
      <c r="DS43" s="190">
        <v>0</v>
      </c>
      <c r="DT43" s="191">
        <v>1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3125</v>
      </c>
      <c r="C44" s="190">
        <v>1036</v>
      </c>
      <c r="D44" s="190">
        <v>3174</v>
      </c>
      <c r="E44" s="190">
        <v>2045</v>
      </c>
      <c r="F44" s="190">
        <v>5</v>
      </c>
      <c r="G44" s="190">
        <v>38</v>
      </c>
      <c r="H44" s="190">
        <v>43</v>
      </c>
      <c r="I44" s="190">
        <v>2</v>
      </c>
      <c r="J44" s="190">
        <v>948</v>
      </c>
      <c r="K44" s="190">
        <v>950</v>
      </c>
      <c r="L44" s="190">
        <v>2</v>
      </c>
      <c r="M44" s="190">
        <v>416</v>
      </c>
      <c r="N44" s="190">
        <v>418</v>
      </c>
      <c r="O44" s="190">
        <v>0</v>
      </c>
      <c r="P44" s="190">
        <v>532</v>
      </c>
      <c r="Q44" s="190">
        <v>532</v>
      </c>
      <c r="R44" s="190">
        <v>0</v>
      </c>
      <c r="S44" s="190">
        <v>6</v>
      </c>
      <c r="T44" s="190">
        <v>6</v>
      </c>
      <c r="U44" s="190">
        <v>0</v>
      </c>
      <c r="V44" s="190">
        <v>179</v>
      </c>
      <c r="W44" s="190">
        <v>179</v>
      </c>
      <c r="X44" s="190">
        <v>109</v>
      </c>
      <c r="Y44" s="190">
        <v>3060</v>
      </c>
      <c r="Z44" s="190">
        <v>3169</v>
      </c>
      <c r="AA44" s="190">
        <v>73</v>
      </c>
      <c r="AB44" s="190">
        <v>1253</v>
      </c>
      <c r="AC44" s="190">
        <v>1326</v>
      </c>
      <c r="AD44" s="190">
        <v>66</v>
      </c>
      <c r="AE44" s="190">
        <v>1171</v>
      </c>
      <c r="AF44" s="190">
        <v>1237</v>
      </c>
      <c r="AG44" s="190">
        <v>6</v>
      </c>
      <c r="AH44" s="190">
        <v>42</v>
      </c>
      <c r="AI44" s="190">
        <v>48</v>
      </c>
      <c r="AJ44" s="190">
        <v>1</v>
      </c>
      <c r="AK44" s="190">
        <v>40</v>
      </c>
      <c r="AL44" s="190">
        <v>41</v>
      </c>
      <c r="AM44" s="190">
        <v>36</v>
      </c>
      <c r="AN44" s="190">
        <v>1807</v>
      </c>
      <c r="AO44" s="190">
        <v>1843</v>
      </c>
      <c r="AP44" s="190">
        <v>6520</v>
      </c>
      <c r="AQ44" s="190">
        <v>39514</v>
      </c>
      <c r="AR44" s="190">
        <v>46034</v>
      </c>
      <c r="AS44" s="190">
        <v>6520</v>
      </c>
      <c r="AT44" s="190">
        <v>39514</v>
      </c>
      <c r="AU44" s="190">
        <v>46034</v>
      </c>
      <c r="AV44" s="190">
        <v>0</v>
      </c>
      <c r="AW44" s="190">
        <v>0</v>
      </c>
      <c r="AX44" s="190">
        <v>0</v>
      </c>
      <c r="AY44" s="190">
        <v>398</v>
      </c>
      <c r="AZ44" s="190">
        <v>3364</v>
      </c>
      <c r="BA44" s="190">
        <v>3762</v>
      </c>
      <c r="BB44" s="190">
        <v>139</v>
      </c>
      <c r="BC44" s="190">
        <v>1</v>
      </c>
      <c r="BD44" s="190">
        <v>0</v>
      </c>
      <c r="BE44" s="190">
        <v>1884</v>
      </c>
      <c r="BF44" s="190">
        <v>14</v>
      </c>
      <c r="BG44" s="190">
        <v>7</v>
      </c>
      <c r="BH44" s="190">
        <v>140</v>
      </c>
      <c r="BI44" s="190">
        <v>1905</v>
      </c>
      <c r="BJ44" s="190">
        <v>2045</v>
      </c>
      <c r="BK44" s="190">
        <v>27</v>
      </c>
      <c r="BL44" s="190">
        <v>-27</v>
      </c>
      <c r="BM44" s="190">
        <v>0</v>
      </c>
      <c r="BN44" s="190">
        <v>23</v>
      </c>
      <c r="BO44" s="190">
        <v>85</v>
      </c>
      <c r="BP44" s="190">
        <v>108</v>
      </c>
      <c r="BQ44" s="190">
        <v>59</v>
      </c>
      <c r="BR44" s="190">
        <v>538</v>
      </c>
      <c r="BS44" s="190">
        <v>597</v>
      </c>
      <c r="BT44" s="190">
        <v>149</v>
      </c>
      <c r="BU44" s="190">
        <v>863</v>
      </c>
      <c r="BV44" s="190">
        <v>1012</v>
      </c>
      <c r="BW44" s="190">
        <v>6918</v>
      </c>
      <c r="BX44" s="190">
        <v>42878</v>
      </c>
      <c r="BY44" s="190">
        <v>49796</v>
      </c>
      <c r="BZ44" s="190">
        <v>6859</v>
      </c>
      <c r="CA44" s="190">
        <v>42295</v>
      </c>
      <c r="CB44" s="190">
        <v>49154</v>
      </c>
      <c r="CC44" s="190">
        <v>109871</v>
      </c>
      <c r="CD44" s="190">
        <v>41</v>
      </c>
      <c r="CE44" s="190">
        <v>554</v>
      </c>
      <c r="CF44" s="190">
        <v>58</v>
      </c>
      <c r="CG44" s="190">
        <v>430</v>
      </c>
      <c r="CH44" s="190">
        <v>488</v>
      </c>
      <c r="CI44" s="190">
        <v>199</v>
      </c>
      <c r="CJ44" s="190">
        <v>19</v>
      </c>
      <c r="CK44" s="190">
        <v>1</v>
      </c>
      <c r="CL44" s="190">
        <v>153</v>
      </c>
      <c r="CM44" s="190">
        <v>154</v>
      </c>
      <c r="CN44" s="190">
        <v>330</v>
      </c>
      <c r="CO44" s="190">
        <v>3219</v>
      </c>
      <c r="CP44" s="190">
        <v>3549</v>
      </c>
      <c r="CQ44" s="190">
        <v>0</v>
      </c>
      <c r="CR44" s="190">
        <v>0</v>
      </c>
      <c r="CS44" s="190">
        <v>0</v>
      </c>
      <c r="CT44" s="190">
        <v>6588</v>
      </c>
      <c r="CU44" s="190">
        <v>39659</v>
      </c>
      <c r="CV44" s="190">
        <v>46247</v>
      </c>
      <c r="CW44" s="190">
        <v>430</v>
      </c>
      <c r="CX44" s="190">
        <v>2115</v>
      </c>
      <c r="CY44" s="190">
        <v>2545</v>
      </c>
      <c r="CZ44" s="190">
        <v>423</v>
      </c>
      <c r="DA44" s="190">
        <v>5</v>
      </c>
      <c r="DB44" s="190">
        <v>0</v>
      </c>
      <c r="DC44" s="190">
        <v>2062</v>
      </c>
      <c r="DD44" s="190">
        <v>24</v>
      </c>
      <c r="DE44" s="190">
        <v>7</v>
      </c>
      <c r="DF44" s="190">
        <v>428</v>
      </c>
      <c r="DG44" s="190">
        <v>2093</v>
      </c>
      <c r="DH44" s="190">
        <v>2521</v>
      </c>
      <c r="DI44" s="190">
        <v>2</v>
      </c>
      <c r="DJ44" s="190">
        <v>0</v>
      </c>
      <c r="DK44" s="190">
        <v>0</v>
      </c>
      <c r="DL44" s="190">
        <v>22</v>
      </c>
      <c r="DM44" s="190">
        <v>0</v>
      </c>
      <c r="DN44" s="190">
        <v>0</v>
      </c>
      <c r="DO44" s="190">
        <v>2</v>
      </c>
      <c r="DP44" s="190">
        <v>22</v>
      </c>
      <c r="DQ44" s="190">
        <v>24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690</v>
      </c>
      <c r="C45" s="190">
        <v>140</v>
      </c>
      <c r="D45" s="190">
        <v>737</v>
      </c>
      <c r="E45" s="190">
        <v>417</v>
      </c>
      <c r="F45" s="190">
        <v>2</v>
      </c>
      <c r="G45" s="190">
        <v>6</v>
      </c>
      <c r="H45" s="190">
        <v>8</v>
      </c>
      <c r="I45" s="190">
        <v>0</v>
      </c>
      <c r="J45" s="190">
        <v>201</v>
      </c>
      <c r="K45" s="190">
        <v>201</v>
      </c>
      <c r="L45" s="190">
        <v>0</v>
      </c>
      <c r="M45" s="190">
        <v>50</v>
      </c>
      <c r="N45" s="190">
        <v>50</v>
      </c>
      <c r="O45" s="190">
        <v>0</v>
      </c>
      <c r="P45" s="190">
        <v>151</v>
      </c>
      <c r="Q45" s="190">
        <v>151</v>
      </c>
      <c r="R45" s="190">
        <v>0</v>
      </c>
      <c r="S45" s="190">
        <v>16</v>
      </c>
      <c r="T45" s="190">
        <v>16</v>
      </c>
      <c r="U45" s="190">
        <v>0</v>
      </c>
      <c r="V45" s="190">
        <v>119</v>
      </c>
      <c r="W45" s="190">
        <v>119</v>
      </c>
      <c r="X45" s="190">
        <v>15</v>
      </c>
      <c r="Y45" s="190">
        <v>344</v>
      </c>
      <c r="Z45" s="190">
        <v>359</v>
      </c>
      <c r="AA45" s="190">
        <v>11</v>
      </c>
      <c r="AB45" s="190">
        <v>231</v>
      </c>
      <c r="AC45" s="190">
        <v>242</v>
      </c>
      <c r="AD45" s="190">
        <v>11</v>
      </c>
      <c r="AE45" s="190">
        <v>227</v>
      </c>
      <c r="AF45" s="190">
        <v>238</v>
      </c>
      <c r="AG45" s="190">
        <v>0</v>
      </c>
      <c r="AH45" s="190">
        <v>3</v>
      </c>
      <c r="AI45" s="190">
        <v>3</v>
      </c>
      <c r="AJ45" s="190">
        <v>0</v>
      </c>
      <c r="AK45" s="190">
        <v>1</v>
      </c>
      <c r="AL45" s="190">
        <v>1</v>
      </c>
      <c r="AM45" s="190">
        <v>4</v>
      </c>
      <c r="AN45" s="190">
        <v>113</v>
      </c>
      <c r="AO45" s="190">
        <v>117</v>
      </c>
      <c r="AP45" s="190">
        <v>840</v>
      </c>
      <c r="AQ45" s="190">
        <v>7880</v>
      </c>
      <c r="AR45" s="190">
        <v>8720</v>
      </c>
      <c r="AS45" s="190">
        <v>840</v>
      </c>
      <c r="AT45" s="190">
        <v>7880</v>
      </c>
      <c r="AU45" s="190">
        <v>8720</v>
      </c>
      <c r="AV45" s="190">
        <v>0</v>
      </c>
      <c r="AW45" s="190">
        <v>0</v>
      </c>
      <c r="AX45" s="190">
        <v>0</v>
      </c>
      <c r="AY45" s="190">
        <v>37</v>
      </c>
      <c r="AZ45" s="190">
        <v>937</v>
      </c>
      <c r="BA45" s="190">
        <v>974</v>
      </c>
      <c r="BB45" s="190">
        <v>19</v>
      </c>
      <c r="BC45" s="190">
        <v>0</v>
      </c>
      <c r="BD45" s="190">
        <v>0</v>
      </c>
      <c r="BE45" s="190">
        <v>397</v>
      </c>
      <c r="BF45" s="190">
        <v>1</v>
      </c>
      <c r="BG45" s="190">
        <v>0</v>
      </c>
      <c r="BH45" s="190">
        <v>19</v>
      </c>
      <c r="BI45" s="190">
        <v>398</v>
      </c>
      <c r="BJ45" s="190">
        <v>417</v>
      </c>
      <c r="BK45" s="190">
        <v>-14</v>
      </c>
      <c r="BL45" s="190">
        <v>14</v>
      </c>
      <c r="BM45" s="190">
        <v>0</v>
      </c>
      <c r="BN45" s="190">
        <v>2</v>
      </c>
      <c r="BO45" s="190">
        <v>16</v>
      </c>
      <c r="BP45" s="190">
        <v>18</v>
      </c>
      <c r="BQ45" s="190">
        <v>10</v>
      </c>
      <c r="BR45" s="190">
        <v>125</v>
      </c>
      <c r="BS45" s="190">
        <v>135</v>
      </c>
      <c r="BT45" s="190">
        <v>20</v>
      </c>
      <c r="BU45" s="190">
        <v>384</v>
      </c>
      <c r="BV45" s="190">
        <v>404</v>
      </c>
      <c r="BW45" s="190">
        <v>877</v>
      </c>
      <c r="BX45" s="190">
        <v>8817</v>
      </c>
      <c r="BY45" s="190">
        <v>9694</v>
      </c>
      <c r="BZ45" s="190">
        <v>872</v>
      </c>
      <c r="CA45" s="190">
        <v>8774</v>
      </c>
      <c r="CB45" s="190">
        <v>9646</v>
      </c>
      <c r="CC45" s="190">
        <v>17295</v>
      </c>
      <c r="CD45" s="190">
        <v>0</v>
      </c>
      <c r="CE45" s="190">
        <v>49</v>
      </c>
      <c r="CF45" s="190">
        <v>5</v>
      </c>
      <c r="CG45" s="190">
        <v>36</v>
      </c>
      <c r="CH45" s="190">
        <v>41</v>
      </c>
      <c r="CI45" s="190">
        <v>6</v>
      </c>
      <c r="CJ45" s="190">
        <v>2</v>
      </c>
      <c r="CK45" s="190">
        <v>0</v>
      </c>
      <c r="CL45" s="190">
        <v>7</v>
      </c>
      <c r="CM45" s="190">
        <v>7</v>
      </c>
      <c r="CN45" s="190">
        <v>41</v>
      </c>
      <c r="CO45" s="190">
        <v>761</v>
      </c>
      <c r="CP45" s="190">
        <v>802</v>
      </c>
      <c r="CQ45" s="190">
        <v>0</v>
      </c>
      <c r="CR45" s="190">
        <v>0</v>
      </c>
      <c r="CS45" s="190">
        <v>0</v>
      </c>
      <c r="CT45" s="190">
        <v>836</v>
      </c>
      <c r="CU45" s="190">
        <v>8056</v>
      </c>
      <c r="CV45" s="190">
        <v>8892</v>
      </c>
      <c r="CW45" s="190">
        <v>74</v>
      </c>
      <c r="CX45" s="190">
        <v>446</v>
      </c>
      <c r="CY45" s="190">
        <v>520</v>
      </c>
      <c r="CZ45" s="190">
        <v>71</v>
      </c>
      <c r="DA45" s="190">
        <v>1</v>
      </c>
      <c r="DB45" s="190">
        <v>0</v>
      </c>
      <c r="DC45" s="190">
        <v>409</v>
      </c>
      <c r="DD45" s="190">
        <v>3</v>
      </c>
      <c r="DE45" s="190">
        <v>0</v>
      </c>
      <c r="DF45" s="190">
        <v>72</v>
      </c>
      <c r="DG45" s="190">
        <v>412</v>
      </c>
      <c r="DH45" s="190">
        <v>484</v>
      </c>
      <c r="DI45" s="190">
        <v>2</v>
      </c>
      <c r="DJ45" s="190">
        <v>0</v>
      </c>
      <c r="DK45" s="190">
        <v>0</v>
      </c>
      <c r="DL45" s="190">
        <v>33</v>
      </c>
      <c r="DM45" s="190">
        <v>1</v>
      </c>
      <c r="DN45" s="190">
        <v>0</v>
      </c>
      <c r="DO45" s="190">
        <v>2</v>
      </c>
      <c r="DP45" s="190">
        <v>34</v>
      </c>
      <c r="DQ45" s="190">
        <v>36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 ht="15.75">
      <c r="A46" s="189" t="s">
        <v>368</v>
      </c>
      <c r="B46" s="190">
        <v>1160</v>
      </c>
      <c r="C46" s="190">
        <v>274</v>
      </c>
      <c r="D46" s="190">
        <v>1117</v>
      </c>
      <c r="E46" s="190">
        <v>579</v>
      </c>
      <c r="F46" s="190">
        <v>2</v>
      </c>
      <c r="G46" s="190">
        <v>10</v>
      </c>
      <c r="H46" s="190">
        <v>12</v>
      </c>
      <c r="I46" s="190">
        <v>3</v>
      </c>
      <c r="J46" s="190">
        <v>428</v>
      </c>
      <c r="K46" s="190">
        <v>431</v>
      </c>
      <c r="L46" s="190">
        <v>3</v>
      </c>
      <c r="M46" s="190">
        <v>428</v>
      </c>
      <c r="N46" s="190">
        <v>431</v>
      </c>
      <c r="O46" s="190">
        <v>0</v>
      </c>
      <c r="P46" s="190">
        <v>0</v>
      </c>
      <c r="Q46" s="190">
        <v>0</v>
      </c>
      <c r="R46" s="190">
        <v>1</v>
      </c>
      <c r="S46" s="190">
        <v>37</v>
      </c>
      <c r="T46" s="190">
        <v>38</v>
      </c>
      <c r="U46" s="190">
        <v>0</v>
      </c>
      <c r="V46" s="190">
        <v>107</v>
      </c>
      <c r="W46" s="190">
        <v>107</v>
      </c>
      <c r="X46" s="190">
        <v>15</v>
      </c>
      <c r="Y46" s="190">
        <v>911</v>
      </c>
      <c r="Z46" s="190">
        <v>926</v>
      </c>
      <c r="AA46" s="190">
        <v>6</v>
      </c>
      <c r="AB46" s="190">
        <v>314</v>
      </c>
      <c r="AC46" s="190">
        <v>320</v>
      </c>
      <c r="AD46" s="190">
        <v>6</v>
      </c>
      <c r="AE46" s="190">
        <v>294</v>
      </c>
      <c r="AF46" s="190">
        <v>300</v>
      </c>
      <c r="AG46" s="190">
        <v>0</v>
      </c>
      <c r="AH46" s="190">
        <v>12</v>
      </c>
      <c r="AI46" s="190">
        <v>12</v>
      </c>
      <c r="AJ46" s="190">
        <v>0</v>
      </c>
      <c r="AK46" s="190">
        <v>8</v>
      </c>
      <c r="AL46" s="190">
        <v>8</v>
      </c>
      <c r="AM46" s="190">
        <v>9</v>
      </c>
      <c r="AN46" s="190">
        <v>597</v>
      </c>
      <c r="AO46" s="190">
        <v>606</v>
      </c>
      <c r="AP46" s="190">
        <v>689</v>
      </c>
      <c r="AQ46" s="190">
        <v>12024</v>
      </c>
      <c r="AR46" s="190">
        <v>12713</v>
      </c>
      <c r="AS46" s="190">
        <v>702</v>
      </c>
      <c r="AT46" s="190">
        <v>12113</v>
      </c>
      <c r="AU46" s="190">
        <v>12815</v>
      </c>
      <c r="AV46" s="190">
        <v>-13</v>
      </c>
      <c r="AW46" s="190">
        <v>-89</v>
      </c>
      <c r="AX46" s="190">
        <v>-102</v>
      </c>
      <c r="AY46" s="190">
        <v>47</v>
      </c>
      <c r="AZ46" s="190">
        <v>1256</v>
      </c>
      <c r="BA46" s="190">
        <v>1303</v>
      </c>
      <c r="BB46" s="190">
        <v>15</v>
      </c>
      <c r="BC46" s="190">
        <v>0</v>
      </c>
      <c r="BD46" s="190">
        <v>0</v>
      </c>
      <c r="BE46" s="190">
        <v>532</v>
      </c>
      <c r="BF46" s="190">
        <v>25</v>
      </c>
      <c r="BG46" s="190">
        <v>7</v>
      </c>
      <c r="BH46" s="190">
        <v>15</v>
      </c>
      <c r="BI46" s="190">
        <v>564</v>
      </c>
      <c r="BJ46" s="190">
        <v>579</v>
      </c>
      <c r="BK46" s="190">
        <v>-19</v>
      </c>
      <c r="BL46" s="190">
        <v>19</v>
      </c>
      <c r="BM46" s="190">
        <v>0</v>
      </c>
      <c r="BN46" s="190">
        <v>21</v>
      </c>
      <c r="BO46" s="190">
        <v>21</v>
      </c>
      <c r="BP46" s="190">
        <v>42</v>
      </c>
      <c r="BQ46" s="190">
        <v>0</v>
      </c>
      <c r="BR46" s="190">
        <v>189</v>
      </c>
      <c r="BS46" s="190">
        <v>189</v>
      </c>
      <c r="BT46" s="190">
        <v>30</v>
      </c>
      <c r="BU46" s="190">
        <v>463</v>
      </c>
      <c r="BV46" s="190">
        <v>493</v>
      </c>
      <c r="BW46" s="190">
        <v>736</v>
      </c>
      <c r="BX46" s="190">
        <v>13280</v>
      </c>
      <c r="BY46" s="190">
        <v>14016</v>
      </c>
      <c r="BZ46" s="190">
        <v>715</v>
      </c>
      <c r="CA46" s="190">
        <v>12715</v>
      </c>
      <c r="CB46" s="190">
        <v>13430</v>
      </c>
      <c r="CC46" s="190">
        <v>26435</v>
      </c>
      <c r="CD46" s="190">
        <v>35</v>
      </c>
      <c r="CE46" s="190">
        <v>527</v>
      </c>
      <c r="CF46" s="190">
        <v>21</v>
      </c>
      <c r="CG46" s="190">
        <v>413</v>
      </c>
      <c r="CH46" s="190">
        <v>434</v>
      </c>
      <c r="CI46" s="190">
        <v>188</v>
      </c>
      <c r="CJ46" s="190">
        <v>12</v>
      </c>
      <c r="CK46" s="190">
        <v>0</v>
      </c>
      <c r="CL46" s="190">
        <v>152</v>
      </c>
      <c r="CM46" s="190">
        <v>152</v>
      </c>
      <c r="CN46" s="190">
        <v>48</v>
      </c>
      <c r="CO46" s="190">
        <v>1120</v>
      </c>
      <c r="CP46" s="190">
        <v>1168</v>
      </c>
      <c r="CQ46" s="190">
        <v>0</v>
      </c>
      <c r="CR46" s="190">
        <v>0</v>
      </c>
      <c r="CS46" s="190">
        <v>0</v>
      </c>
      <c r="CT46" s="190">
        <v>688</v>
      </c>
      <c r="CU46" s="190">
        <v>12160</v>
      </c>
      <c r="CV46" s="190">
        <v>12848</v>
      </c>
      <c r="CW46" s="190">
        <v>69</v>
      </c>
      <c r="CX46" s="190">
        <v>701</v>
      </c>
      <c r="CY46" s="190">
        <v>770</v>
      </c>
      <c r="CZ46" s="190">
        <v>62</v>
      </c>
      <c r="DA46" s="190">
        <v>4</v>
      </c>
      <c r="DB46" s="190">
        <v>0</v>
      </c>
      <c r="DC46" s="190">
        <v>652</v>
      </c>
      <c r="DD46" s="190">
        <v>23</v>
      </c>
      <c r="DE46" s="190">
        <v>4</v>
      </c>
      <c r="DF46" s="190">
        <v>66</v>
      </c>
      <c r="DG46" s="190">
        <v>679</v>
      </c>
      <c r="DH46" s="190">
        <v>745</v>
      </c>
      <c r="DI46" s="190">
        <v>3</v>
      </c>
      <c r="DJ46" s="190">
        <v>0</v>
      </c>
      <c r="DK46" s="190">
        <v>0</v>
      </c>
      <c r="DL46" s="190">
        <v>19</v>
      </c>
      <c r="DM46" s="190">
        <v>0</v>
      </c>
      <c r="DN46" s="190">
        <v>3</v>
      </c>
      <c r="DO46" s="190">
        <v>3</v>
      </c>
      <c r="DP46" s="190">
        <v>22</v>
      </c>
      <c r="DQ46" s="190">
        <v>25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1387</v>
      </c>
      <c r="C47" s="190">
        <v>393</v>
      </c>
      <c r="D47" s="190">
        <v>1514</v>
      </c>
      <c r="E47" s="190">
        <v>983</v>
      </c>
      <c r="F47" s="190">
        <v>2</v>
      </c>
      <c r="G47" s="190">
        <v>35</v>
      </c>
      <c r="H47" s="190">
        <v>37</v>
      </c>
      <c r="I47" s="190">
        <v>0</v>
      </c>
      <c r="J47" s="190">
        <v>460</v>
      </c>
      <c r="K47" s="190">
        <v>460</v>
      </c>
      <c r="L47" s="190">
        <v>0</v>
      </c>
      <c r="M47" s="190">
        <v>178</v>
      </c>
      <c r="N47" s="190">
        <v>178</v>
      </c>
      <c r="O47" s="190">
        <v>0</v>
      </c>
      <c r="P47" s="190">
        <v>282</v>
      </c>
      <c r="Q47" s="190">
        <v>282</v>
      </c>
      <c r="R47" s="190">
        <v>0</v>
      </c>
      <c r="S47" s="190">
        <v>26</v>
      </c>
      <c r="T47" s="190">
        <v>26</v>
      </c>
      <c r="U47" s="190">
        <v>0</v>
      </c>
      <c r="V47" s="190">
        <v>71</v>
      </c>
      <c r="W47" s="190">
        <v>71</v>
      </c>
      <c r="X47" s="190">
        <v>31</v>
      </c>
      <c r="Y47" s="190">
        <v>488</v>
      </c>
      <c r="Z47" s="190">
        <v>519</v>
      </c>
      <c r="AA47" s="190">
        <v>24</v>
      </c>
      <c r="AB47" s="190">
        <v>310</v>
      </c>
      <c r="AC47" s="190">
        <v>334</v>
      </c>
      <c r="AD47" s="190">
        <v>24</v>
      </c>
      <c r="AE47" s="190">
        <v>288</v>
      </c>
      <c r="AF47" s="190">
        <v>312</v>
      </c>
      <c r="AG47" s="190">
        <v>0</v>
      </c>
      <c r="AH47" s="190">
        <v>17</v>
      </c>
      <c r="AI47" s="190">
        <v>17</v>
      </c>
      <c r="AJ47" s="190">
        <v>0</v>
      </c>
      <c r="AK47" s="190">
        <v>5</v>
      </c>
      <c r="AL47" s="190">
        <v>5</v>
      </c>
      <c r="AM47" s="190">
        <v>7</v>
      </c>
      <c r="AN47" s="190">
        <v>178</v>
      </c>
      <c r="AO47" s="190">
        <v>185</v>
      </c>
      <c r="AP47" s="190">
        <v>2407</v>
      </c>
      <c r="AQ47" s="190">
        <v>15110</v>
      </c>
      <c r="AR47" s="190">
        <v>17517</v>
      </c>
      <c r="AS47" s="190">
        <v>2343</v>
      </c>
      <c r="AT47" s="190">
        <v>14941</v>
      </c>
      <c r="AU47" s="190">
        <v>17284</v>
      </c>
      <c r="AV47" s="190">
        <v>64</v>
      </c>
      <c r="AW47" s="190">
        <v>169</v>
      </c>
      <c r="AX47" s="190">
        <v>233</v>
      </c>
      <c r="AY47" s="190">
        <v>121</v>
      </c>
      <c r="AZ47" s="190">
        <v>1656</v>
      </c>
      <c r="BA47" s="190">
        <v>1777</v>
      </c>
      <c r="BB47" s="190">
        <v>52</v>
      </c>
      <c r="BC47" s="190">
        <v>1</v>
      </c>
      <c r="BD47" s="190">
        <v>0</v>
      </c>
      <c r="BE47" s="190">
        <v>924</v>
      </c>
      <c r="BF47" s="190">
        <v>4</v>
      </c>
      <c r="BG47" s="190">
        <v>2</v>
      </c>
      <c r="BH47" s="190">
        <v>53</v>
      </c>
      <c r="BI47" s="190">
        <v>930</v>
      </c>
      <c r="BJ47" s="190">
        <v>983</v>
      </c>
      <c r="BK47" s="190">
        <v>-38</v>
      </c>
      <c r="BL47" s="190">
        <v>38</v>
      </c>
      <c r="BM47" s="190">
        <v>0</v>
      </c>
      <c r="BN47" s="190">
        <v>3</v>
      </c>
      <c r="BO47" s="190">
        <v>30</v>
      </c>
      <c r="BP47" s="190">
        <v>33</v>
      </c>
      <c r="BQ47" s="190">
        <v>12</v>
      </c>
      <c r="BR47" s="190">
        <v>157</v>
      </c>
      <c r="BS47" s="190">
        <v>169</v>
      </c>
      <c r="BT47" s="190">
        <v>91</v>
      </c>
      <c r="BU47" s="190">
        <v>501</v>
      </c>
      <c r="BV47" s="190">
        <v>592</v>
      </c>
      <c r="BW47" s="190">
        <v>2528</v>
      </c>
      <c r="BX47" s="190">
        <v>16766</v>
      </c>
      <c r="BY47" s="190">
        <v>19294</v>
      </c>
      <c r="BZ47" s="190">
        <v>2508</v>
      </c>
      <c r="CA47" s="190">
        <v>16578</v>
      </c>
      <c r="CB47" s="190">
        <v>19086</v>
      </c>
      <c r="CC47" s="190">
        <v>40037</v>
      </c>
      <c r="CD47" s="190">
        <v>22</v>
      </c>
      <c r="CE47" s="190">
        <v>142</v>
      </c>
      <c r="CF47" s="190">
        <v>20</v>
      </c>
      <c r="CG47" s="190">
        <v>127</v>
      </c>
      <c r="CH47" s="190">
        <v>147</v>
      </c>
      <c r="CI47" s="190">
        <v>0</v>
      </c>
      <c r="CJ47" s="190">
        <v>74</v>
      </c>
      <c r="CK47" s="190">
        <v>0</v>
      </c>
      <c r="CL47" s="190">
        <v>61</v>
      </c>
      <c r="CM47" s="190">
        <v>61</v>
      </c>
      <c r="CN47" s="190">
        <v>129</v>
      </c>
      <c r="CO47" s="190">
        <v>1534</v>
      </c>
      <c r="CP47" s="190">
        <v>1663</v>
      </c>
      <c r="CQ47" s="190">
        <v>0</v>
      </c>
      <c r="CR47" s="190">
        <v>0</v>
      </c>
      <c r="CS47" s="190">
        <v>0</v>
      </c>
      <c r="CT47" s="190">
        <v>2399</v>
      </c>
      <c r="CU47" s="190">
        <v>15232</v>
      </c>
      <c r="CV47" s="190">
        <v>17631</v>
      </c>
      <c r="CW47" s="190">
        <v>150</v>
      </c>
      <c r="CX47" s="190">
        <v>775</v>
      </c>
      <c r="CY47" s="190">
        <v>925</v>
      </c>
      <c r="CZ47" s="190">
        <v>148</v>
      </c>
      <c r="DA47" s="190">
        <v>0</v>
      </c>
      <c r="DB47" s="190">
        <v>0</v>
      </c>
      <c r="DC47" s="190">
        <v>746</v>
      </c>
      <c r="DD47" s="190">
        <v>4</v>
      </c>
      <c r="DE47" s="190">
        <v>3</v>
      </c>
      <c r="DF47" s="190">
        <v>148</v>
      </c>
      <c r="DG47" s="190">
        <v>753</v>
      </c>
      <c r="DH47" s="190">
        <v>901</v>
      </c>
      <c r="DI47" s="190">
        <v>2</v>
      </c>
      <c r="DJ47" s="190">
        <v>0</v>
      </c>
      <c r="DK47" s="190">
        <v>0</v>
      </c>
      <c r="DL47" s="190">
        <v>22</v>
      </c>
      <c r="DM47" s="190">
        <v>0</v>
      </c>
      <c r="DN47" s="190">
        <v>0</v>
      </c>
      <c r="DO47" s="190">
        <v>2</v>
      </c>
      <c r="DP47" s="190">
        <v>22</v>
      </c>
      <c r="DQ47" s="190">
        <v>24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2858</v>
      </c>
      <c r="C48" s="190">
        <v>623</v>
      </c>
      <c r="D48" s="190">
        <v>2800</v>
      </c>
      <c r="E48" s="190">
        <v>1688</v>
      </c>
      <c r="F48" s="190">
        <v>0</v>
      </c>
      <c r="G48" s="190">
        <v>34</v>
      </c>
      <c r="H48" s="190">
        <v>34</v>
      </c>
      <c r="I48" s="190">
        <v>1</v>
      </c>
      <c r="J48" s="190">
        <v>806</v>
      </c>
      <c r="K48" s="190">
        <v>807</v>
      </c>
      <c r="L48" s="190">
        <v>0</v>
      </c>
      <c r="M48" s="190">
        <v>296</v>
      </c>
      <c r="N48" s="190">
        <v>296</v>
      </c>
      <c r="O48" s="190">
        <v>1</v>
      </c>
      <c r="P48" s="190">
        <v>510</v>
      </c>
      <c r="Q48" s="190">
        <v>511</v>
      </c>
      <c r="R48" s="190">
        <v>0</v>
      </c>
      <c r="S48" s="190">
        <v>41</v>
      </c>
      <c r="T48" s="190">
        <v>41</v>
      </c>
      <c r="U48" s="190">
        <v>0</v>
      </c>
      <c r="V48" s="190">
        <v>305</v>
      </c>
      <c r="W48" s="190">
        <v>305</v>
      </c>
      <c r="X48" s="190">
        <v>30</v>
      </c>
      <c r="Y48" s="190">
        <v>1451</v>
      </c>
      <c r="Z48" s="190">
        <v>1481</v>
      </c>
      <c r="AA48" s="190">
        <v>16</v>
      </c>
      <c r="AB48" s="190">
        <v>543</v>
      </c>
      <c r="AC48" s="190">
        <v>559</v>
      </c>
      <c r="AD48" s="190">
        <v>16</v>
      </c>
      <c r="AE48" s="190">
        <v>540</v>
      </c>
      <c r="AF48" s="190">
        <v>556</v>
      </c>
      <c r="AG48" s="190">
        <v>0</v>
      </c>
      <c r="AH48" s="190">
        <v>0</v>
      </c>
      <c r="AI48" s="190">
        <v>0</v>
      </c>
      <c r="AJ48" s="190">
        <v>0</v>
      </c>
      <c r="AK48" s="190">
        <v>3</v>
      </c>
      <c r="AL48" s="190">
        <v>3</v>
      </c>
      <c r="AM48" s="190">
        <v>14</v>
      </c>
      <c r="AN48" s="190">
        <v>908</v>
      </c>
      <c r="AO48" s="190">
        <v>922</v>
      </c>
      <c r="AP48" s="190">
        <v>3677</v>
      </c>
      <c r="AQ48" s="190">
        <v>41119</v>
      </c>
      <c r="AR48" s="190">
        <v>44796</v>
      </c>
      <c r="AS48" s="190">
        <v>3813</v>
      </c>
      <c r="AT48" s="190">
        <v>40911</v>
      </c>
      <c r="AU48" s="190">
        <v>44724</v>
      </c>
      <c r="AV48" s="190">
        <v>-136</v>
      </c>
      <c r="AW48" s="190">
        <v>208</v>
      </c>
      <c r="AX48" s="190">
        <v>72</v>
      </c>
      <c r="AY48" s="190">
        <v>400</v>
      </c>
      <c r="AZ48" s="190">
        <v>3627</v>
      </c>
      <c r="BA48" s="190">
        <v>4027</v>
      </c>
      <c r="BB48" s="190">
        <v>106</v>
      </c>
      <c r="BC48" s="190">
        <v>5</v>
      </c>
      <c r="BD48" s="190">
        <v>0</v>
      </c>
      <c r="BE48" s="190">
        <v>1505</v>
      </c>
      <c r="BF48" s="190">
        <v>28</v>
      </c>
      <c r="BG48" s="190">
        <v>44</v>
      </c>
      <c r="BH48" s="190">
        <v>111</v>
      </c>
      <c r="BI48" s="190">
        <v>1577</v>
      </c>
      <c r="BJ48" s="190">
        <v>1688</v>
      </c>
      <c r="BK48" s="190">
        <v>84</v>
      </c>
      <c r="BL48" s="190">
        <v>-84</v>
      </c>
      <c r="BM48" s="190">
        <v>0</v>
      </c>
      <c r="BN48" s="190">
        <v>9</v>
      </c>
      <c r="BO48" s="190">
        <v>50</v>
      </c>
      <c r="BP48" s="190">
        <v>59</v>
      </c>
      <c r="BQ48" s="190">
        <v>8</v>
      </c>
      <c r="BR48" s="190">
        <v>120</v>
      </c>
      <c r="BS48" s="190">
        <v>128</v>
      </c>
      <c r="BT48" s="190">
        <v>188</v>
      </c>
      <c r="BU48" s="190">
        <v>1964</v>
      </c>
      <c r="BV48" s="190">
        <v>2152</v>
      </c>
      <c r="BW48" s="190">
        <v>4077</v>
      </c>
      <c r="BX48" s="190">
        <v>44746</v>
      </c>
      <c r="BY48" s="190">
        <v>48823</v>
      </c>
      <c r="BZ48" s="190">
        <v>3972</v>
      </c>
      <c r="CA48" s="190">
        <v>43300</v>
      </c>
      <c r="CB48" s="190">
        <v>47272</v>
      </c>
      <c r="CC48" s="190">
        <v>93192</v>
      </c>
      <c r="CD48" s="190">
        <v>105</v>
      </c>
      <c r="CE48" s="190">
        <v>1085</v>
      </c>
      <c r="CF48" s="190">
        <v>104</v>
      </c>
      <c r="CG48" s="190">
        <v>815</v>
      </c>
      <c r="CH48" s="190">
        <v>919</v>
      </c>
      <c r="CI48" s="190">
        <v>869</v>
      </c>
      <c r="CJ48" s="190">
        <v>16</v>
      </c>
      <c r="CK48" s="190">
        <v>1</v>
      </c>
      <c r="CL48" s="190">
        <v>631</v>
      </c>
      <c r="CM48" s="190">
        <v>632</v>
      </c>
      <c r="CN48" s="190">
        <v>221</v>
      </c>
      <c r="CO48" s="190">
        <v>3737</v>
      </c>
      <c r="CP48" s="190">
        <v>3958</v>
      </c>
      <c r="CQ48" s="190">
        <v>0</v>
      </c>
      <c r="CR48" s="190">
        <v>0</v>
      </c>
      <c r="CS48" s="190">
        <v>0</v>
      </c>
      <c r="CT48" s="190">
        <v>3856</v>
      </c>
      <c r="CU48" s="190">
        <v>41009</v>
      </c>
      <c r="CV48" s="190">
        <v>44865</v>
      </c>
      <c r="CW48" s="190">
        <v>376</v>
      </c>
      <c r="CX48" s="190">
        <v>3226</v>
      </c>
      <c r="CY48" s="190">
        <v>3602</v>
      </c>
      <c r="CZ48" s="190">
        <v>345</v>
      </c>
      <c r="DA48" s="190">
        <v>7</v>
      </c>
      <c r="DB48" s="190">
        <v>0</v>
      </c>
      <c r="DC48" s="190">
        <v>2798</v>
      </c>
      <c r="DD48" s="190">
        <v>52</v>
      </c>
      <c r="DE48" s="190">
        <v>23</v>
      </c>
      <c r="DF48" s="190">
        <v>352</v>
      </c>
      <c r="DG48" s="190">
        <v>2873</v>
      </c>
      <c r="DH48" s="190">
        <v>3225</v>
      </c>
      <c r="DI48" s="190">
        <v>24</v>
      </c>
      <c r="DJ48" s="190">
        <v>0</v>
      </c>
      <c r="DK48" s="190">
        <v>0</v>
      </c>
      <c r="DL48" s="190">
        <v>336</v>
      </c>
      <c r="DM48" s="190">
        <v>11</v>
      </c>
      <c r="DN48" s="190">
        <v>6</v>
      </c>
      <c r="DO48" s="190">
        <v>24</v>
      </c>
      <c r="DP48" s="190">
        <v>353</v>
      </c>
      <c r="DQ48" s="190">
        <v>377</v>
      </c>
      <c r="DR48" s="190">
        <v>0</v>
      </c>
      <c r="DS48" s="190">
        <v>0</v>
      </c>
      <c r="DT48" s="191">
        <v>0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852</v>
      </c>
      <c r="C49" s="190">
        <v>247</v>
      </c>
      <c r="D49" s="190">
        <v>904</v>
      </c>
      <c r="E49" s="190">
        <v>589</v>
      </c>
      <c r="F49" s="190">
        <v>1</v>
      </c>
      <c r="G49" s="190">
        <v>15</v>
      </c>
      <c r="H49" s="190">
        <v>16</v>
      </c>
      <c r="I49" s="190">
        <v>0</v>
      </c>
      <c r="J49" s="190">
        <v>271</v>
      </c>
      <c r="K49" s="190">
        <v>271</v>
      </c>
      <c r="L49" s="190">
        <v>0</v>
      </c>
      <c r="M49" s="190">
        <v>76</v>
      </c>
      <c r="N49" s="190">
        <v>76</v>
      </c>
      <c r="O49" s="190">
        <v>0</v>
      </c>
      <c r="P49" s="190">
        <v>195</v>
      </c>
      <c r="Q49" s="190">
        <v>195</v>
      </c>
      <c r="R49" s="190">
        <v>0</v>
      </c>
      <c r="S49" s="190">
        <v>40</v>
      </c>
      <c r="T49" s="190">
        <v>40</v>
      </c>
      <c r="U49" s="190">
        <v>0</v>
      </c>
      <c r="V49" s="190">
        <v>44</v>
      </c>
      <c r="W49" s="190">
        <v>44</v>
      </c>
      <c r="X49" s="190">
        <v>9</v>
      </c>
      <c r="Y49" s="190">
        <v>523</v>
      </c>
      <c r="Z49" s="190">
        <v>532</v>
      </c>
      <c r="AA49" s="190">
        <v>5</v>
      </c>
      <c r="AB49" s="190">
        <v>213</v>
      </c>
      <c r="AC49" s="190">
        <v>218</v>
      </c>
      <c r="AD49" s="190">
        <v>4</v>
      </c>
      <c r="AE49" s="190">
        <v>213</v>
      </c>
      <c r="AF49" s="190">
        <v>217</v>
      </c>
      <c r="AG49" s="190">
        <v>1</v>
      </c>
      <c r="AH49" s="190">
        <v>0</v>
      </c>
      <c r="AI49" s="190">
        <v>1</v>
      </c>
      <c r="AJ49" s="190">
        <v>0</v>
      </c>
      <c r="AK49" s="190">
        <v>0</v>
      </c>
      <c r="AL49" s="190">
        <v>0</v>
      </c>
      <c r="AM49" s="190">
        <v>4</v>
      </c>
      <c r="AN49" s="190">
        <v>310</v>
      </c>
      <c r="AO49" s="190">
        <v>314</v>
      </c>
      <c r="AP49" s="190">
        <v>1060</v>
      </c>
      <c r="AQ49" s="190">
        <v>12592</v>
      </c>
      <c r="AR49" s="190">
        <v>13652</v>
      </c>
      <c r="AS49" s="190">
        <v>1047</v>
      </c>
      <c r="AT49" s="190">
        <v>12572</v>
      </c>
      <c r="AU49" s="190">
        <v>13619</v>
      </c>
      <c r="AV49" s="190">
        <v>13</v>
      </c>
      <c r="AW49" s="190">
        <v>20</v>
      </c>
      <c r="AX49" s="190">
        <v>33</v>
      </c>
      <c r="AY49" s="190">
        <v>55</v>
      </c>
      <c r="AZ49" s="190">
        <v>1232</v>
      </c>
      <c r="BA49" s="190">
        <v>1287</v>
      </c>
      <c r="BB49" s="190">
        <v>15</v>
      </c>
      <c r="BC49" s="190">
        <v>0</v>
      </c>
      <c r="BD49" s="190">
        <v>0</v>
      </c>
      <c r="BE49" s="190">
        <v>570</v>
      </c>
      <c r="BF49" s="190">
        <v>3</v>
      </c>
      <c r="BG49" s="190">
        <v>1</v>
      </c>
      <c r="BH49" s="190">
        <v>15</v>
      </c>
      <c r="BI49" s="190">
        <v>574</v>
      </c>
      <c r="BJ49" s="190">
        <v>589</v>
      </c>
      <c r="BK49" s="190">
        <v>-13</v>
      </c>
      <c r="BL49" s="190">
        <v>13</v>
      </c>
      <c r="BM49" s="190">
        <v>0</v>
      </c>
      <c r="BN49" s="190">
        <v>0</v>
      </c>
      <c r="BO49" s="190">
        <v>12</v>
      </c>
      <c r="BP49" s="190">
        <v>12</v>
      </c>
      <c r="BQ49" s="190">
        <v>0</v>
      </c>
      <c r="BR49" s="190">
        <v>2</v>
      </c>
      <c r="BS49" s="190">
        <v>2</v>
      </c>
      <c r="BT49" s="190">
        <v>53</v>
      </c>
      <c r="BU49" s="190">
        <v>631</v>
      </c>
      <c r="BV49" s="190">
        <v>684</v>
      </c>
      <c r="BW49" s="190">
        <v>1115</v>
      </c>
      <c r="BX49" s="190">
        <v>13824</v>
      </c>
      <c r="BY49" s="190">
        <v>14939</v>
      </c>
      <c r="BZ49" s="190">
        <v>1110</v>
      </c>
      <c r="CA49" s="190">
        <v>13768</v>
      </c>
      <c r="CB49" s="190">
        <v>14878</v>
      </c>
      <c r="CC49" s="190">
        <v>26980</v>
      </c>
      <c r="CD49" s="190">
        <v>5</v>
      </c>
      <c r="CE49" s="190">
        <v>51</v>
      </c>
      <c r="CF49" s="190">
        <v>5</v>
      </c>
      <c r="CG49" s="190">
        <v>45</v>
      </c>
      <c r="CH49" s="190">
        <v>50</v>
      </c>
      <c r="CI49" s="190">
        <v>0</v>
      </c>
      <c r="CJ49" s="190">
        <v>13</v>
      </c>
      <c r="CK49" s="190">
        <v>0</v>
      </c>
      <c r="CL49" s="190">
        <v>11</v>
      </c>
      <c r="CM49" s="190">
        <v>11</v>
      </c>
      <c r="CN49" s="190">
        <v>65</v>
      </c>
      <c r="CO49" s="190">
        <v>1160</v>
      </c>
      <c r="CP49" s="190">
        <v>1225</v>
      </c>
      <c r="CQ49" s="190">
        <v>0</v>
      </c>
      <c r="CR49" s="190">
        <v>0</v>
      </c>
      <c r="CS49" s="190">
        <v>0</v>
      </c>
      <c r="CT49" s="190">
        <v>1050</v>
      </c>
      <c r="CU49" s="190">
        <v>12664</v>
      </c>
      <c r="CV49" s="190">
        <v>13714</v>
      </c>
      <c r="CW49" s="190">
        <v>79</v>
      </c>
      <c r="CX49" s="190">
        <v>623</v>
      </c>
      <c r="CY49" s="190">
        <v>702</v>
      </c>
      <c r="CZ49" s="190">
        <v>77</v>
      </c>
      <c r="DA49" s="190">
        <v>1</v>
      </c>
      <c r="DB49" s="190">
        <v>0</v>
      </c>
      <c r="DC49" s="190">
        <v>599</v>
      </c>
      <c r="DD49" s="190">
        <v>1</v>
      </c>
      <c r="DE49" s="190">
        <v>0</v>
      </c>
      <c r="DF49" s="190">
        <v>78</v>
      </c>
      <c r="DG49" s="190">
        <v>600</v>
      </c>
      <c r="DH49" s="190">
        <v>678</v>
      </c>
      <c r="DI49" s="190">
        <v>1</v>
      </c>
      <c r="DJ49" s="190">
        <v>0</v>
      </c>
      <c r="DK49" s="190">
        <v>0</v>
      </c>
      <c r="DL49" s="190">
        <v>23</v>
      </c>
      <c r="DM49" s="190">
        <v>0</v>
      </c>
      <c r="DN49" s="190">
        <v>0</v>
      </c>
      <c r="DO49" s="190">
        <v>1</v>
      </c>
      <c r="DP49" s="190">
        <v>23</v>
      </c>
      <c r="DQ49" s="190">
        <v>24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1072</v>
      </c>
      <c r="C50" s="190">
        <v>227</v>
      </c>
      <c r="D50" s="190">
        <v>1162</v>
      </c>
      <c r="E50" s="190">
        <v>675</v>
      </c>
      <c r="F50" s="190">
        <v>2</v>
      </c>
      <c r="G50" s="190">
        <v>37</v>
      </c>
      <c r="H50" s="190">
        <v>39</v>
      </c>
      <c r="I50" s="190">
        <v>0</v>
      </c>
      <c r="J50" s="190">
        <v>469</v>
      </c>
      <c r="K50" s="190">
        <v>469</v>
      </c>
      <c r="L50" s="190">
        <v>0</v>
      </c>
      <c r="M50" s="190">
        <v>164</v>
      </c>
      <c r="N50" s="190">
        <v>164</v>
      </c>
      <c r="O50" s="190">
        <v>0</v>
      </c>
      <c r="P50" s="190">
        <v>305</v>
      </c>
      <c r="Q50" s="190">
        <v>305</v>
      </c>
      <c r="R50" s="190">
        <v>0</v>
      </c>
      <c r="S50" s="190">
        <v>11</v>
      </c>
      <c r="T50" s="190">
        <v>11</v>
      </c>
      <c r="U50" s="190">
        <v>0</v>
      </c>
      <c r="V50" s="190">
        <v>18</v>
      </c>
      <c r="W50" s="190">
        <v>18</v>
      </c>
      <c r="X50" s="190">
        <v>20</v>
      </c>
      <c r="Y50" s="190">
        <v>1142</v>
      </c>
      <c r="Z50" s="190">
        <v>1162</v>
      </c>
      <c r="AA50" s="190">
        <v>10</v>
      </c>
      <c r="AB50" s="190">
        <v>474</v>
      </c>
      <c r="AC50" s="190">
        <v>484</v>
      </c>
      <c r="AD50" s="190">
        <v>10</v>
      </c>
      <c r="AE50" s="190">
        <v>459</v>
      </c>
      <c r="AF50" s="190">
        <v>469</v>
      </c>
      <c r="AG50" s="190">
        <v>0</v>
      </c>
      <c r="AH50" s="190">
        <v>6</v>
      </c>
      <c r="AI50" s="190">
        <v>6</v>
      </c>
      <c r="AJ50" s="190">
        <v>0</v>
      </c>
      <c r="AK50" s="190">
        <v>9</v>
      </c>
      <c r="AL50" s="190">
        <v>9</v>
      </c>
      <c r="AM50" s="190">
        <v>10</v>
      </c>
      <c r="AN50" s="190">
        <v>668</v>
      </c>
      <c r="AO50" s="190">
        <v>678</v>
      </c>
      <c r="AP50" s="190">
        <v>1159</v>
      </c>
      <c r="AQ50" s="190">
        <v>10287</v>
      </c>
      <c r="AR50" s="190">
        <v>11446</v>
      </c>
      <c r="AS50" s="190">
        <v>1159</v>
      </c>
      <c r="AT50" s="190">
        <v>10287</v>
      </c>
      <c r="AU50" s="190">
        <v>11446</v>
      </c>
      <c r="AV50" s="190">
        <v>0</v>
      </c>
      <c r="AW50" s="190">
        <v>0</v>
      </c>
      <c r="AX50" s="190">
        <v>0</v>
      </c>
      <c r="AY50" s="190">
        <v>66</v>
      </c>
      <c r="AZ50" s="190">
        <v>1247</v>
      </c>
      <c r="BA50" s="190">
        <v>1313</v>
      </c>
      <c r="BB50" s="190">
        <v>28</v>
      </c>
      <c r="BC50" s="190">
        <v>0</v>
      </c>
      <c r="BD50" s="190">
        <v>0</v>
      </c>
      <c r="BE50" s="190">
        <v>645</v>
      </c>
      <c r="BF50" s="190">
        <v>2</v>
      </c>
      <c r="BG50" s="190">
        <v>0</v>
      </c>
      <c r="BH50" s="190">
        <v>28</v>
      </c>
      <c r="BI50" s="190">
        <v>647</v>
      </c>
      <c r="BJ50" s="190">
        <v>675</v>
      </c>
      <c r="BK50" s="190">
        <v>-16</v>
      </c>
      <c r="BL50" s="190">
        <v>16</v>
      </c>
      <c r="BM50" s="190">
        <v>0</v>
      </c>
      <c r="BN50" s="190">
        <v>8</v>
      </c>
      <c r="BO50" s="190">
        <v>34</v>
      </c>
      <c r="BP50" s="190">
        <v>42</v>
      </c>
      <c r="BQ50" s="190">
        <v>9</v>
      </c>
      <c r="BR50" s="190">
        <v>202</v>
      </c>
      <c r="BS50" s="190">
        <v>211</v>
      </c>
      <c r="BT50" s="190">
        <v>37</v>
      </c>
      <c r="BU50" s="190">
        <v>348</v>
      </c>
      <c r="BV50" s="190">
        <v>385</v>
      </c>
      <c r="BW50" s="190">
        <v>1225</v>
      </c>
      <c r="BX50" s="190">
        <v>11534</v>
      </c>
      <c r="BY50" s="190">
        <v>12759</v>
      </c>
      <c r="BZ50" s="190">
        <v>1221</v>
      </c>
      <c r="CA50" s="190">
        <v>11491</v>
      </c>
      <c r="CB50" s="190">
        <v>12712</v>
      </c>
      <c r="CC50" s="190">
        <v>23769</v>
      </c>
      <c r="CD50" s="190">
        <v>2</v>
      </c>
      <c r="CE50" s="190">
        <v>29</v>
      </c>
      <c r="CF50" s="190">
        <v>4</v>
      </c>
      <c r="CG50" s="190">
        <v>25</v>
      </c>
      <c r="CH50" s="190">
        <v>29</v>
      </c>
      <c r="CI50" s="190">
        <v>20</v>
      </c>
      <c r="CJ50" s="190">
        <v>0</v>
      </c>
      <c r="CK50" s="190">
        <v>0</v>
      </c>
      <c r="CL50" s="190">
        <v>18</v>
      </c>
      <c r="CM50" s="190">
        <v>18</v>
      </c>
      <c r="CN50" s="190">
        <v>72</v>
      </c>
      <c r="CO50" s="190">
        <v>1077</v>
      </c>
      <c r="CP50" s="190">
        <v>1149</v>
      </c>
      <c r="CQ50" s="190">
        <v>0</v>
      </c>
      <c r="CR50" s="190">
        <v>10</v>
      </c>
      <c r="CS50" s="190">
        <v>10</v>
      </c>
      <c r="CT50" s="190">
        <v>1153</v>
      </c>
      <c r="CU50" s="190">
        <v>10457</v>
      </c>
      <c r="CV50" s="190">
        <v>11610</v>
      </c>
      <c r="CW50" s="190">
        <v>75</v>
      </c>
      <c r="CX50" s="190">
        <v>472</v>
      </c>
      <c r="CY50" s="190">
        <v>547</v>
      </c>
      <c r="CZ50" s="190">
        <v>75</v>
      </c>
      <c r="DA50" s="190">
        <v>0</v>
      </c>
      <c r="DB50" s="190">
        <v>0</v>
      </c>
      <c r="DC50" s="190">
        <v>462</v>
      </c>
      <c r="DD50" s="190">
        <v>2</v>
      </c>
      <c r="DE50" s="190">
        <v>0</v>
      </c>
      <c r="DF50" s="190">
        <v>75</v>
      </c>
      <c r="DG50" s="190">
        <v>464</v>
      </c>
      <c r="DH50" s="190">
        <v>539</v>
      </c>
      <c r="DI50" s="190">
        <v>0</v>
      </c>
      <c r="DJ50" s="190">
        <v>0</v>
      </c>
      <c r="DK50" s="190">
        <v>0</v>
      </c>
      <c r="DL50" s="190">
        <v>8</v>
      </c>
      <c r="DM50" s="190">
        <v>0</v>
      </c>
      <c r="DN50" s="190">
        <v>0</v>
      </c>
      <c r="DO50" s="190">
        <v>0</v>
      </c>
      <c r="DP50" s="190">
        <v>8</v>
      </c>
      <c r="DQ50" s="190">
        <v>8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7</v>
      </c>
      <c r="C51" s="190">
        <v>0</v>
      </c>
      <c r="D51" s="190">
        <v>7</v>
      </c>
      <c r="E51" s="190">
        <v>7</v>
      </c>
      <c r="F51" s="190">
        <v>0</v>
      </c>
      <c r="G51" s="190">
        <v>0</v>
      </c>
      <c r="H51" s="190">
        <v>0</v>
      </c>
      <c r="I51" s="190">
        <v>0</v>
      </c>
      <c r="J51" s="190">
        <v>0</v>
      </c>
      <c r="K51" s="190">
        <v>0</v>
      </c>
      <c r="L51" s="190">
        <v>0</v>
      </c>
      <c r="M51" s="190">
        <v>0</v>
      </c>
      <c r="N51" s="190">
        <v>0</v>
      </c>
      <c r="O51" s="190">
        <v>0</v>
      </c>
      <c r="P51" s="190">
        <v>0</v>
      </c>
      <c r="Q51" s="190">
        <v>0</v>
      </c>
      <c r="R51" s="190">
        <v>0</v>
      </c>
      <c r="S51" s="190">
        <v>0</v>
      </c>
      <c r="T51" s="190">
        <v>0</v>
      </c>
      <c r="U51" s="190">
        <v>0</v>
      </c>
      <c r="V51" s="190">
        <v>0</v>
      </c>
      <c r="W51" s="190">
        <v>0</v>
      </c>
      <c r="X51" s="190">
        <v>0</v>
      </c>
      <c r="Y51" s="190">
        <v>7</v>
      </c>
      <c r="Z51" s="190">
        <v>7</v>
      </c>
      <c r="AA51" s="190">
        <v>0</v>
      </c>
      <c r="AB51" s="190">
        <v>6</v>
      </c>
      <c r="AC51" s="190">
        <v>6</v>
      </c>
      <c r="AD51" s="190">
        <v>0</v>
      </c>
      <c r="AE51" s="190">
        <v>6</v>
      </c>
      <c r="AF51" s="190">
        <v>6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0</v>
      </c>
      <c r="AN51" s="190">
        <v>1</v>
      </c>
      <c r="AO51" s="190">
        <v>1</v>
      </c>
      <c r="AP51" s="190">
        <v>11</v>
      </c>
      <c r="AQ51" s="190">
        <v>141</v>
      </c>
      <c r="AR51" s="190">
        <v>152</v>
      </c>
      <c r="AS51" s="190">
        <v>11</v>
      </c>
      <c r="AT51" s="190">
        <v>141</v>
      </c>
      <c r="AU51" s="190">
        <v>152</v>
      </c>
      <c r="AV51" s="190">
        <v>0</v>
      </c>
      <c r="AW51" s="190">
        <v>0</v>
      </c>
      <c r="AX51" s="190">
        <v>0</v>
      </c>
      <c r="AY51" s="190">
        <v>0</v>
      </c>
      <c r="AZ51" s="190">
        <v>17</v>
      </c>
      <c r="BA51" s="190">
        <v>17</v>
      </c>
      <c r="BB51" s="190">
        <v>0</v>
      </c>
      <c r="BC51" s="190">
        <v>0</v>
      </c>
      <c r="BD51" s="190">
        <v>0</v>
      </c>
      <c r="BE51" s="190">
        <v>7</v>
      </c>
      <c r="BF51" s="190">
        <v>0</v>
      </c>
      <c r="BG51" s="190">
        <v>0</v>
      </c>
      <c r="BH51" s="190">
        <v>0</v>
      </c>
      <c r="BI51" s="190">
        <v>7</v>
      </c>
      <c r="BJ51" s="190">
        <v>7</v>
      </c>
      <c r="BK51" s="190">
        <v>-1</v>
      </c>
      <c r="BL51" s="190">
        <v>1</v>
      </c>
      <c r="BM51" s="190">
        <v>0</v>
      </c>
      <c r="BN51" s="190">
        <v>0</v>
      </c>
      <c r="BO51" s="190">
        <v>0</v>
      </c>
      <c r="BP51" s="190">
        <v>0</v>
      </c>
      <c r="BQ51" s="190">
        <v>1</v>
      </c>
      <c r="BR51" s="190">
        <v>3</v>
      </c>
      <c r="BS51" s="190">
        <v>4</v>
      </c>
      <c r="BT51" s="190">
        <v>0</v>
      </c>
      <c r="BU51" s="190">
        <v>6</v>
      </c>
      <c r="BV51" s="190">
        <v>6</v>
      </c>
      <c r="BW51" s="190">
        <v>11</v>
      </c>
      <c r="BX51" s="190">
        <v>158</v>
      </c>
      <c r="BY51" s="190">
        <v>169</v>
      </c>
      <c r="BZ51" s="190">
        <v>11</v>
      </c>
      <c r="CA51" s="190">
        <v>158</v>
      </c>
      <c r="CB51" s="190">
        <v>169</v>
      </c>
      <c r="CC51" s="190">
        <v>289</v>
      </c>
      <c r="CD51" s="190">
        <v>0</v>
      </c>
      <c r="CE51" s="190">
        <v>0</v>
      </c>
      <c r="CF51" s="190">
        <v>0</v>
      </c>
      <c r="CG51" s="190">
        <v>0</v>
      </c>
      <c r="CH51" s="190">
        <v>0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2</v>
      </c>
      <c r="CO51" s="190">
        <v>10</v>
      </c>
      <c r="CP51" s="190">
        <v>12</v>
      </c>
      <c r="CQ51" s="190">
        <v>0</v>
      </c>
      <c r="CR51" s="190">
        <v>0</v>
      </c>
      <c r="CS51" s="190">
        <v>0</v>
      </c>
      <c r="CT51" s="190">
        <v>9</v>
      </c>
      <c r="CU51" s="190">
        <v>148</v>
      </c>
      <c r="CV51" s="190">
        <v>157</v>
      </c>
      <c r="CW51" s="190">
        <v>0</v>
      </c>
      <c r="CX51" s="190">
        <v>9</v>
      </c>
      <c r="CY51" s="190">
        <v>9</v>
      </c>
      <c r="CZ51" s="190">
        <v>0</v>
      </c>
      <c r="DA51" s="190">
        <v>0</v>
      </c>
      <c r="DB51" s="190">
        <v>0</v>
      </c>
      <c r="DC51" s="190">
        <v>9</v>
      </c>
      <c r="DD51" s="190">
        <v>0</v>
      </c>
      <c r="DE51" s="190">
        <v>0</v>
      </c>
      <c r="DF51" s="190">
        <v>0</v>
      </c>
      <c r="DG51" s="190">
        <v>9</v>
      </c>
      <c r="DH51" s="190">
        <v>9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232</v>
      </c>
      <c r="C52" s="190">
        <v>74</v>
      </c>
      <c r="D52" s="190">
        <v>234</v>
      </c>
      <c r="E52" s="190">
        <v>125</v>
      </c>
      <c r="F52" s="190">
        <v>1</v>
      </c>
      <c r="G52" s="190">
        <v>5</v>
      </c>
      <c r="H52" s="190">
        <v>6</v>
      </c>
      <c r="I52" s="190">
        <v>0</v>
      </c>
      <c r="J52" s="190">
        <v>101</v>
      </c>
      <c r="K52" s="190">
        <v>101</v>
      </c>
      <c r="L52" s="190">
        <v>0</v>
      </c>
      <c r="M52" s="190">
        <v>30</v>
      </c>
      <c r="N52" s="190">
        <v>30</v>
      </c>
      <c r="O52" s="190">
        <v>0</v>
      </c>
      <c r="P52" s="190">
        <v>71</v>
      </c>
      <c r="Q52" s="190">
        <v>71</v>
      </c>
      <c r="R52" s="190">
        <v>0</v>
      </c>
      <c r="S52" s="190">
        <v>0</v>
      </c>
      <c r="T52" s="190">
        <v>0</v>
      </c>
      <c r="U52" s="190">
        <v>0</v>
      </c>
      <c r="V52" s="190">
        <v>8</v>
      </c>
      <c r="W52" s="190">
        <v>8</v>
      </c>
      <c r="X52" s="190">
        <v>5</v>
      </c>
      <c r="Y52" s="190">
        <v>229</v>
      </c>
      <c r="Z52" s="190">
        <v>234</v>
      </c>
      <c r="AA52" s="190">
        <v>4</v>
      </c>
      <c r="AB52" s="190">
        <v>91</v>
      </c>
      <c r="AC52" s="190">
        <v>95</v>
      </c>
      <c r="AD52" s="190">
        <v>4</v>
      </c>
      <c r="AE52" s="190">
        <v>79</v>
      </c>
      <c r="AF52" s="190">
        <v>83</v>
      </c>
      <c r="AG52" s="190">
        <v>0</v>
      </c>
      <c r="AH52" s="190">
        <v>3</v>
      </c>
      <c r="AI52" s="190">
        <v>3</v>
      </c>
      <c r="AJ52" s="190">
        <v>0</v>
      </c>
      <c r="AK52" s="190">
        <v>9</v>
      </c>
      <c r="AL52" s="190">
        <v>9</v>
      </c>
      <c r="AM52" s="190">
        <v>1</v>
      </c>
      <c r="AN52" s="190">
        <v>138</v>
      </c>
      <c r="AO52" s="190">
        <v>139</v>
      </c>
      <c r="AP52" s="190">
        <v>337</v>
      </c>
      <c r="AQ52" s="190">
        <v>2575</v>
      </c>
      <c r="AR52" s="190">
        <v>2912</v>
      </c>
      <c r="AS52" s="190">
        <v>337</v>
      </c>
      <c r="AT52" s="190">
        <v>2575</v>
      </c>
      <c r="AU52" s="190">
        <v>2912</v>
      </c>
      <c r="AV52" s="190">
        <v>0</v>
      </c>
      <c r="AW52" s="190">
        <v>0</v>
      </c>
      <c r="AX52" s="190">
        <v>0</v>
      </c>
      <c r="AY52" s="190">
        <v>38</v>
      </c>
      <c r="AZ52" s="190">
        <v>257</v>
      </c>
      <c r="BA52" s="190">
        <v>295</v>
      </c>
      <c r="BB52" s="190">
        <v>8</v>
      </c>
      <c r="BC52" s="190">
        <v>0</v>
      </c>
      <c r="BD52" s="190">
        <v>0</v>
      </c>
      <c r="BE52" s="190">
        <v>117</v>
      </c>
      <c r="BF52" s="190">
        <v>0</v>
      </c>
      <c r="BG52" s="190">
        <v>0</v>
      </c>
      <c r="BH52" s="190">
        <v>8</v>
      </c>
      <c r="BI52" s="190">
        <v>117</v>
      </c>
      <c r="BJ52" s="190">
        <v>125</v>
      </c>
      <c r="BK52" s="190">
        <v>-1</v>
      </c>
      <c r="BL52" s="190">
        <v>1</v>
      </c>
      <c r="BM52" s="190">
        <v>0</v>
      </c>
      <c r="BN52" s="190">
        <v>1</v>
      </c>
      <c r="BO52" s="190">
        <v>13</v>
      </c>
      <c r="BP52" s="190">
        <v>14</v>
      </c>
      <c r="BQ52" s="190">
        <v>3</v>
      </c>
      <c r="BR52" s="190">
        <v>25</v>
      </c>
      <c r="BS52" s="190">
        <v>28</v>
      </c>
      <c r="BT52" s="190">
        <v>27</v>
      </c>
      <c r="BU52" s="190">
        <v>101</v>
      </c>
      <c r="BV52" s="190">
        <v>128</v>
      </c>
      <c r="BW52" s="190">
        <v>375</v>
      </c>
      <c r="BX52" s="190">
        <v>2832</v>
      </c>
      <c r="BY52" s="190">
        <v>3207</v>
      </c>
      <c r="BZ52" s="190">
        <v>374</v>
      </c>
      <c r="CA52" s="190">
        <v>2821</v>
      </c>
      <c r="CB52" s="190">
        <v>3195</v>
      </c>
      <c r="CC52" s="190">
        <v>6711</v>
      </c>
      <c r="CD52" s="190">
        <v>0</v>
      </c>
      <c r="CE52" s="190">
        <v>12</v>
      </c>
      <c r="CF52" s="190">
        <v>1</v>
      </c>
      <c r="CG52" s="190">
        <v>9</v>
      </c>
      <c r="CH52" s="190">
        <v>10</v>
      </c>
      <c r="CI52" s="190">
        <v>3</v>
      </c>
      <c r="CJ52" s="190">
        <v>0</v>
      </c>
      <c r="CK52" s="190">
        <v>0</v>
      </c>
      <c r="CL52" s="190">
        <v>2</v>
      </c>
      <c r="CM52" s="190">
        <v>2</v>
      </c>
      <c r="CN52" s="190">
        <v>24</v>
      </c>
      <c r="CO52" s="190">
        <v>246</v>
      </c>
      <c r="CP52" s="190">
        <v>270</v>
      </c>
      <c r="CQ52" s="190">
        <v>0</v>
      </c>
      <c r="CR52" s="190">
        <v>3</v>
      </c>
      <c r="CS52" s="190">
        <v>3</v>
      </c>
      <c r="CT52" s="190">
        <v>351</v>
      </c>
      <c r="CU52" s="190">
        <v>2586</v>
      </c>
      <c r="CV52" s="190">
        <v>2937</v>
      </c>
      <c r="CW52" s="190">
        <v>25</v>
      </c>
      <c r="CX52" s="190">
        <v>111</v>
      </c>
      <c r="CY52" s="190">
        <v>136</v>
      </c>
      <c r="CZ52" s="190">
        <v>25</v>
      </c>
      <c r="DA52" s="190">
        <v>0</v>
      </c>
      <c r="DB52" s="190">
        <v>0</v>
      </c>
      <c r="DC52" s="190">
        <v>107</v>
      </c>
      <c r="DD52" s="190">
        <v>0</v>
      </c>
      <c r="DE52" s="190">
        <v>0</v>
      </c>
      <c r="DF52" s="190">
        <v>25</v>
      </c>
      <c r="DG52" s="190">
        <v>107</v>
      </c>
      <c r="DH52" s="190">
        <v>132</v>
      </c>
      <c r="DI52" s="190">
        <v>0</v>
      </c>
      <c r="DJ52" s="190">
        <v>0</v>
      </c>
      <c r="DK52" s="190">
        <v>0</v>
      </c>
      <c r="DL52" s="190">
        <v>4</v>
      </c>
      <c r="DM52" s="190">
        <v>0</v>
      </c>
      <c r="DN52" s="190">
        <v>0</v>
      </c>
      <c r="DO52" s="190">
        <v>0</v>
      </c>
      <c r="DP52" s="190">
        <v>4</v>
      </c>
      <c r="DQ52" s="190">
        <v>4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1499</v>
      </c>
      <c r="C53" s="190">
        <v>359</v>
      </c>
      <c r="D53" s="190">
        <v>1389</v>
      </c>
      <c r="E53" s="190">
        <v>817</v>
      </c>
      <c r="F53" s="190">
        <v>3</v>
      </c>
      <c r="G53" s="190">
        <v>22</v>
      </c>
      <c r="H53" s="190">
        <v>25</v>
      </c>
      <c r="I53" s="190">
        <v>1</v>
      </c>
      <c r="J53" s="190">
        <v>464</v>
      </c>
      <c r="K53" s="190">
        <v>465</v>
      </c>
      <c r="L53" s="190">
        <v>0</v>
      </c>
      <c r="M53" s="190">
        <v>139</v>
      </c>
      <c r="N53" s="190">
        <v>139</v>
      </c>
      <c r="O53" s="190">
        <v>1</v>
      </c>
      <c r="P53" s="190">
        <v>325</v>
      </c>
      <c r="Q53" s="190">
        <v>326</v>
      </c>
      <c r="R53" s="190">
        <v>0</v>
      </c>
      <c r="S53" s="190">
        <v>40</v>
      </c>
      <c r="T53" s="190">
        <v>40</v>
      </c>
      <c r="U53" s="190">
        <v>0</v>
      </c>
      <c r="V53" s="190">
        <v>107</v>
      </c>
      <c r="W53" s="190">
        <v>107</v>
      </c>
      <c r="X53" s="190">
        <v>14</v>
      </c>
      <c r="Y53" s="190">
        <v>791</v>
      </c>
      <c r="Z53" s="190">
        <v>805</v>
      </c>
      <c r="AA53" s="190">
        <v>8</v>
      </c>
      <c r="AB53" s="190">
        <v>461</v>
      </c>
      <c r="AC53" s="190">
        <v>469</v>
      </c>
      <c r="AD53" s="190">
        <v>7</v>
      </c>
      <c r="AE53" s="190">
        <v>448</v>
      </c>
      <c r="AF53" s="190">
        <v>455</v>
      </c>
      <c r="AG53" s="190">
        <v>0</v>
      </c>
      <c r="AH53" s="190">
        <v>12</v>
      </c>
      <c r="AI53" s="190">
        <v>12</v>
      </c>
      <c r="AJ53" s="190">
        <v>1</v>
      </c>
      <c r="AK53" s="190">
        <v>1</v>
      </c>
      <c r="AL53" s="190">
        <v>2</v>
      </c>
      <c r="AM53" s="190">
        <v>6</v>
      </c>
      <c r="AN53" s="190">
        <v>330</v>
      </c>
      <c r="AO53" s="190">
        <v>336</v>
      </c>
      <c r="AP53" s="190">
        <v>2285</v>
      </c>
      <c r="AQ53" s="190">
        <v>17131</v>
      </c>
      <c r="AR53" s="190">
        <v>19416</v>
      </c>
      <c r="AS53" s="190">
        <v>2342</v>
      </c>
      <c r="AT53" s="190">
        <v>16911</v>
      </c>
      <c r="AU53" s="190">
        <v>19253</v>
      </c>
      <c r="AV53" s="190">
        <v>-57</v>
      </c>
      <c r="AW53" s="190">
        <v>220</v>
      </c>
      <c r="AX53" s="190">
        <v>163</v>
      </c>
      <c r="AY53" s="190">
        <v>222</v>
      </c>
      <c r="AZ53" s="190">
        <v>1697</v>
      </c>
      <c r="BA53" s="190">
        <v>1919</v>
      </c>
      <c r="BB53" s="190">
        <v>60</v>
      </c>
      <c r="BC53" s="190">
        <v>0</v>
      </c>
      <c r="BD53" s="190">
        <v>0</v>
      </c>
      <c r="BE53" s="190">
        <v>742</v>
      </c>
      <c r="BF53" s="190">
        <v>10</v>
      </c>
      <c r="BG53" s="190">
        <v>5</v>
      </c>
      <c r="BH53" s="190">
        <v>60</v>
      </c>
      <c r="BI53" s="190">
        <v>757</v>
      </c>
      <c r="BJ53" s="190">
        <v>817</v>
      </c>
      <c r="BK53" s="190">
        <v>65</v>
      </c>
      <c r="BL53" s="190">
        <v>-65</v>
      </c>
      <c r="BM53" s="190">
        <v>0</v>
      </c>
      <c r="BN53" s="190">
        <v>7</v>
      </c>
      <c r="BO53" s="190">
        <v>40</v>
      </c>
      <c r="BP53" s="190">
        <v>47</v>
      </c>
      <c r="BQ53" s="190">
        <v>3</v>
      </c>
      <c r="BR53" s="190">
        <v>117</v>
      </c>
      <c r="BS53" s="190">
        <v>120</v>
      </c>
      <c r="BT53" s="190">
        <v>87</v>
      </c>
      <c r="BU53" s="190">
        <v>848</v>
      </c>
      <c r="BV53" s="190">
        <v>935</v>
      </c>
      <c r="BW53" s="190">
        <v>2507</v>
      </c>
      <c r="BX53" s="190">
        <v>18828</v>
      </c>
      <c r="BY53" s="190">
        <v>21335</v>
      </c>
      <c r="BZ53" s="190">
        <v>2487</v>
      </c>
      <c r="CA53" s="190">
        <v>18618</v>
      </c>
      <c r="CB53" s="190">
        <v>21105</v>
      </c>
      <c r="CC53" s="190">
        <v>39950</v>
      </c>
      <c r="CD53" s="190">
        <v>195</v>
      </c>
      <c r="CE53" s="190">
        <v>170</v>
      </c>
      <c r="CF53" s="190">
        <v>20</v>
      </c>
      <c r="CG53" s="190">
        <v>145</v>
      </c>
      <c r="CH53" s="190">
        <v>165</v>
      </c>
      <c r="CI53" s="190">
        <v>90</v>
      </c>
      <c r="CJ53" s="190">
        <v>64</v>
      </c>
      <c r="CK53" s="190">
        <v>0</v>
      </c>
      <c r="CL53" s="190">
        <v>65</v>
      </c>
      <c r="CM53" s="190">
        <v>65</v>
      </c>
      <c r="CN53" s="190">
        <v>145</v>
      </c>
      <c r="CO53" s="190">
        <v>1773</v>
      </c>
      <c r="CP53" s="190">
        <v>1918</v>
      </c>
      <c r="CQ53" s="190">
        <v>0</v>
      </c>
      <c r="CR53" s="190">
        <v>0</v>
      </c>
      <c r="CS53" s="190">
        <v>0</v>
      </c>
      <c r="CT53" s="190">
        <v>2362</v>
      </c>
      <c r="CU53" s="190">
        <v>17055</v>
      </c>
      <c r="CV53" s="190">
        <v>19417</v>
      </c>
      <c r="CW53" s="190">
        <v>164</v>
      </c>
      <c r="CX53" s="190">
        <v>1122</v>
      </c>
      <c r="CY53" s="190">
        <v>1286</v>
      </c>
      <c r="CZ53" s="190">
        <v>159</v>
      </c>
      <c r="DA53" s="190">
        <v>1</v>
      </c>
      <c r="DB53" s="190">
        <v>0</v>
      </c>
      <c r="DC53" s="190">
        <v>1072</v>
      </c>
      <c r="DD53" s="190">
        <v>8</v>
      </c>
      <c r="DE53" s="190">
        <v>2</v>
      </c>
      <c r="DF53" s="190">
        <v>160</v>
      </c>
      <c r="DG53" s="190">
        <v>1082</v>
      </c>
      <c r="DH53" s="190">
        <v>1242</v>
      </c>
      <c r="DI53" s="190">
        <v>4</v>
      </c>
      <c r="DJ53" s="190">
        <v>0</v>
      </c>
      <c r="DK53" s="190">
        <v>0</v>
      </c>
      <c r="DL53" s="190">
        <v>40</v>
      </c>
      <c r="DM53" s="190">
        <v>0</v>
      </c>
      <c r="DN53" s="190">
        <v>0</v>
      </c>
      <c r="DO53" s="190">
        <v>4</v>
      </c>
      <c r="DP53" s="190">
        <v>40</v>
      </c>
      <c r="DQ53" s="190">
        <v>44</v>
      </c>
      <c r="DR53" s="190">
        <v>0</v>
      </c>
      <c r="DS53" s="190">
        <v>0</v>
      </c>
      <c r="DT53" s="191">
        <v>0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944</v>
      </c>
      <c r="C54" s="190">
        <v>315</v>
      </c>
      <c r="D54" s="190">
        <v>996</v>
      </c>
      <c r="E54" s="190">
        <v>507</v>
      </c>
      <c r="F54" s="190">
        <v>0</v>
      </c>
      <c r="G54" s="190">
        <v>25</v>
      </c>
      <c r="H54" s="190">
        <v>25</v>
      </c>
      <c r="I54" s="190">
        <v>1</v>
      </c>
      <c r="J54" s="190">
        <v>474</v>
      </c>
      <c r="K54" s="190">
        <v>475</v>
      </c>
      <c r="L54" s="190">
        <v>1</v>
      </c>
      <c r="M54" s="190">
        <v>141</v>
      </c>
      <c r="N54" s="190">
        <v>142</v>
      </c>
      <c r="O54" s="190">
        <v>0</v>
      </c>
      <c r="P54" s="190">
        <v>333</v>
      </c>
      <c r="Q54" s="190">
        <v>333</v>
      </c>
      <c r="R54" s="190">
        <v>0</v>
      </c>
      <c r="S54" s="190">
        <v>110</v>
      </c>
      <c r="T54" s="190">
        <v>110</v>
      </c>
      <c r="U54" s="190">
        <v>0</v>
      </c>
      <c r="V54" s="190">
        <v>14</v>
      </c>
      <c r="W54" s="190">
        <v>14</v>
      </c>
      <c r="X54" s="190">
        <v>3</v>
      </c>
      <c r="Y54" s="190">
        <v>993</v>
      </c>
      <c r="Z54" s="190">
        <v>996</v>
      </c>
      <c r="AA54" s="190">
        <v>0</v>
      </c>
      <c r="AB54" s="190">
        <v>409</v>
      </c>
      <c r="AC54" s="190">
        <v>409</v>
      </c>
      <c r="AD54" s="190">
        <v>0</v>
      </c>
      <c r="AE54" s="190">
        <v>346</v>
      </c>
      <c r="AF54" s="190">
        <v>346</v>
      </c>
      <c r="AG54" s="190">
        <v>0</v>
      </c>
      <c r="AH54" s="190">
        <v>42</v>
      </c>
      <c r="AI54" s="190">
        <v>42</v>
      </c>
      <c r="AJ54" s="190">
        <v>0</v>
      </c>
      <c r="AK54" s="190">
        <v>21</v>
      </c>
      <c r="AL54" s="190">
        <v>21</v>
      </c>
      <c r="AM54" s="190">
        <v>3</v>
      </c>
      <c r="AN54" s="190">
        <v>584</v>
      </c>
      <c r="AO54" s="190">
        <v>587</v>
      </c>
      <c r="AP54" s="190">
        <v>1321</v>
      </c>
      <c r="AQ54" s="190">
        <v>15055</v>
      </c>
      <c r="AR54" s="190">
        <v>16376</v>
      </c>
      <c r="AS54" s="190">
        <v>1316</v>
      </c>
      <c r="AT54" s="190">
        <v>14540</v>
      </c>
      <c r="AU54" s="190">
        <v>15856</v>
      </c>
      <c r="AV54" s="190">
        <v>5</v>
      </c>
      <c r="AW54" s="190">
        <v>515</v>
      </c>
      <c r="AX54" s="190">
        <v>520</v>
      </c>
      <c r="AY54" s="190">
        <v>52</v>
      </c>
      <c r="AZ54" s="190">
        <v>1126</v>
      </c>
      <c r="BA54" s="190">
        <v>1178</v>
      </c>
      <c r="BB54" s="190">
        <v>22</v>
      </c>
      <c r="BC54" s="190">
        <v>0</v>
      </c>
      <c r="BD54" s="190">
        <v>0</v>
      </c>
      <c r="BE54" s="190">
        <v>479</v>
      </c>
      <c r="BF54" s="190">
        <v>4</v>
      </c>
      <c r="BG54" s="190">
        <v>2</v>
      </c>
      <c r="BH54" s="190">
        <v>22</v>
      </c>
      <c r="BI54" s="190">
        <v>485</v>
      </c>
      <c r="BJ54" s="190">
        <v>507</v>
      </c>
      <c r="BK54" s="190">
        <v>-13</v>
      </c>
      <c r="BL54" s="190">
        <v>13</v>
      </c>
      <c r="BM54" s="190">
        <v>0</v>
      </c>
      <c r="BN54" s="190">
        <v>5</v>
      </c>
      <c r="BO54" s="190">
        <v>23</v>
      </c>
      <c r="BP54" s="190">
        <v>28</v>
      </c>
      <c r="BQ54" s="190">
        <v>8</v>
      </c>
      <c r="BR54" s="190">
        <v>160</v>
      </c>
      <c r="BS54" s="190">
        <v>168</v>
      </c>
      <c r="BT54" s="190">
        <v>30</v>
      </c>
      <c r="BU54" s="190">
        <v>445</v>
      </c>
      <c r="BV54" s="190">
        <v>475</v>
      </c>
      <c r="BW54" s="190">
        <v>1373</v>
      </c>
      <c r="BX54" s="190">
        <v>16181</v>
      </c>
      <c r="BY54" s="190">
        <v>17554</v>
      </c>
      <c r="BZ54" s="190">
        <v>1336</v>
      </c>
      <c r="CA54" s="190">
        <v>15904</v>
      </c>
      <c r="CB54" s="190">
        <v>17240</v>
      </c>
      <c r="CC54" s="190">
        <v>31291</v>
      </c>
      <c r="CD54" s="190">
        <v>25</v>
      </c>
      <c r="CE54" s="190">
        <v>301</v>
      </c>
      <c r="CF54" s="190">
        <v>37</v>
      </c>
      <c r="CG54" s="190">
        <v>228</v>
      </c>
      <c r="CH54" s="190">
        <v>265</v>
      </c>
      <c r="CI54" s="190">
        <v>62</v>
      </c>
      <c r="CJ54" s="190">
        <v>4</v>
      </c>
      <c r="CK54" s="190">
        <v>0</v>
      </c>
      <c r="CL54" s="190">
        <v>49</v>
      </c>
      <c r="CM54" s="190">
        <v>49</v>
      </c>
      <c r="CN54" s="190">
        <v>62</v>
      </c>
      <c r="CO54" s="190">
        <v>1479</v>
      </c>
      <c r="CP54" s="190">
        <v>1541</v>
      </c>
      <c r="CQ54" s="190">
        <v>0</v>
      </c>
      <c r="CR54" s="190">
        <v>0</v>
      </c>
      <c r="CS54" s="190">
        <v>0</v>
      </c>
      <c r="CT54" s="190">
        <v>1311</v>
      </c>
      <c r="CU54" s="190">
        <v>14702</v>
      </c>
      <c r="CV54" s="190">
        <v>16013</v>
      </c>
      <c r="CW54" s="190">
        <v>95</v>
      </c>
      <c r="CX54" s="190">
        <v>770</v>
      </c>
      <c r="CY54" s="190">
        <v>865</v>
      </c>
      <c r="CZ54" s="190">
        <v>88</v>
      </c>
      <c r="DA54" s="190">
        <v>2</v>
      </c>
      <c r="DB54" s="190">
        <v>0</v>
      </c>
      <c r="DC54" s="190">
        <v>728</v>
      </c>
      <c r="DD54" s="190">
        <v>9</v>
      </c>
      <c r="DE54" s="190">
        <v>2</v>
      </c>
      <c r="DF54" s="190">
        <v>90</v>
      </c>
      <c r="DG54" s="190">
        <v>739</v>
      </c>
      <c r="DH54" s="190">
        <v>829</v>
      </c>
      <c r="DI54" s="190">
        <v>5</v>
      </c>
      <c r="DJ54" s="190">
        <v>0</v>
      </c>
      <c r="DK54" s="190">
        <v>0</v>
      </c>
      <c r="DL54" s="190">
        <v>28</v>
      </c>
      <c r="DM54" s="190">
        <v>3</v>
      </c>
      <c r="DN54" s="190">
        <v>0</v>
      </c>
      <c r="DO54" s="190">
        <v>5</v>
      </c>
      <c r="DP54" s="190">
        <v>31</v>
      </c>
      <c r="DQ54" s="190">
        <v>36</v>
      </c>
      <c r="DR54" s="190">
        <v>0</v>
      </c>
      <c r="DS54" s="190">
        <v>0</v>
      </c>
      <c r="DT54" s="191">
        <v>0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2871</v>
      </c>
      <c r="C55" s="190">
        <v>597</v>
      </c>
      <c r="D55" s="190">
        <v>2999</v>
      </c>
      <c r="E55" s="190">
        <v>1974</v>
      </c>
      <c r="F55" s="190">
        <v>8</v>
      </c>
      <c r="G55" s="190">
        <v>83</v>
      </c>
      <c r="H55" s="190">
        <v>91</v>
      </c>
      <c r="I55" s="190">
        <v>3</v>
      </c>
      <c r="J55" s="190">
        <v>909</v>
      </c>
      <c r="K55" s="190">
        <v>912</v>
      </c>
      <c r="L55" s="190">
        <v>3</v>
      </c>
      <c r="M55" s="190">
        <v>494</v>
      </c>
      <c r="N55" s="190">
        <v>497</v>
      </c>
      <c r="O55" s="190">
        <v>0</v>
      </c>
      <c r="P55" s="190">
        <v>415</v>
      </c>
      <c r="Q55" s="190">
        <v>415</v>
      </c>
      <c r="R55" s="190">
        <v>0</v>
      </c>
      <c r="S55" s="190">
        <v>18</v>
      </c>
      <c r="T55" s="190">
        <v>18</v>
      </c>
      <c r="U55" s="190">
        <v>0</v>
      </c>
      <c r="V55" s="190">
        <v>113</v>
      </c>
      <c r="W55" s="190">
        <v>113</v>
      </c>
      <c r="X55" s="190">
        <v>65</v>
      </c>
      <c r="Y55" s="190">
        <v>2933</v>
      </c>
      <c r="Z55" s="190">
        <v>2998</v>
      </c>
      <c r="AA55" s="190">
        <v>34</v>
      </c>
      <c r="AB55" s="190">
        <v>1305</v>
      </c>
      <c r="AC55" s="190">
        <v>1339</v>
      </c>
      <c r="AD55" s="190">
        <v>32</v>
      </c>
      <c r="AE55" s="190">
        <v>1217</v>
      </c>
      <c r="AF55" s="190">
        <v>1249</v>
      </c>
      <c r="AG55" s="190">
        <v>2</v>
      </c>
      <c r="AH55" s="190">
        <v>61</v>
      </c>
      <c r="AI55" s="190">
        <v>63</v>
      </c>
      <c r="AJ55" s="190">
        <v>0</v>
      </c>
      <c r="AK55" s="190">
        <v>27</v>
      </c>
      <c r="AL55" s="190">
        <v>27</v>
      </c>
      <c r="AM55" s="190">
        <v>31</v>
      </c>
      <c r="AN55" s="190">
        <v>1628</v>
      </c>
      <c r="AO55" s="190">
        <v>1659</v>
      </c>
      <c r="AP55" s="190">
        <v>5072</v>
      </c>
      <c r="AQ55" s="190">
        <v>32168</v>
      </c>
      <c r="AR55" s="190">
        <v>37240</v>
      </c>
      <c r="AS55" s="190">
        <v>5072</v>
      </c>
      <c r="AT55" s="190">
        <v>32168</v>
      </c>
      <c r="AU55" s="190">
        <v>37240</v>
      </c>
      <c r="AV55" s="190">
        <v>0</v>
      </c>
      <c r="AW55" s="190">
        <v>0</v>
      </c>
      <c r="AX55" s="190">
        <v>0</v>
      </c>
      <c r="AY55" s="190">
        <v>301</v>
      </c>
      <c r="AZ55" s="190">
        <v>3162</v>
      </c>
      <c r="BA55" s="190">
        <v>3463</v>
      </c>
      <c r="BB55" s="190">
        <v>73</v>
      </c>
      <c r="BC55" s="190">
        <v>0</v>
      </c>
      <c r="BD55" s="190">
        <v>0</v>
      </c>
      <c r="BE55" s="190">
        <v>1896</v>
      </c>
      <c r="BF55" s="190">
        <v>4</v>
      </c>
      <c r="BG55" s="190">
        <v>1</v>
      </c>
      <c r="BH55" s="190">
        <v>73</v>
      </c>
      <c r="BI55" s="190">
        <v>1901</v>
      </c>
      <c r="BJ55" s="190">
        <v>1974</v>
      </c>
      <c r="BK55" s="190">
        <v>14</v>
      </c>
      <c r="BL55" s="190">
        <v>-14</v>
      </c>
      <c r="BM55" s="190">
        <v>0</v>
      </c>
      <c r="BN55" s="190">
        <v>22</v>
      </c>
      <c r="BO55" s="190">
        <v>75</v>
      </c>
      <c r="BP55" s="190">
        <v>97</v>
      </c>
      <c r="BQ55" s="190">
        <v>59</v>
      </c>
      <c r="BR55" s="190">
        <v>542</v>
      </c>
      <c r="BS55" s="190">
        <v>601</v>
      </c>
      <c r="BT55" s="190">
        <v>133</v>
      </c>
      <c r="BU55" s="190">
        <v>658</v>
      </c>
      <c r="BV55" s="190">
        <v>791</v>
      </c>
      <c r="BW55" s="190">
        <v>5373</v>
      </c>
      <c r="BX55" s="190">
        <v>35330</v>
      </c>
      <c r="BY55" s="190">
        <v>40703</v>
      </c>
      <c r="BZ55" s="190">
        <v>5334</v>
      </c>
      <c r="CA55" s="190">
        <v>35126</v>
      </c>
      <c r="CB55" s="190">
        <v>40460</v>
      </c>
      <c r="CC55" s="190">
        <v>84995</v>
      </c>
      <c r="CD55" s="190">
        <v>17</v>
      </c>
      <c r="CE55" s="190">
        <v>226</v>
      </c>
      <c r="CF55" s="190">
        <v>38</v>
      </c>
      <c r="CG55" s="190">
        <v>176</v>
      </c>
      <c r="CH55" s="190">
        <v>214</v>
      </c>
      <c r="CI55" s="190">
        <v>30</v>
      </c>
      <c r="CJ55" s="190">
        <v>8</v>
      </c>
      <c r="CK55" s="190">
        <v>1</v>
      </c>
      <c r="CL55" s="190">
        <v>28</v>
      </c>
      <c r="CM55" s="190">
        <v>29</v>
      </c>
      <c r="CN55" s="190">
        <v>251</v>
      </c>
      <c r="CO55" s="190">
        <v>2904</v>
      </c>
      <c r="CP55" s="190">
        <v>3155</v>
      </c>
      <c r="CQ55" s="190">
        <v>0</v>
      </c>
      <c r="CR55" s="190">
        <v>1</v>
      </c>
      <c r="CS55" s="190">
        <v>1</v>
      </c>
      <c r="CT55" s="190">
        <v>5122</v>
      </c>
      <c r="CU55" s="190">
        <v>32426</v>
      </c>
      <c r="CV55" s="190">
        <v>37548</v>
      </c>
      <c r="CW55" s="190">
        <v>383</v>
      </c>
      <c r="CX55" s="190">
        <v>1420</v>
      </c>
      <c r="CY55" s="190">
        <v>1803</v>
      </c>
      <c r="CZ55" s="190">
        <v>377</v>
      </c>
      <c r="DA55" s="190">
        <v>5</v>
      </c>
      <c r="DB55" s="190">
        <v>0</v>
      </c>
      <c r="DC55" s="190">
        <v>1387</v>
      </c>
      <c r="DD55" s="190">
        <v>10</v>
      </c>
      <c r="DE55" s="190">
        <v>0</v>
      </c>
      <c r="DF55" s="190">
        <v>382</v>
      </c>
      <c r="DG55" s="190">
        <v>1397</v>
      </c>
      <c r="DH55" s="190">
        <v>1779</v>
      </c>
      <c r="DI55" s="190">
        <v>1</v>
      </c>
      <c r="DJ55" s="190">
        <v>0</v>
      </c>
      <c r="DK55" s="190">
        <v>0</v>
      </c>
      <c r="DL55" s="190">
        <v>23</v>
      </c>
      <c r="DM55" s="190">
        <v>0</v>
      </c>
      <c r="DN55" s="190">
        <v>0</v>
      </c>
      <c r="DO55" s="190">
        <v>1</v>
      </c>
      <c r="DP55" s="190">
        <v>23</v>
      </c>
      <c r="DQ55" s="190">
        <v>24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412</v>
      </c>
      <c r="C56" s="190">
        <v>88</v>
      </c>
      <c r="D56" s="190">
        <v>437</v>
      </c>
      <c r="E56" s="190">
        <v>241</v>
      </c>
      <c r="F56" s="190">
        <v>1</v>
      </c>
      <c r="G56" s="190">
        <v>10</v>
      </c>
      <c r="H56" s="190">
        <v>11</v>
      </c>
      <c r="I56" s="190">
        <v>0</v>
      </c>
      <c r="J56" s="190">
        <v>177</v>
      </c>
      <c r="K56" s="190">
        <v>177</v>
      </c>
      <c r="L56" s="190">
        <v>0</v>
      </c>
      <c r="M56" s="190">
        <v>67</v>
      </c>
      <c r="N56" s="190">
        <v>67</v>
      </c>
      <c r="O56" s="190">
        <v>0</v>
      </c>
      <c r="P56" s="190">
        <v>110</v>
      </c>
      <c r="Q56" s="190">
        <v>110</v>
      </c>
      <c r="R56" s="190">
        <v>0</v>
      </c>
      <c r="S56" s="190">
        <v>2</v>
      </c>
      <c r="T56" s="190">
        <v>2</v>
      </c>
      <c r="U56" s="190">
        <v>0</v>
      </c>
      <c r="V56" s="190">
        <v>19</v>
      </c>
      <c r="W56" s="190">
        <v>19</v>
      </c>
      <c r="X56" s="190">
        <v>7</v>
      </c>
      <c r="Y56" s="190">
        <v>429</v>
      </c>
      <c r="Z56" s="190">
        <v>436</v>
      </c>
      <c r="AA56" s="190">
        <v>5</v>
      </c>
      <c r="AB56" s="190">
        <v>179</v>
      </c>
      <c r="AC56" s="190">
        <v>184</v>
      </c>
      <c r="AD56" s="190">
        <v>4</v>
      </c>
      <c r="AE56" s="190">
        <v>160</v>
      </c>
      <c r="AF56" s="190">
        <v>164</v>
      </c>
      <c r="AG56" s="190">
        <v>0</v>
      </c>
      <c r="AH56" s="190">
        <v>15</v>
      </c>
      <c r="AI56" s="190">
        <v>15</v>
      </c>
      <c r="AJ56" s="190">
        <v>1</v>
      </c>
      <c r="AK56" s="190">
        <v>4</v>
      </c>
      <c r="AL56" s="190">
        <v>5</v>
      </c>
      <c r="AM56" s="190">
        <v>2</v>
      </c>
      <c r="AN56" s="190">
        <v>250</v>
      </c>
      <c r="AO56" s="190">
        <v>252</v>
      </c>
      <c r="AP56" s="190">
        <v>669</v>
      </c>
      <c r="AQ56" s="190">
        <v>4517</v>
      </c>
      <c r="AR56" s="190">
        <v>5186</v>
      </c>
      <c r="AS56" s="190">
        <v>669</v>
      </c>
      <c r="AT56" s="190">
        <v>4517</v>
      </c>
      <c r="AU56" s="190">
        <v>5186</v>
      </c>
      <c r="AV56" s="190">
        <v>0</v>
      </c>
      <c r="AW56" s="190">
        <v>0</v>
      </c>
      <c r="AX56" s="190">
        <v>0</v>
      </c>
      <c r="AY56" s="190">
        <v>41</v>
      </c>
      <c r="AZ56" s="190">
        <v>535</v>
      </c>
      <c r="BA56" s="190">
        <v>576</v>
      </c>
      <c r="BB56" s="190">
        <v>8</v>
      </c>
      <c r="BC56" s="190">
        <v>0</v>
      </c>
      <c r="BD56" s="190">
        <v>0</v>
      </c>
      <c r="BE56" s="190">
        <v>231</v>
      </c>
      <c r="BF56" s="190">
        <v>2</v>
      </c>
      <c r="BG56" s="190">
        <v>0</v>
      </c>
      <c r="BH56" s="190">
        <v>8</v>
      </c>
      <c r="BI56" s="190">
        <v>233</v>
      </c>
      <c r="BJ56" s="190">
        <v>241</v>
      </c>
      <c r="BK56" s="190">
        <v>-10</v>
      </c>
      <c r="BL56" s="190">
        <v>10</v>
      </c>
      <c r="BM56" s="190">
        <v>0</v>
      </c>
      <c r="BN56" s="190">
        <v>5</v>
      </c>
      <c r="BO56" s="190">
        <v>26</v>
      </c>
      <c r="BP56" s="190">
        <v>31</v>
      </c>
      <c r="BQ56" s="190">
        <v>6</v>
      </c>
      <c r="BR56" s="190">
        <v>81</v>
      </c>
      <c r="BS56" s="190">
        <v>87</v>
      </c>
      <c r="BT56" s="190">
        <v>32</v>
      </c>
      <c r="BU56" s="190">
        <v>185</v>
      </c>
      <c r="BV56" s="190">
        <v>217</v>
      </c>
      <c r="BW56" s="190">
        <v>710</v>
      </c>
      <c r="BX56" s="190">
        <v>5052</v>
      </c>
      <c r="BY56" s="190">
        <v>5762</v>
      </c>
      <c r="BZ56" s="190">
        <v>697</v>
      </c>
      <c r="CA56" s="190">
        <v>4988</v>
      </c>
      <c r="CB56" s="190">
        <v>5685</v>
      </c>
      <c r="CC56" s="190">
        <v>13095</v>
      </c>
      <c r="CD56" s="190">
        <v>6</v>
      </c>
      <c r="CE56" s="190">
        <v>69</v>
      </c>
      <c r="CF56" s="190">
        <v>13</v>
      </c>
      <c r="CG56" s="190">
        <v>51</v>
      </c>
      <c r="CH56" s="190">
        <v>64</v>
      </c>
      <c r="CI56" s="190">
        <v>15</v>
      </c>
      <c r="CJ56" s="190">
        <v>3</v>
      </c>
      <c r="CK56" s="190">
        <v>0</v>
      </c>
      <c r="CL56" s="190">
        <v>13</v>
      </c>
      <c r="CM56" s="190">
        <v>13</v>
      </c>
      <c r="CN56" s="190">
        <v>47</v>
      </c>
      <c r="CO56" s="190">
        <v>489</v>
      </c>
      <c r="CP56" s="190">
        <v>536</v>
      </c>
      <c r="CQ56" s="190">
        <v>0</v>
      </c>
      <c r="CR56" s="190">
        <v>0</v>
      </c>
      <c r="CS56" s="190">
        <v>0</v>
      </c>
      <c r="CT56" s="190">
        <v>663</v>
      </c>
      <c r="CU56" s="190">
        <v>4563</v>
      </c>
      <c r="CV56" s="190">
        <v>5226</v>
      </c>
      <c r="CW56" s="190">
        <v>54</v>
      </c>
      <c r="CX56" s="190">
        <v>295</v>
      </c>
      <c r="CY56" s="190">
        <v>349</v>
      </c>
      <c r="CZ56" s="190">
        <v>51</v>
      </c>
      <c r="DA56" s="190">
        <v>1</v>
      </c>
      <c r="DB56" s="190">
        <v>0</v>
      </c>
      <c r="DC56" s="190">
        <v>285</v>
      </c>
      <c r="DD56" s="190">
        <v>3</v>
      </c>
      <c r="DE56" s="190">
        <v>2</v>
      </c>
      <c r="DF56" s="190">
        <v>52</v>
      </c>
      <c r="DG56" s="190">
        <v>290</v>
      </c>
      <c r="DH56" s="190">
        <v>342</v>
      </c>
      <c r="DI56" s="190">
        <v>2</v>
      </c>
      <c r="DJ56" s="190">
        <v>0</v>
      </c>
      <c r="DK56" s="190">
        <v>0</v>
      </c>
      <c r="DL56" s="190">
        <v>4</v>
      </c>
      <c r="DM56" s="190">
        <v>1</v>
      </c>
      <c r="DN56" s="190">
        <v>0</v>
      </c>
      <c r="DO56" s="190">
        <v>2</v>
      </c>
      <c r="DP56" s="190">
        <v>5</v>
      </c>
      <c r="DQ56" s="190">
        <v>7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397</v>
      </c>
      <c r="C57" s="190">
        <v>46</v>
      </c>
      <c r="D57" s="190">
        <v>401</v>
      </c>
      <c r="E57" s="190">
        <v>221</v>
      </c>
      <c r="F57" s="190">
        <v>0</v>
      </c>
      <c r="G57" s="190">
        <v>13</v>
      </c>
      <c r="H57" s="190">
        <v>13</v>
      </c>
      <c r="I57" s="190">
        <v>0</v>
      </c>
      <c r="J57" s="190">
        <v>139</v>
      </c>
      <c r="K57" s="190">
        <v>139</v>
      </c>
      <c r="L57" s="190">
        <v>0</v>
      </c>
      <c r="M57" s="190">
        <v>42</v>
      </c>
      <c r="N57" s="190">
        <v>42</v>
      </c>
      <c r="O57" s="190">
        <v>0</v>
      </c>
      <c r="P57" s="190">
        <v>97</v>
      </c>
      <c r="Q57" s="190">
        <v>97</v>
      </c>
      <c r="R57" s="190">
        <v>0</v>
      </c>
      <c r="S57" s="190">
        <v>1</v>
      </c>
      <c r="T57" s="190">
        <v>1</v>
      </c>
      <c r="U57" s="190">
        <v>0</v>
      </c>
      <c r="V57" s="190">
        <v>41</v>
      </c>
      <c r="W57" s="190">
        <v>41</v>
      </c>
      <c r="X57" s="190">
        <v>3</v>
      </c>
      <c r="Y57" s="190">
        <v>396</v>
      </c>
      <c r="Z57" s="190">
        <v>399</v>
      </c>
      <c r="AA57" s="190">
        <v>1</v>
      </c>
      <c r="AB57" s="190">
        <v>165</v>
      </c>
      <c r="AC57" s="190">
        <v>166</v>
      </c>
      <c r="AD57" s="190">
        <v>1</v>
      </c>
      <c r="AE57" s="190">
        <v>153</v>
      </c>
      <c r="AF57" s="190">
        <v>154</v>
      </c>
      <c r="AG57" s="190">
        <v>0</v>
      </c>
      <c r="AH57" s="190">
        <v>4</v>
      </c>
      <c r="AI57" s="190">
        <v>4</v>
      </c>
      <c r="AJ57" s="190">
        <v>0</v>
      </c>
      <c r="AK57" s="190">
        <v>8</v>
      </c>
      <c r="AL57" s="190">
        <v>8</v>
      </c>
      <c r="AM57" s="190">
        <v>2</v>
      </c>
      <c r="AN57" s="190">
        <v>231</v>
      </c>
      <c r="AO57" s="190">
        <v>233</v>
      </c>
      <c r="AP57" s="190">
        <v>462</v>
      </c>
      <c r="AQ57" s="190">
        <v>3529</v>
      </c>
      <c r="AR57" s="190">
        <v>3991</v>
      </c>
      <c r="AS57" s="190">
        <v>462</v>
      </c>
      <c r="AT57" s="190">
        <v>3529</v>
      </c>
      <c r="AU57" s="190">
        <v>3991</v>
      </c>
      <c r="AV57" s="190">
        <v>0</v>
      </c>
      <c r="AW57" s="190">
        <v>0</v>
      </c>
      <c r="AX57" s="190">
        <v>0</v>
      </c>
      <c r="AY57" s="190">
        <v>9</v>
      </c>
      <c r="AZ57" s="190">
        <v>402</v>
      </c>
      <c r="BA57" s="190">
        <v>411</v>
      </c>
      <c r="BB57" s="190">
        <v>5</v>
      </c>
      <c r="BC57" s="190">
        <v>0</v>
      </c>
      <c r="BD57" s="190">
        <v>0</v>
      </c>
      <c r="BE57" s="190">
        <v>215</v>
      </c>
      <c r="BF57" s="190">
        <v>1</v>
      </c>
      <c r="BG57" s="190">
        <v>0</v>
      </c>
      <c r="BH57" s="190">
        <v>5</v>
      </c>
      <c r="BI57" s="190">
        <v>216</v>
      </c>
      <c r="BJ57" s="190">
        <v>221</v>
      </c>
      <c r="BK57" s="190">
        <v>-10</v>
      </c>
      <c r="BL57" s="190">
        <v>10</v>
      </c>
      <c r="BM57" s="190">
        <v>0</v>
      </c>
      <c r="BN57" s="190">
        <v>5</v>
      </c>
      <c r="BO57" s="190">
        <v>20</v>
      </c>
      <c r="BP57" s="190">
        <v>25</v>
      </c>
      <c r="BQ57" s="190">
        <v>3</v>
      </c>
      <c r="BR57" s="190">
        <v>51</v>
      </c>
      <c r="BS57" s="190">
        <v>54</v>
      </c>
      <c r="BT57" s="190">
        <v>6</v>
      </c>
      <c r="BU57" s="190">
        <v>105</v>
      </c>
      <c r="BV57" s="190">
        <v>111</v>
      </c>
      <c r="BW57" s="190">
        <v>471</v>
      </c>
      <c r="BX57" s="190">
        <v>3931</v>
      </c>
      <c r="BY57" s="190">
        <v>4402</v>
      </c>
      <c r="BZ57" s="190">
        <v>468</v>
      </c>
      <c r="CA57" s="190">
        <v>3912</v>
      </c>
      <c r="CB57" s="190">
        <v>4380</v>
      </c>
      <c r="CC57" s="190">
        <v>9448</v>
      </c>
      <c r="CD57" s="190">
        <v>0</v>
      </c>
      <c r="CE57" s="190">
        <v>19</v>
      </c>
      <c r="CF57" s="190">
        <v>3</v>
      </c>
      <c r="CG57" s="190">
        <v>16</v>
      </c>
      <c r="CH57" s="190">
        <v>19</v>
      </c>
      <c r="CI57" s="190">
        <v>2</v>
      </c>
      <c r="CJ57" s="190">
        <v>2</v>
      </c>
      <c r="CK57" s="190">
        <v>0</v>
      </c>
      <c r="CL57" s="190">
        <v>3</v>
      </c>
      <c r="CM57" s="190">
        <v>3</v>
      </c>
      <c r="CN57" s="190">
        <v>17</v>
      </c>
      <c r="CO57" s="190">
        <v>337</v>
      </c>
      <c r="CP57" s="190">
        <v>354</v>
      </c>
      <c r="CQ57" s="190">
        <v>0</v>
      </c>
      <c r="CR57" s="190">
        <v>6</v>
      </c>
      <c r="CS57" s="190">
        <v>6</v>
      </c>
      <c r="CT57" s="190">
        <v>454</v>
      </c>
      <c r="CU57" s="190">
        <v>3594</v>
      </c>
      <c r="CV57" s="190">
        <v>4048</v>
      </c>
      <c r="CW57" s="190">
        <v>19</v>
      </c>
      <c r="CX57" s="190">
        <v>203</v>
      </c>
      <c r="CY57" s="190">
        <v>222</v>
      </c>
      <c r="CZ57" s="190">
        <v>19</v>
      </c>
      <c r="DA57" s="190">
        <v>0</v>
      </c>
      <c r="DB57" s="190">
        <v>0</v>
      </c>
      <c r="DC57" s="190">
        <v>196</v>
      </c>
      <c r="DD57" s="190">
        <v>1</v>
      </c>
      <c r="DE57" s="190">
        <v>0</v>
      </c>
      <c r="DF57" s="190">
        <v>19</v>
      </c>
      <c r="DG57" s="190">
        <v>197</v>
      </c>
      <c r="DH57" s="190">
        <v>216</v>
      </c>
      <c r="DI57" s="190">
        <v>0</v>
      </c>
      <c r="DJ57" s="190">
        <v>0</v>
      </c>
      <c r="DK57" s="190">
        <v>0</v>
      </c>
      <c r="DL57" s="190">
        <v>6</v>
      </c>
      <c r="DM57" s="190">
        <v>0</v>
      </c>
      <c r="DN57" s="190">
        <v>0</v>
      </c>
      <c r="DO57" s="190">
        <v>0</v>
      </c>
      <c r="DP57" s="190">
        <v>6</v>
      </c>
      <c r="DQ57" s="190">
        <v>6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80</v>
      </c>
      <c r="C58" s="190">
        <v>8</v>
      </c>
      <c r="D58" s="190">
        <v>88</v>
      </c>
      <c r="E58" s="190">
        <v>63</v>
      </c>
      <c r="F58" s="190">
        <v>0</v>
      </c>
      <c r="G58" s="190">
        <v>5</v>
      </c>
      <c r="H58" s="190">
        <v>5</v>
      </c>
      <c r="I58" s="190">
        <v>0</v>
      </c>
      <c r="J58" s="190">
        <v>25</v>
      </c>
      <c r="K58" s="190">
        <v>25</v>
      </c>
      <c r="L58" s="190">
        <v>0</v>
      </c>
      <c r="M58" s="190">
        <v>7</v>
      </c>
      <c r="N58" s="190">
        <v>7</v>
      </c>
      <c r="O58" s="190">
        <v>0</v>
      </c>
      <c r="P58" s="190">
        <v>18</v>
      </c>
      <c r="Q58" s="190">
        <v>18</v>
      </c>
      <c r="R58" s="190">
        <v>0</v>
      </c>
      <c r="S58" s="190">
        <v>0</v>
      </c>
      <c r="T58" s="190">
        <v>0</v>
      </c>
      <c r="U58" s="190">
        <v>0</v>
      </c>
      <c r="V58" s="190">
        <v>0</v>
      </c>
      <c r="W58" s="190">
        <v>0</v>
      </c>
      <c r="X58" s="190">
        <v>1</v>
      </c>
      <c r="Y58" s="190">
        <v>87</v>
      </c>
      <c r="Z58" s="190">
        <v>88</v>
      </c>
      <c r="AA58" s="190">
        <v>0</v>
      </c>
      <c r="AB58" s="190">
        <v>48</v>
      </c>
      <c r="AC58" s="190">
        <v>48</v>
      </c>
      <c r="AD58" s="190">
        <v>0</v>
      </c>
      <c r="AE58" s="190">
        <v>25</v>
      </c>
      <c r="AF58" s="190">
        <v>25</v>
      </c>
      <c r="AG58" s="190">
        <v>0</v>
      </c>
      <c r="AH58" s="190">
        <v>17</v>
      </c>
      <c r="AI58" s="190">
        <v>17</v>
      </c>
      <c r="AJ58" s="190">
        <v>0</v>
      </c>
      <c r="AK58" s="190">
        <v>6</v>
      </c>
      <c r="AL58" s="190">
        <v>6</v>
      </c>
      <c r="AM58" s="190">
        <v>1</v>
      </c>
      <c r="AN58" s="190">
        <v>39</v>
      </c>
      <c r="AO58" s="190">
        <v>40</v>
      </c>
      <c r="AP58" s="190">
        <v>50</v>
      </c>
      <c r="AQ58" s="190">
        <v>835</v>
      </c>
      <c r="AR58" s="190">
        <v>885</v>
      </c>
      <c r="AS58" s="190">
        <v>50</v>
      </c>
      <c r="AT58" s="190">
        <v>835</v>
      </c>
      <c r="AU58" s="190">
        <v>885</v>
      </c>
      <c r="AV58" s="190">
        <v>0</v>
      </c>
      <c r="AW58" s="190">
        <v>0</v>
      </c>
      <c r="AX58" s="190">
        <v>0</v>
      </c>
      <c r="AY58" s="190">
        <v>9</v>
      </c>
      <c r="AZ58" s="190">
        <v>90</v>
      </c>
      <c r="BA58" s="190">
        <v>99</v>
      </c>
      <c r="BB58" s="190">
        <v>2</v>
      </c>
      <c r="BC58" s="190">
        <v>0</v>
      </c>
      <c r="BD58" s="190">
        <v>0</v>
      </c>
      <c r="BE58" s="190">
        <v>61</v>
      </c>
      <c r="BF58" s="190">
        <v>0</v>
      </c>
      <c r="BG58" s="190">
        <v>0</v>
      </c>
      <c r="BH58" s="190">
        <v>2</v>
      </c>
      <c r="BI58" s="190">
        <v>61</v>
      </c>
      <c r="BJ58" s="190">
        <v>63</v>
      </c>
      <c r="BK58" s="190">
        <v>1</v>
      </c>
      <c r="BL58" s="190">
        <v>-1</v>
      </c>
      <c r="BM58" s="190">
        <v>0</v>
      </c>
      <c r="BN58" s="190">
        <v>2</v>
      </c>
      <c r="BO58" s="190">
        <v>0</v>
      </c>
      <c r="BP58" s="190">
        <v>2</v>
      </c>
      <c r="BQ58" s="190">
        <v>1</v>
      </c>
      <c r="BR58" s="190">
        <v>16</v>
      </c>
      <c r="BS58" s="190">
        <v>17</v>
      </c>
      <c r="BT58" s="190">
        <v>3</v>
      </c>
      <c r="BU58" s="190">
        <v>14</v>
      </c>
      <c r="BV58" s="190">
        <v>17</v>
      </c>
      <c r="BW58" s="190">
        <v>59</v>
      </c>
      <c r="BX58" s="190">
        <v>925</v>
      </c>
      <c r="BY58" s="190">
        <v>984</v>
      </c>
      <c r="BZ58" s="190">
        <v>59</v>
      </c>
      <c r="CA58" s="190">
        <v>924</v>
      </c>
      <c r="CB58" s="190">
        <v>983</v>
      </c>
      <c r="CC58" s="190">
        <v>1733</v>
      </c>
      <c r="CD58" s="190">
        <v>0</v>
      </c>
      <c r="CE58" s="190">
        <v>1</v>
      </c>
      <c r="CF58" s="190">
        <v>0</v>
      </c>
      <c r="CG58" s="190">
        <v>1</v>
      </c>
      <c r="CH58" s="190">
        <v>1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3</v>
      </c>
      <c r="CO58" s="190">
        <v>78</v>
      </c>
      <c r="CP58" s="190">
        <v>81</v>
      </c>
      <c r="CQ58" s="190">
        <v>0</v>
      </c>
      <c r="CR58" s="190">
        <v>0</v>
      </c>
      <c r="CS58" s="190">
        <v>0</v>
      </c>
      <c r="CT58" s="190">
        <v>56</v>
      </c>
      <c r="CU58" s="190">
        <v>847</v>
      </c>
      <c r="CV58" s="190">
        <v>903</v>
      </c>
      <c r="CW58" s="190">
        <v>11</v>
      </c>
      <c r="CX58" s="190">
        <v>43</v>
      </c>
      <c r="CY58" s="190">
        <v>54</v>
      </c>
      <c r="CZ58" s="190">
        <v>11</v>
      </c>
      <c r="DA58" s="190">
        <v>0</v>
      </c>
      <c r="DB58" s="190">
        <v>0</v>
      </c>
      <c r="DC58" s="190">
        <v>42</v>
      </c>
      <c r="DD58" s="190">
        <v>0</v>
      </c>
      <c r="DE58" s="190">
        <v>0</v>
      </c>
      <c r="DF58" s="190">
        <v>11</v>
      </c>
      <c r="DG58" s="190">
        <v>42</v>
      </c>
      <c r="DH58" s="190">
        <v>53</v>
      </c>
      <c r="DI58" s="190">
        <v>0</v>
      </c>
      <c r="DJ58" s="190">
        <v>0</v>
      </c>
      <c r="DK58" s="190">
        <v>0</v>
      </c>
      <c r="DL58" s="190">
        <v>1</v>
      </c>
      <c r="DM58" s="190">
        <v>0</v>
      </c>
      <c r="DN58" s="190">
        <v>0</v>
      </c>
      <c r="DO58" s="190">
        <v>0</v>
      </c>
      <c r="DP58" s="190">
        <v>1</v>
      </c>
      <c r="DQ58" s="190">
        <v>1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2209</v>
      </c>
      <c r="C59" s="190">
        <v>298</v>
      </c>
      <c r="D59" s="190">
        <v>2316</v>
      </c>
      <c r="E59" s="190">
        <v>1806</v>
      </c>
      <c r="F59" s="190">
        <v>3</v>
      </c>
      <c r="G59" s="190">
        <v>26</v>
      </c>
      <c r="H59" s="190">
        <v>29</v>
      </c>
      <c r="I59" s="190">
        <v>2</v>
      </c>
      <c r="J59" s="190">
        <v>440</v>
      </c>
      <c r="K59" s="190">
        <v>442</v>
      </c>
      <c r="L59" s="190">
        <v>1</v>
      </c>
      <c r="M59" s="190">
        <v>415</v>
      </c>
      <c r="N59" s="190">
        <v>416</v>
      </c>
      <c r="O59" s="190">
        <v>1</v>
      </c>
      <c r="P59" s="190">
        <v>25</v>
      </c>
      <c r="Q59" s="190">
        <v>26</v>
      </c>
      <c r="R59" s="190">
        <v>0</v>
      </c>
      <c r="S59" s="190">
        <v>28</v>
      </c>
      <c r="T59" s="190">
        <v>28</v>
      </c>
      <c r="U59" s="190">
        <v>0</v>
      </c>
      <c r="V59" s="190">
        <v>68</v>
      </c>
      <c r="W59" s="190">
        <v>68</v>
      </c>
      <c r="X59" s="190">
        <v>39</v>
      </c>
      <c r="Y59" s="190">
        <v>1440</v>
      </c>
      <c r="Z59" s="190">
        <v>1479</v>
      </c>
      <c r="AA59" s="190">
        <v>11</v>
      </c>
      <c r="AB59" s="190">
        <v>732</v>
      </c>
      <c r="AC59" s="190">
        <v>743</v>
      </c>
      <c r="AD59" s="190">
        <v>10</v>
      </c>
      <c r="AE59" s="190">
        <v>696</v>
      </c>
      <c r="AF59" s="190">
        <v>706</v>
      </c>
      <c r="AG59" s="190">
        <v>0</v>
      </c>
      <c r="AH59" s="190">
        <v>35</v>
      </c>
      <c r="AI59" s="190">
        <v>35</v>
      </c>
      <c r="AJ59" s="190">
        <v>1</v>
      </c>
      <c r="AK59" s="190">
        <v>1</v>
      </c>
      <c r="AL59" s="190">
        <v>2</v>
      </c>
      <c r="AM59" s="190">
        <v>28</v>
      </c>
      <c r="AN59" s="190">
        <v>708</v>
      </c>
      <c r="AO59" s="190">
        <v>736</v>
      </c>
      <c r="AP59" s="190">
        <v>7213</v>
      </c>
      <c r="AQ59" s="190">
        <v>41357</v>
      </c>
      <c r="AR59" s="190">
        <v>48570</v>
      </c>
      <c r="AS59" s="190">
        <v>7589</v>
      </c>
      <c r="AT59" s="190">
        <v>44677</v>
      </c>
      <c r="AU59" s="190">
        <v>52266</v>
      </c>
      <c r="AV59" s="190">
        <v>-376</v>
      </c>
      <c r="AW59" s="190">
        <v>-3320</v>
      </c>
      <c r="AX59" s="190">
        <v>-3696</v>
      </c>
      <c r="AY59" s="190">
        <v>271</v>
      </c>
      <c r="AZ59" s="190">
        <v>4012</v>
      </c>
      <c r="BA59" s="190">
        <v>4283</v>
      </c>
      <c r="BB59" s="190">
        <v>129</v>
      </c>
      <c r="BC59" s="190">
        <v>3</v>
      </c>
      <c r="BD59" s="190">
        <v>0</v>
      </c>
      <c r="BE59" s="190">
        <v>1639</v>
      </c>
      <c r="BF59" s="190">
        <v>26</v>
      </c>
      <c r="BG59" s="190">
        <v>9</v>
      </c>
      <c r="BH59" s="190">
        <v>132</v>
      </c>
      <c r="BI59" s="190">
        <v>1674</v>
      </c>
      <c r="BJ59" s="190">
        <v>1806</v>
      </c>
      <c r="BK59" s="190">
        <v>-125</v>
      </c>
      <c r="BL59" s="190">
        <v>125</v>
      </c>
      <c r="BM59" s="190">
        <v>0</v>
      </c>
      <c r="BN59" s="190">
        <v>15</v>
      </c>
      <c r="BO59" s="190">
        <v>66</v>
      </c>
      <c r="BP59" s="190">
        <v>81</v>
      </c>
      <c r="BQ59" s="190">
        <v>38</v>
      </c>
      <c r="BR59" s="190">
        <v>610</v>
      </c>
      <c r="BS59" s="190">
        <v>648</v>
      </c>
      <c r="BT59" s="190">
        <v>211</v>
      </c>
      <c r="BU59" s="190">
        <v>1537</v>
      </c>
      <c r="BV59" s="190">
        <v>1748</v>
      </c>
      <c r="BW59" s="190">
        <v>7484</v>
      </c>
      <c r="BX59" s="190">
        <v>45369</v>
      </c>
      <c r="BY59" s="190">
        <v>52853</v>
      </c>
      <c r="BZ59" s="190">
        <v>7419</v>
      </c>
      <c r="CA59" s="190">
        <v>44374</v>
      </c>
      <c r="CB59" s="190">
        <v>51793</v>
      </c>
      <c r="CC59" s="190">
        <v>121936</v>
      </c>
      <c r="CD59" s="190">
        <v>157</v>
      </c>
      <c r="CE59" s="190">
        <v>978</v>
      </c>
      <c r="CF59" s="190">
        <v>65</v>
      </c>
      <c r="CG59" s="190">
        <v>792</v>
      </c>
      <c r="CH59" s="190">
        <v>857</v>
      </c>
      <c r="CI59" s="190">
        <v>253</v>
      </c>
      <c r="CJ59" s="190">
        <v>2</v>
      </c>
      <c r="CK59" s="190">
        <v>0</v>
      </c>
      <c r="CL59" s="190">
        <v>203</v>
      </c>
      <c r="CM59" s="190">
        <v>203</v>
      </c>
      <c r="CN59" s="190">
        <v>301</v>
      </c>
      <c r="CO59" s="190">
        <v>3208</v>
      </c>
      <c r="CP59" s="190">
        <v>3509</v>
      </c>
      <c r="CQ59" s="190">
        <v>0</v>
      </c>
      <c r="CR59" s="190">
        <v>0</v>
      </c>
      <c r="CS59" s="190">
        <v>0</v>
      </c>
      <c r="CT59" s="190">
        <v>7183</v>
      </c>
      <c r="CU59" s="190">
        <v>42161</v>
      </c>
      <c r="CV59" s="190">
        <v>49344</v>
      </c>
      <c r="CW59" s="190">
        <v>542</v>
      </c>
      <c r="CX59" s="190">
        <v>2358</v>
      </c>
      <c r="CY59" s="190">
        <v>2900</v>
      </c>
      <c r="CZ59" s="190">
        <v>535</v>
      </c>
      <c r="DA59" s="190">
        <v>5</v>
      </c>
      <c r="DB59" s="190">
        <v>0</v>
      </c>
      <c r="DC59" s="190">
        <v>2247</v>
      </c>
      <c r="DD59" s="190">
        <v>33</v>
      </c>
      <c r="DE59" s="190">
        <v>8</v>
      </c>
      <c r="DF59" s="190">
        <v>540</v>
      </c>
      <c r="DG59" s="190">
        <v>2288</v>
      </c>
      <c r="DH59" s="190">
        <v>2828</v>
      </c>
      <c r="DI59" s="190">
        <v>2</v>
      </c>
      <c r="DJ59" s="190">
        <v>0</v>
      </c>
      <c r="DK59" s="190">
        <v>0</v>
      </c>
      <c r="DL59" s="190">
        <v>67</v>
      </c>
      <c r="DM59" s="190">
        <v>3</v>
      </c>
      <c r="DN59" s="190">
        <v>0</v>
      </c>
      <c r="DO59" s="190">
        <v>2</v>
      </c>
      <c r="DP59" s="190">
        <v>70</v>
      </c>
      <c r="DQ59" s="190">
        <v>72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231</v>
      </c>
      <c r="C60" s="190">
        <v>36</v>
      </c>
      <c r="D60" s="190">
        <v>243</v>
      </c>
      <c r="E60" s="190">
        <v>151</v>
      </c>
      <c r="F60" s="190">
        <v>0</v>
      </c>
      <c r="G60" s="190">
        <v>6</v>
      </c>
      <c r="H60" s="190">
        <v>6</v>
      </c>
      <c r="I60" s="190">
        <v>0</v>
      </c>
      <c r="J60" s="190">
        <v>83</v>
      </c>
      <c r="K60" s="190">
        <v>83</v>
      </c>
      <c r="L60" s="190">
        <v>0</v>
      </c>
      <c r="M60" s="190">
        <v>24</v>
      </c>
      <c r="N60" s="190">
        <v>24</v>
      </c>
      <c r="O60" s="190">
        <v>0</v>
      </c>
      <c r="P60" s="190">
        <v>59</v>
      </c>
      <c r="Q60" s="190">
        <v>59</v>
      </c>
      <c r="R60" s="190">
        <v>0</v>
      </c>
      <c r="S60" s="190">
        <v>1</v>
      </c>
      <c r="T60" s="190">
        <v>1</v>
      </c>
      <c r="U60" s="190">
        <v>0</v>
      </c>
      <c r="V60" s="190">
        <v>9</v>
      </c>
      <c r="W60" s="190">
        <v>9</v>
      </c>
      <c r="X60" s="190">
        <v>6</v>
      </c>
      <c r="Y60" s="190">
        <v>237</v>
      </c>
      <c r="Z60" s="190">
        <v>243</v>
      </c>
      <c r="AA60" s="190">
        <v>3</v>
      </c>
      <c r="AB60" s="190">
        <v>99</v>
      </c>
      <c r="AC60" s="190">
        <v>102</v>
      </c>
      <c r="AD60" s="190">
        <v>3</v>
      </c>
      <c r="AE60" s="190">
        <v>98</v>
      </c>
      <c r="AF60" s="190">
        <v>101</v>
      </c>
      <c r="AG60" s="190">
        <v>0</v>
      </c>
      <c r="AH60" s="190">
        <v>0</v>
      </c>
      <c r="AI60" s="190">
        <v>0</v>
      </c>
      <c r="AJ60" s="190">
        <v>0</v>
      </c>
      <c r="AK60" s="190">
        <v>1</v>
      </c>
      <c r="AL60" s="190">
        <v>1</v>
      </c>
      <c r="AM60" s="190">
        <v>3</v>
      </c>
      <c r="AN60" s="190">
        <v>138</v>
      </c>
      <c r="AO60" s="190">
        <v>141</v>
      </c>
      <c r="AP60" s="190">
        <v>252</v>
      </c>
      <c r="AQ60" s="190">
        <v>2477</v>
      </c>
      <c r="AR60" s="190">
        <v>2729</v>
      </c>
      <c r="AS60" s="190">
        <v>252</v>
      </c>
      <c r="AT60" s="190">
        <v>2477</v>
      </c>
      <c r="AU60" s="190">
        <v>2729</v>
      </c>
      <c r="AV60" s="190">
        <v>0</v>
      </c>
      <c r="AW60" s="190">
        <v>0</v>
      </c>
      <c r="AX60" s="190">
        <v>0</v>
      </c>
      <c r="AY60" s="190">
        <v>28</v>
      </c>
      <c r="AZ60" s="190">
        <v>243</v>
      </c>
      <c r="BA60" s="190">
        <v>271</v>
      </c>
      <c r="BB60" s="190">
        <v>9</v>
      </c>
      <c r="BC60" s="190">
        <v>0</v>
      </c>
      <c r="BD60" s="190">
        <v>0</v>
      </c>
      <c r="BE60" s="190">
        <v>142</v>
      </c>
      <c r="BF60" s="190">
        <v>0</v>
      </c>
      <c r="BG60" s="190">
        <v>0</v>
      </c>
      <c r="BH60" s="190">
        <v>9</v>
      </c>
      <c r="BI60" s="190">
        <v>142</v>
      </c>
      <c r="BJ60" s="190">
        <v>151</v>
      </c>
      <c r="BK60" s="190">
        <v>6</v>
      </c>
      <c r="BL60" s="190">
        <v>-6</v>
      </c>
      <c r="BM60" s="190">
        <v>0</v>
      </c>
      <c r="BN60" s="190">
        <v>3</v>
      </c>
      <c r="BO60" s="190">
        <v>6</v>
      </c>
      <c r="BP60" s="190">
        <v>9</v>
      </c>
      <c r="BQ60" s="190">
        <v>2</v>
      </c>
      <c r="BR60" s="190">
        <v>50</v>
      </c>
      <c r="BS60" s="190">
        <v>52</v>
      </c>
      <c r="BT60" s="190">
        <v>8</v>
      </c>
      <c r="BU60" s="190">
        <v>51</v>
      </c>
      <c r="BV60" s="190">
        <v>59</v>
      </c>
      <c r="BW60" s="190">
        <v>280</v>
      </c>
      <c r="BX60" s="190">
        <v>2720</v>
      </c>
      <c r="BY60" s="190">
        <v>3000</v>
      </c>
      <c r="BZ60" s="190">
        <v>279</v>
      </c>
      <c r="CA60" s="190">
        <v>2715</v>
      </c>
      <c r="CB60" s="190">
        <v>2994</v>
      </c>
      <c r="CC60" s="190">
        <v>5250</v>
      </c>
      <c r="CD60" s="190">
        <v>2</v>
      </c>
      <c r="CE60" s="190">
        <v>3</v>
      </c>
      <c r="CF60" s="190">
        <v>1</v>
      </c>
      <c r="CG60" s="190">
        <v>3</v>
      </c>
      <c r="CH60" s="190">
        <v>4</v>
      </c>
      <c r="CI60" s="190">
        <v>4</v>
      </c>
      <c r="CJ60" s="190">
        <v>0</v>
      </c>
      <c r="CK60" s="190">
        <v>0</v>
      </c>
      <c r="CL60" s="190">
        <v>2</v>
      </c>
      <c r="CM60" s="190">
        <v>2</v>
      </c>
      <c r="CN60" s="190">
        <v>17</v>
      </c>
      <c r="CO60" s="190">
        <v>255</v>
      </c>
      <c r="CP60" s="190">
        <v>272</v>
      </c>
      <c r="CQ60" s="190">
        <v>13</v>
      </c>
      <c r="CR60" s="190">
        <v>198</v>
      </c>
      <c r="CS60" s="190">
        <v>211</v>
      </c>
      <c r="CT60" s="190">
        <v>263</v>
      </c>
      <c r="CU60" s="190">
        <v>2465</v>
      </c>
      <c r="CV60" s="190">
        <v>2728</v>
      </c>
      <c r="CW60" s="190">
        <v>15</v>
      </c>
      <c r="CX60" s="190">
        <v>145</v>
      </c>
      <c r="CY60" s="190">
        <v>160</v>
      </c>
      <c r="CZ60" s="190">
        <v>15</v>
      </c>
      <c r="DA60" s="190">
        <v>0</v>
      </c>
      <c r="DB60" s="190">
        <v>0</v>
      </c>
      <c r="DC60" s="190">
        <v>143</v>
      </c>
      <c r="DD60" s="190">
        <v>0</v>
      </c>
      <c r="DE60" s="190">
        <v>0</v>
      </c>
      <c r="DF60" s="190">
        <v>15</v>
      </c>
      <c r="DG60" s="190">
        <v>143</v>
      </c>
      <c r="DH60" s="190">
        <v>158</v>
      </c>
      <c r="DI60" s="190">
        <v>0</v>
      </c>
      <c r="DJ60" s="190">
        <v>0</v>
      </c>
      <c r="DK60" s="190">
        <v>0</v>
      </c>
      <c r="DL60" s="190">
        <v>2</v>
      </c>
      <c r="DM60" s="190">
        <v>0</v>
      </c>
      <c r="DN60" s="190">
        <v>0</v>
      </c>
      <c r="DO60" s="190">
        <v>0</v>
      </c>
      <c r="DP60" s="190">
        <v>2</v>
      </c>
      <c r="DQ60" s="190">
        <v>2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2684</v>
      </c>
      <c r="C61" s="190">
        <v>378</v>
      </c>
      <c r="D61" s="190">
        <v>2151</v>
      </c>
      <c r="E61" s="190">
        <v>1426</v>
      </c>
      <c r="F61" s="190">
        <v>1</v>
      </c>
      <c r="G61" s="190">
        <v>17</v>
      </c>
      <c r="H61" s="190">
        <v>18</v>
      </c>
      <c r="I61" s="190">
        <v>2</v>
      </c>
      <c r="J61" s="190">
        <v>625</v>
      </c>
      <c r="K61" s="190">
        <v>627</v>
      </c>
      <c r="L61" s="190">
        <v>0</v>
      </c>
      <c r="M61" s="190">
        <v>208</v>
      </c>
      <c r="N61" s="190">
        <v>208</v>
      </c>
      <c r="O61" s="190">
        <v>2</v>
      </c>
      <c r="P61" s="190">
        <v>417</v>
      </c>
      <c r="Q61" s="190">
        <v>419</v>
      </c>
      <c r="R61" s="190">
        <v>0</v>
      </c>
      <c r="S61" s="190">
        <v>37</v>
      </c>
      <c r="T61" s="190">
        <v>37</v>
      </c>
      <c r="U61" s="190">
        <v>0</v>
      </c>
      <c r="V61" s="190">
        <v>98</v>
      </c>
      <c r="W61" s="190">
        <v>98</v>
      </c>
      <c r="X61" s="190">
        <v>28</v>
      </c>
      <c r="Y61" s="190">
        <v>1463</v>
      </c>
      <c r="Z61" s="190">
        <v>1491</v>
      </c>
      <c r="AA61" s="190">
        <v>19</v>
      </c>
      <c r="AB61" s="190">
        <v>846</v>
      </c>
      <c r="AC61" s="190">
        <v>865</v>
      </c>
      <c r="AD61" s="190">
        <v>19</v>
      </c>
      <c r="AE61" s="190">
        <v>811</v>
      </c>
      <c r="AF61" s="190">
        <v>830</v>
      </c>
      <c r="AG61" s="190">
        <v>0</v>
      </c>
      <c r="AH61" s="190">
        <v>16</v>
      </c>
      <c r="AI61" s="190">
        <v>16</v>
      </c>
      <c r="AJ61" s="190">
        <v>0</v>
      </c>
      <c r="AK61" s="190">
        <v>19</v>
      </c>
      <c r="AL61" s="190">
        <v>19</v>
      </c>
      <c r="AM61" s="190">
        <v>9</v>
      </c>
      <c r="AN61" s="190">
        <v>617</v>
      </c>
      <c r="AO61" s="190">
        <v>626</v>
      </c>
      <c r="AP61" s="190">
        <v>2685</v>
      </c>
      <c r="AQ61" s="190">
        <v>30464</v>
      </c>
      <c r="AR61" s="190">
        <v>33149</v>
      </c>
      <c r="AS61" s="190">
        <v>2701</v>
      </c>
      <c r="AT61" s="190">
        <v>30308</v>
      </c>
      <c r="AU61" s="190">
        <v>33009</v>
      </c>
      <c r="AV61" s="190">
        <v>-16</v>
      </c>
      <c r="AW61" s="190">
        <v>156</v>
      </c>
      <c r="AX61" s="190">
        <v>140</v>
      </c>
      <c r="AY61" s="190">
        <v>112</v>
      </c>
      <c r="AZ61" s="190">
        <v>3343</v>
      </c>
      <c r="BA61" s="190">
        <v>3455</v>
      </c>
      <c r="BB61" s="190">
        <v>67</v>
      </c>
      <c r="BC61" s="190">
        <v>0</v>
      </c>
      <c r="BD61" s="190">
        <v>0</v>
      </c>
      <c r="BE61" s="190">
        <v>1324</v>
      </c>
      <c r="BF61" s="190">
        <v>24</v>
      </c>
      <c r="BG61" s="190">
        <v>11</v>
      </c>
      <c r="BH61" s="190">
        <v>67</v>
      </c>
      <c r="BI61" s="190">
        <v>1359</v>
      </c>
      <c r="BJ61" s="190">
        <v>1426</v>
      </c>
      <c r="BK61" s="190">
        <v>-73</v>
      </c>
      <c r="BL61" s="190">
        <v>73</v>
      </c>
      <c r="BM61" s="190">
        <v>0</v>
      </c>
      <c r="BN61" s="190">
        <v>2</v>
      </c>
      <c r="BO61" s="190">
        <v>29</v>
      </c>
      <c r="BP61" s="190">
        <v>31</v>
      </c>
      <c r="BQ61" s="190">
        <v>28</v>
      </c>
      <c r="BR61" s="190">
        <v>522</v>
      </c>
      <c r="BS61" s="190">
        <v>550</v>
      </c>
      <c r="BT61" s="190">
        <v>88</v>
      </c>
      <c r="BU61" s="190">
        <v>1360</v>
      </c>
      <c r="BV61" s="190">
        <v>1448</v>
      </c>
      <c r="BW61" s="190">
        <v>2797</v>
      </c>
      <c r="BX61" s="190">
        <v>33807</v>
      </c>
      <c r="BY61" s="190">
        <v>36604</v>
      </c>
      <c r="BZ61" s="190">
        <v>2775</v>
      </c>
      <c r="CA61" s="190">
        <v>33274</v>
      </c>
      <c r="CB61" s="190">
        <v>36049</v>
      </c>
      <c r="CC61" s="190">
        <v>73511</v>
      </c>
      <c r="CD61" s="190">
        <v>55</v>
      </c>
      <c r="CE61" s="190">
        <v>589</v>
      </c>
      <c r="CF61" s="190">
        <v>22</v>
      </c>
      <c r="CG61" s="190">
        <v>324</v>
      </c>
      <c r="CH61" s="190">
        <v>346</v>
      </c>
      <c r="CI61" s="190">
        <v>281</v>
      </c>
      <c r="CJ61" s="190">
        <v>0</v>
      </c>
      <c r="CK61" s="190">
        <v>0</v>
      </c>
      <c r="CL61" s="190">
        <v>209</v>
      </c>
      <c r="CM61" s="190">
        <v>209</v>
      </c>
      <c r="CN61" s="190">
        <v>114</v>
      </c>
      <c r="CO61" s="190">
        <v>2976</v>
      </c>
      <c r="CP61" s="190">
        <v>3090</v>
      </c>
      <c r="CQ61" s="190">
        <v>0</v>
      </c>
      <c r="CR61" s="190">
        <v>0</v>
      </c>
      <c r="CS61" s="190">
        <v>0</v>
      </c>
      <c r="CT61" s="190">
        <v>2683</v>
      </c>
      <c r="CU61" s="190">
        <v>30831</v>
      </c>
      <c r="CV61" s="190">
        <v>33514</v>
      </c>
      <c r="CW61" s="190">
        <v>212</v>
      </c>
      <c r="CX61" s="190">
        <v>1641</v>
      </c>
      <c r="CY61" s="190">
        <v>1853</v>
      </c>
      <c r="CZ61" s="190">
        <v>210</v>
      </c>
      <c r="DA61" s="190">
        <v>1</v>
      </c>
      <c r="DB61" s="190">
        <v>0</v>
      </c>
      <c r="DC61" s="190">
        <v>1561</v>
      </c>
      <c r="DD61" s="190">
        <v>15</v>
      </c>
      <c r="DE61" s="190">
        <v>8</v>
      </c>
      <c r="DF61" s="190">
        <v>211</v>
      </c>
      <c r="DG61" s="190">
        <v>1584</v>
      </c>
      <c r="DH61" s="190">
        <v>1795</v>
      </c>
      <c r="DI61" s="190">
        <v>1</v>
      </c>
      <c r="DJ61" s="190">
        <v>0</v>
      </c>
      <c r="DK61" s="190">
        <v>0</v>
      </c>
      <c r="DL61" s="190">
        <v>56</v>
      </c>
      <c r="DM61" s="190">
        <v>1</v>
      </c>
      <c r="DN61" s="190">
        <v>0</v>
      </c>
      <c r="DO61" s="190">
        <v>1</v>
      </c>
      <c r="DP61" s="190">
        <v>57</v>
      </c>
      <c r="DQ61" s="190">
        <v>58</v>
      </c>
      <c r="DR61" s="190">
        <v>0</v>
      </c>
      <c r="DS61" s="190">
        <v>1</v>
      </c>
      <c r="DT61" s="191">
        <v>1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723</v>
      </c>
      <c r="C62" s="190">
        <v>21</v>
      </c>
      <c r="D62" s="190">
        <v>772</v>
      </c>
      <c r="E62" s="190">
        <v>511</v>
      </c>
      <c r="F62" s="190">
        <v>6</v>
      </c>
      <c r="G62" s="190">
        <v>42</v>
      </c>
      <c r="H62" s="190">
        <v>48</v>
      </c>
      <c r="I62" s="190">
        <v>0</v>
      </c>
      <c r="J62" s="190">
        <v>229</v>
      </c>
      <c r="K62" s="190">
        <v>229</v>
      </c>
      <c r="L62" s="190">
        <v>0</v>
      </c>
      <c r="M62" s="190">
        <v>65</v>
      </c>
      <c r="N62" s="190">
        <v>65</v>
      </c>
      <c r="O62" s="190">
        <v>0</v>
      </c>
      <c r="P62" s="190">
        <v>164</v>
      </c>
      <c r="Q62" s="190">
        <v>164</v>
      </c>
      <c r="R62" s="190">
        <v>0</v>
      </c>
      <c r="S62" s="190">
        <v>41</v>
      </c>
      <c r="T62" s="190">
        <v>41</v>
      </c>
      <c r="U62" s="190">
        <v>0</v>
      </c>
      <c r="V62" s="190">
        <v>32</v>
      </c>
      <c r="W62" s="190">
        <v>32</v>
      </c>
      <c r="X62" s="190">
        <v>5</v>
      </c>
      <c r="Y62" s="190">
        <v>230</v>
      </c>
      <c r="Z62" s="190">
        <v>235</v>
      </c>
      <c r="AA62" s="190">
        <v>5</v>
      </c>
      <c r="AB62" s="190">
        <v>230</v>
      </c>
      <c r="AC62" s="190">
        <v>235</v>
      </c>
      <c r="AD62" s="190">
        <v>5</v>
      </c>
      <c r="AE62" s="190">
        <v>217</v>
      </c>
      <c r="AF62" s="190">
        <v>222</v>
      </c>
      <c r="AG62" s="190">
        <v>0</v>
      </c>
      <c r="AH62" s="190">
        <v>8</v>
      </c>
      <c r="AI62" s="190">
        <v>8</v>
      </c>
      <c r="AJ62" s="190">
        <v>0</v>
      </c>
      <c r="AK62" s="190">
        <v>5</v>
      </c>
      <c r="AL62" s="190">
        <v>5</v>
      </c>
      <c r="AM62" s="190">
        <v>0</v>
      </c>
      <c r="AN62" s="190">
        <v>0</v>
      </c>
      <c r="AO62" s="190">
        <v>0</v>
      </c>
      <c r="AP62" s="190">
        <v>770</v>
      </c>
      <c r="AQ62" s="190">
        <v>8137</v>
      </c>
      <c r="AR62" s="190">
        <v>8907</v>
      </c>
      <c r="AS62" s="190">
        <v>779</v>
      </c>
      <c r="AT62" s="190">
        <v>8205</v>
      </c>
      <c r="AU62" s="190">
        <v>8984</v>
      </c>
      <c r="AV62" s="190">
        <v>-9</v>
      </c>
      <c r="AW62" s="190">
        <v>-68</v>
      </c>
      <c r="AX62" s="190">
        <v>-77</v>
      </c>
      <c r="AY62" s="190">
        <v>78</v>
      </c>
      <c r="AZ62" s="190">
        <v>1097</v>
      </c>
      <c r="BA62" s="190">
        <v>1175</v>
      </c>
      <c r="BB62" s="190">
        <v>32</v>
      </c>
      <c r="BC62" s="190">
        <v>3</v>
      </c>
      <c r="BD62" s="190">
        <v>0</v>
      </c>
      <c r="BE62" s="190">
        <v>464</v>
      </c>
      <c r="BF62" s="190">
        <v>7</v>
      </c>
      <c r="BG62" s="190">
        <v>5</v>
      </c>
      <c r="BH62" s="190">
        <v>35</v>
      </c>
      <c r="BI62" s="190">
        <v>476</v>
      </c>
      <c r="BJ62" s="190">
        <v>511</v>
      </c>
      <c r="BK62" s="190">
        <v>-19</v>
      </c>
      <c r="BL62" s="190">
        <v>19</v>
      </c>
      <c r="BM62" s="190">
        <v>0</v>
      </c>
      <c r="BN62" s="190">
        <v>6</v>
      </c>
      <c r="BO62" s="190">
        <v>13</v>
      </c>
      <c r="BP62" s="190">
        <v>19</v>
      </c>
      <c r="BQ62" s="190">
        <v>10</v>
      </c>
      <c r="BR62" s="190">
        <v>143</v>
      </c>
      <c r="BS62" s="190">
        <v>153</v>
      </c>
      <c r="BT62" s="190">
        <v>46</v>
      </c>
      <c r="BU62" s="190">
        <v>446</v>
      </c>
      <c r="BV62" s="190">
        <v>492</v>
      </c>
      <c r="BW62" s="190">
        <v>848</v>
      </c>
      <c r="BX62" s="190">
        <v>9234</v>
      </c>
      <c r="BY62" s="190">
        <v>10082</v>
      </c>
      <c r="BZ62" s="190">
        <v>805</v>
      </c>
      <c r="CA62" s="190">
        <v>9020</v>
      </c>
      <c r="CB62" s="190">
        <v>9825</v>
      </c>
      <c r="CC62" s="190">
        <v>19223</v>
      </c>
      <c r="CD62" s="190">
        <v>9</v>
      </c>
      <c r="CE62" s="190">
        <v>273</v>
      </c>
      <c r="CF62" s="190">
        <v>41</v>
      </c>
      <c r="CG62" s="190">
        <v>149</v>
      </c>
      <c r="CH62" s="190">
        <v>190</v>
      </c>
      <c r="CI62" s="190">
        <v>100</v>
      </c>
      <c r="CJ62" s="190">
        <v>0</v>
      </c>
      <c r="CK62" s="190">
        <v>2</v>
      </c>
      <c r="CL62" s="190">
        <v>65</v>
      </c>
      <c r="CM62" s="190">
        <v>67</v>
      </c>
      <c r="CN62" s="190">
        <v>41</v>
      </c>
      <c r="CO62" s="190">
        <v>857</v>
      </c>
      <c r="CP62" s="190">
        <v>898</v>
      </c>
      <c r="CQ62" s="190">
        <v>0</v>
      </c>
      <c r="CR62" s="190">
        <v>0</v>
      </c>
      <c r="CS62" s="190">
        <v>0</v>
      </c>
      <c r="CT62" s="190">
        <v>807</v>
      </c>
      <c r="CU62" s="190">
        <v>8377</v>
      </c>
      <c r="CV62" s="190">
        <v>9184</v>
      </c>
      <c r="CW62" s="190">
        <v>63</v>
      </c>
      <c r="CX62" s="190">
        <v>504</v>
      </c>
      <c r="CY62" s="190">
        <v>567</v>
      </c>
      <c r="CZ62" s="190">
        <v>58</v>
      </c>
      <c r="DA62" s="190">
        <v>2</v>
      </c>
      <c r="DB62" s="190">
        <v>0</v>
      </c>
      <c r="DC62" s="190">
        <v>435</v>
      </c>
      <c r="DD62" s="190">
        <v>8</v>
      </c>
      <c r="DE62" s="190">
        <v>2</v>
      </c>
      <c r="DF62" s="190">
        <v>60</v>
      </c>
      <c r="DG62" s="190">
        <v>445</v>
      </c>
      <c r="DH62" s="190">
        <v>505</v>
      </c>
      <c r="DI62" s="190">
        <v>3</v>
      </c>
      <c r="DJ62" s="190">
        <v>0</v>
      </c>
      <c r="DK62" s="190">
        <v>0</v>
      </c>
      <c r="DL62" s="190">
        <v>56</v>
      </c>
      <c r="DM62" s="190">
        <v>2</v>
      </c>
      <c r="DN62" s="190">
        <v>1</v>
      </c>
      <c r="DO62" s="190">
        <v>3</v>
      </c>
      <c r="DP62" s="190">
        <v>59</v>
      </c>
      <c r="DQ62" s="190">
        <v>62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455</v>
      </c>
      <c r="C63" s="195">
        <v>69</v>
      </c>
      <c r="D63" s="195">
        <v>458</v>
      </c>
      <c r="E63" s="195">
        <v>305</v>
      </c>
      <c r="F63" s="195">
        <v>0</v>
      </c>
      <c r="G63" s="195">
        <v>2</v>
      </c>
      <c r="H63" s="195">
        <v>2</v>
      </c>
      <c r="I63" s="195">
        <v>0</v>
      </c>
      <c r="J63" s="195">
        <v>133</v>
      </c>
      <c r="K63" s="195">
        <v>133</v>
      </c>
      <c r="L63" s="195">
        <v>0</v>
      </c>
      <c r="M63" s="195">
        <v>68</v>
      </c>
      <c r="N63" s="195">
        <v>68</v>
      </c>
      <c r="O63" s="195">
        <v>0</v>
      </c>
      <c r="P63" s="195">
        <v>65</v>
      </c>
      <c r="Q63" s="195">
        <v>65</v>
      </c>
      <c r="R63" s="195">
        <v>0</v>
      </c>
      <c r="S63" s="195">
        <v>0</v>
      </c>
      <c r="T63" s="195">
        <v>0</v>
      </c>
      <c r="U63" s="195">
        <v>0</v>
      </c>
      <c r="V63" s="195">
        <v>20</v>
      </c>
      <c r="W63" s="195">
        <v>20</v>
      </c>
      <c r="X63" s="195">
        <v>5</v>
      </c>
      <c r="Y63" s="195">
        <v>450</v>
      </c>
      <c r="Z63" s="195">
        <v>455</v>
      </c>
      <c r="AA63" s="195">
        <v>3</v>
      </c>
      <c r="AB63" s="195">
        <v>246</v>
      </c>
      <c r="AC63" s="195">
        <v>249</v>
      </c>
      <c r="AD63" s="195">
        <v>3</v>
      </c>
      <c r="AE63" s="195">
        <v>242</v>
      </c>
      <c r="AF63" s="195">
        <v>245</v>
      </c>
      <c r="AG63" s="195">
        <v>0</v>
      </c>
      <c r="AH63" s="195">
        <v>2</v>
      </c>
      <c r="AI63" s="195">
        <v>2</v>
      </c>
      <c r="AJ63" s="195">
        <v>0</v>
      </c>
      <c r="AK63" s="195">
        <v>2</v>
      </c>
      <c r="AL63" s="195">
        <v>2</v>
      </c>
      <c r="AM63" s="195">
        <v>2</v>
      </c>
      <c r="AN63" s="195">
        <v>204</v>
      </c>
      <c r="AO63" s="195">
        <v>206</v>
      </c>
      <c r="AP63" s="195">
        <v>759</v>
      </c>
      <c r="AQ63" s="195">
        <v>4669</v>
      </c>
      <c r="AR63" s="195">
        <v>5428</v>
      </c>
      <c r="AS63" s="195">
        <v>759</v>
      </c>
      <c r="AT63" s="195">
        <v>4669</v>
      </c>
      <c r="AU63" s="195">
        <v>5428</v>
      </c>
      <c r="AV63" s="195">
        <v>0</v>
      </c>
      <c r="AW63" s="195">
        <v>0</v>
      </c>
      <c r="AX63" s="195">
        <v>0</v>
      </c>
      <c r="AY63" s="195">
        <v>42</v>
      </c>
      <c r="AZ63" s="195">
        <v>603</v>
      </c>
      <c r="BA63" s="195">
        <v>645</v>
      </c>
      <c r="BB63" s="195">
        <v>4</v>
      </c>
      <c r="BC63" s="195">
        <v>0</v>
      </c>
      <c r="BD63" s="195">
        <v>0</v>
      </c>
      <c r="BE63" s="195">
        <v>296</v>
      </c>
      <c r="BF63" s="195">
        <v>1</v>
      </c>
      <c r="BG63" s="195">
        <v>4</v>
      </c>
      <c r="BH63" s="195">
        <v>4</v>
      </c>
      <c r="BI63" s="195">
        <v>301</v>
      </c>
      <c r="BJ63" s="195">
        <v>305</v>
      </c>
      <c r="BK63" s="195">
        <v>0</v>
      </c>
      <c r="BL63" s="195">
        <v>0</v>
      </c>
      <c r="BM63" s="195">
        <v>0</v>
      </c>
      <c r="BN63" s="195">
        <v>4</v>
      </c>
      <c r="BO63" s="195">
        <v>22</v>
      </c>
      <c r="BP63" s="195">
        <v>26</v>
      </c>
      <c r="BQ63" s="195">
        <v>0</v>
      </c>
      <c r="BR63" s="195">
        <v>50</v>
      </c>
      <c r="BS63" s="195">
        <v>50</v>
      </c>
      <c r="BT63" s="195">
        <v>34</v>
      </c>
      <c r="BU63" s="195">
        <v>230</v>
      </c>
      <c r="BV63" s="195">
        <v>264</v>
      </c>
      <c r="BW63" s="195">
        <v>801</v>
      </c>
      <c r="BX63" s="195">
        <v>5272</v>
      </c>
      <c r="BY63" s="195">
        <v>6073</v>
      </c>
      <c r="BZ63" s="195">
        <v>796</v>
      </c>
      <c r="CA63" s="195">
        <v>5236</v>
      </c>
      <c r="CB63" s="195">
        <v>6032</v>
      </c>
      <c r="CC63" s="195">
        <v>12997</v>
      </c>
      <c r="CD63" s="195">
        <v>2</v>
      </c>
      <c r="CE63" s="195">
        <v>45</v>
      </c>
      <c r="CF63" s="195">
        <v>5</v>
      </c>
      <c r="CG63" s="195">
        <v>29</v>
      </c>
      <c r="CH63" s="195">
        <v>34</v>
      </c>
      <c r="CI63" s="195">
        <v>8</v>
      </c>
      <c r="CJ63" s="195">
        <v>0</v>
      </c>
      <c r="CK63" s="195">
        <v>0</v>
      </c>
      <c r="CL63" s="195">
        <v>7</v>
      </c>
      <c r="CM63" s="195">
        <v>7</v>
      </c>
      <c r="CN63" s="195">
        <v>38</v>
      </c>
      <c r="CO63" s="195">
        <v>430</v>
      </c>
      <c r="CP63" s="195">
        <v>468</v>
      </c>
      <c r="CQ63" s="195">
        <v>0</v>
      </c>
      <c r="CR63" s="195">
        <v>32</v>
      </c>
      <c r="CS63" s="195">
        <v>32</v>
      </c>
      <c r="CT63" s="195">
        <v>763</v>
      </c>
      <c r="CU63" s="195">
        <v>4842</v>
      </c>
      <c r="CV63" s="195">
        <v>5605</v>
      </c>
      <c r="CW63" s="195">
        <v>57</v>
      </c>
      <c r="CX63" s="195">
        <v>307</v>
      </c>
      <c r="CY63" s="195">
        <v>364</v>
      </c>
      <c r="CZ63" s="195">
        <v>57</v>
      </c>
      <c r="DA63" s="195">
        <v>0</v>
      </c>
      <c r="DB63" s="195">
        <v>0</v>
      </c>
      <c r="DC63" s="195">
        <v>292</v>
      </c>
      <c r="DD63" s="195">
        <v>0</v>
      </c>
      <c r="DE63" s="195">
        <v>0</v>
      </c>
      <c r="DF63" s="195">
        <v>57</v>
      </c>
      <c r="DG63" s="195">
        <v>292</v>
      </c>
      <c r="DH63" s="195">
        <v>349</v>
      </c>
      <c r="DI63" s="195">
        <v>0</v>
      </c>
      <c r="DJ63" s="195">
        <v>0</v>
      </c>
      <c r="DK63" s="195">
        <v>0</v>
      </c>
      <c r="DL63" s="195">
        <v>15</v>
      </c>
      <c r="DM63" s="195">
        <v>0</v>
      </c>
      <c r="DN63" s="195">
        <v>0</v>
      </c>
      <c r="DO63" s="195">
        <v>0</v>
      </c>
      <c r="DP63" s="195">
        <v>15</v>
      </c>
      <c r="DQ63" s="195">
        <v>15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208" t="s">
        <v>330</v>
      </c>
      <c r="B64" s="209">
        <f>SUBTOTAL(109,Mar17Data[Cell 1])</f>
        <v>126229</v>
      </c>
      <c r="C64" s="209">
        <f>SUBTOTAL(109,Mar17Data[Cell 2])</f>
        <v>30390</v>
      </c>
      <c r="D64" s="209">
        <f>SUBTOTAL(109,Mar17Data[Cell 3])</f>
        <v>131242</v>
      </c>
      <c r="E64" s="209">
        <f>SUBTOTAL(109,Mar17Data[Cell 4])</f>
        <v>87146</v>
      </c>
      <c r="F64" s="209">
        <f>SUBTOTAL(109,Mar17Data[Cell 5])</f>
        <v>139</v>
      </c>
      <c r="G64" s="209">
        <f>SUBTOTAL(109,Mar17Data[Cell 6])</f>
        <v>1598</v>
      </c>
      <c r="H64" s="209">
        <f>SUBTOTAL(109,Mar17Data[Cell 7])</f>
        <v>1737</v>
      </c>
      <c r="I64" s="209">
        <f>SUBTOTAL(109,Mar17Data[Cell 8])</f>
        <v>76</v>
      </c>
      <c r="J64" s="209">
        <f>SUBTOTAL(109,Mar17Data[Cell 9])</f>
        <v>38678</v>
      </c>
      <c r="K64" s="209">
        <f>SUBTOTAL(109,Mar17Data[Cell 10])</f>
        <v>38754</v>
      </c>
      <c r="L64" s="209">
        <f>SUBTOTAL(109,Mar17Data[Cell 11])</f>
        <v>49</v>
      </c>
      <c r="M64" s="209">
        <f>SUBTOTAL(109,Mar17Data[Cell 12])</f>
        <v>18718</v>
      </c>
      <c r="N64" s="209">
        <f>SUBTOTAL(109,Mar17Data[Cell 13])</f>
        <v>18767</v>
      </c>
      <c r="O64" s="209">
        <f>SUBTOTAL(109,Mar17Data[Cell 14])</f>
        <v>27</v>
      </c>
      <c r="P64" s="209">
        <f>SUBTOTAL(109,Mar17Data[Cell 15])</f>
        <v>19960</v>
      </c>
      <c r="Q64" s="209">
        <f>SUBTOTAL(109,Mar17Data[Cell 16])</f>
        <v>19987</v>
      </c>
      <c r="R64" s="209">
        <f>SUBTOTAL(109,Mar17Data[Cell 17])</f>
        <v>12</v>
      </c>
      <c r="S64" s="209">
        <f>SUBTOTAL(109,Mar17Data[Cell 18])</f>
        <v>1706</v>
      </c>
      <c r="T64" s="209">
        <f>SUBTOTAL(109,Mar17Data[Cell 19])</f>
        <v>1718</v>
      </c>
      <c r="U64" s="209">
        <f>SUBTOTAL(109,Mar17Data[Cell 20])</f>
        <v>0</v>
      </c>
      <c r="V64" s="209">
        <f>SUBTOTAL(109,Mar17Data[Cell 21])</f>
        <v>5342</v>
      </c>
      <c r="W64" s="209">
        <f>SUBTOTAL(109,Mar17Data[Cell 22])</f>
        <v>5342</v>
      </c>
      <c r="X64" s="209">
        <f>SUBTOTAL(109,Mar17Data[Cell 23])</f>
        <v>4122</v>
      </c>
      <c r="Y64" s="209">
        <f>SUBTOTAL(109,Mar17Data[Cell 24])</f>
        <v>109922</v>
      </c>
      <c r="Z64" s="209">
        <f>SUBTOTAL(109,Mar17Data[Cell 25])</f>
        <v>114044</v>
      </c>
      <c r="AA64" s="209">
        <f>SUBTOTAL(109,Mar17Data[Cell 26])</f>
        <v>2670</v>
      </c>
      <c r="AB64" s="209">
        <f>SUBTOTAL(109,Mar17Data[Cell 27])</f>
        <v>48838</v>
      </c>
      <c r="AC64" s="209">
        <f>SUBTOTAL(109,Mar17Data[Cell 28])</f>
        <v>51508</v>
      </c>
      <c r="AD64" s="209">
        <f>SUBTOTAL(109,Mar17Data[Cell 29])</f>
        <v>2374</v>
      </c>
      <c r="AE64" s="209">
        <f>SUBTOTAL(109,Mar17Data[Cell 30])</f>
        <v>46104</v>
      </c>
      <c r="AF64" s="209">
        <f>SUBTOTAL(109,Mar17Data[Cell 31])</f>
        <v>48478</v>
      </c>
      <c r="AG64" s="209">
        <f>SUBTOTAL(109,Mar17Data[Cell 32])</f>
        <v>111</v>
      </c>
      <c r="AH64" s="209">
        <f>SUBTOTAL(109,Mar17Data[Cell 33])</f>
        <v>1329</v>
      </c>
      <c r="AI64" s="209">
        <f>SUBTOTAL(109,Mar17Data[Cell 34])</f>
        <v>1440</v>
      </c>
      <c r="AJ64" s="209">
        <f>SUBTOTAL(109,Mar17Data[Cell 35])</f>
        <v>185</v>
      </c>
      <c r="AK64" s="209">
        <f>SUBTOTAL(109,Mar17Data[Cell 36])</f>
        <v>1405</v>
      </c>
      <c r="AL64" s="209">
        <f>SUBTOTAL(109,Mar17Data[Cell 37])</f>
        <v>1590</v>
      </c>
      <c r="AM64" s="209">
        <f>SUBTOTAL(109,Mar17Data[Cell 38])</f>
        <v>1452</v>
      </c>
      <c r="AN64" s="209">
        <f>SUBTOTAL(109,Mar17Data[Cell 39])</f>
        <v>61084</v>
      </c>
      <c r="AO64" s="209">
        <f>SUBTOTAL(109,Mar17Data[Cell 40])</f>
        <v>62536</v>
      </c>
      <c r="AP64" s="209">
        <f>SUBTOTAL(109,Mar17Data[Cell 41])</f>
        <v>238459</v>
      </c>
      <c r="AQ64" s="209">
        <f>SUBTOTAL(109,Mar17Data[Cell 42])</f>
        <v>1572803</v>
      </c>
      <c r="AR64" s="209">
        <f>SUBTOTAL(109,Mar17Data[Cell 43])</f>
        <v>1811262</v>
      </c>
      <c r="AS64" s="209">
        <f>SUBTOTAL(109,Mar17Data[Cell 44])</f>
        <v>239852</v>
      </c>
      <c r="AT64" s="209">
        <f>SUBTOTAL(109,Mar17Data[Cell 45])</f>
        <v>1586728</v>
      </c>
      <c r="AU64" s="209">
        <f>SUBTOTAL(109,Mar17Data[Cell 46])</f>
        <v>1826580</v>
      </c>
      <c r="AV64" s="209">
        <f>SUBTOTAL(109,Mar17Data[Cell 47])</f>
        <v>-1393</v>
      </c>
      <c r="AW64" s="209">
        <f>SUBTOTAL(109,Mar17Data[Cell 48])</f>
        <v>-13925</v>
      </c>
      <c r="AX64" s="209">
        <f>SUBTOTAL(109,Mar17Data[Cell 49])</f>
        <v>-15318</v>
      </c>
      <c r="AY64" s="209">
        <f>SUBTOTAL(109,Mar17Data[Cell 50])</f>
        <v>13179</v>
      </c>
      <c r="AZ64" s="209">
        <f>SUBTOTAL(109,Mar17Data[Cell 51])</f>
        <v>148801</v>
      </c>
      <c r="BA64" s="209">
        <f>SUBTOTAL(109,Mar17Data[Cell 52])</f>
        <v>161980</v>
      </c>
      <c r="BB64" s="209">
        <f>SUBTOTAL(109,Mar17Data[Cell 53])</f>
        <v>5512</v>
      </c>
      <c r="BC64" s="209">
        <f>SUBTOTAL(109,Mar17Data[Cell 54])</f>
        <v>102</v>
      </c>
      <c r="BD64" s="209">
        <f>SUBTOTAL(109,Mar17Data[Cell 55])</f>
        <v>18</v>
      </c>
      <c r="BE64" s="209">
        <f>SUBTOTAL(109,Mar17Data[Cell 56])</f>
        <v>80112</v>
      </c>
      <c r="BF64" s="209">
        <f>SUBTOTAL(109,Mar17Data[Cell 57])</f>
        <v>820</v>
      </c>
      <c r="BG64" s="209">
        <f>SUBTOTAL(109,Mar17Data[Cell 58])</f>
        <v>582</v>
      </c>
      <c r="BH64" s="209">
        <f>SUBTOTAL(109,Mar17Data[Cell 59])</f>
        <v>5632</v>
      </c>
      <c r="BI64" s="209">
        <f>SUBTOTAL(109,Mar17Data[Cell 60])</f>
        <v>81514</v>
      </c>
      <c r="BJ64" s="209">
        <f>SUBTOTAL(109,Mar17Data[Cell 61])</f>
        <v>87146</v>
      </c>
      <c r="BK64" s="209">
        <f>SUBTOTAL(109,Mar17Data[Cell 62])</f>
        <v>-1795</v>
      </c>
      <c r="BL64" s="209">
        <f>SUBTOTAL(109,Mar17Data[Cell 63])</f>
        <v>1795</v>
      </c>
      <c r="BM64" s="209">
        <f>SUBTOTAL(109,Mar17Data[Cell 64])</f>
        <v>0</v>
      </c>
      <c r="BN64" s="209">
        <f>SUBTOTAL(109,Mar17Data[Cell 65])</f>
        <v>404</v>
      </c>
      <c r="BO64" s="209">
        <f>SUBTOTAL(109,Mar17Data[Cell 66])</f>
        <v>2087</v>
      </c>
      <c r="BP64" s="209">
        <f>SUBTOTAL(109,Mar17Data[Cell 67])</f>
        <v>2491</v>
      </c>
      <c r="BQ64" s="209">
        <f>SUBTOTAL(109,Mar17Data[Cell 68])</f>
        <v>1265</v>
      </c>
      <c r="BR64" s="209">
        <f>SUBTOTAL(109,Mar17Data[Cell 69])</f>
        <v>14373</v>
      </c>
      <c r="BS64" s="209">
        <f>SUBTOTAL(109,Mar17Data[Cell 70])</f>
        <v>15638</v>
      </c>
      <c r="BT64" s="209">
        <f>SUBTOTAL(109,Mar17Data[Cell 71])</f>
        <v>7673</v>
      </c>
      <c r="BU64" s="209">
        <f>SUBTOTAL(109,Mar17Data[Cell 72])</f>
        <v>49032</v>
      </c>
      <c r="BV64" s="209">
        <f>SUBTOTAL(109,Mar17Data[Cell 73])</f>
        <v>56705</v>
      </c>
      <c r="BW64" s="209">
        <f>SUBTOTAL(109,Mar17Data[Cell 74])</f>
        <v>251638</v>
      </c>
      <c r="BX64" s="209">
        <f>SUBTOTAL(109,Mar17Data[Cell 75])</f>
        <v>1721604</v>
      </c>
      <c r="BY64" s="209">
        <f>SUBTOTAL(109,Mar17Data[Cell 76])</f>
        <v>1973242</v>
      </c>
      <c r="BZ64" s="209">
        <f>SUBTOTAL(109,Mar17Data[Cell 77])</f>
        <v>246581</v>
      </c>
      <c r="CA64" s="209">
        <f>SUBTOTAL(109,Mar17Data[Cell 78])</f>
        <v>1691661</v>
      </c>
      <c r="CB64" s="209">
        <f>SUBTOTAL(109,Mar17Data[Cell 79])</f>
        <v>1938242</v>
      </c>
      <c r="CC64" s="209">
        <f>SUBTOTAL(109,Mar17Data[Cell 80])</f>
        <v>4058656</v>
      </c>
      <c r="CD64" s="209">
        <f>SUBTOTAL(109,Mar17Data[Cell 81])</f>
        <v>2552</v>
      </c>
      <c r="CE64" s="209">
        <f>SUBTOTAL(109,Mar17Data[Cell 82])</f>
        <v>29617</v>
      </c>
      <c r="CF64" s="209">
        <f>SUBTOTAL(109,Mar17Data[Cell 83])</f>
        <v>4738</v>
      </c>
      <c r="CG64" s="209">
        <f>SUBTOTAL(109,Mar17Data[Cell 84])</f>
        <v>20148</v>
      </c>
      <c r="CH64" s="209">
        <f>SUBTOTAL(109,Mar17Data[Cell 85])</f>
        <v>24886</v>
      </c>
      <c r="CI64" s="209">
        <f>SUBTOTAL(109,Mar17Data[Cell 86])</f>
        <v>12309</v>
      </c>
      <c r="CJ64" s="209">
        <f>SUBTOTAL(109,Mar17Data[Cell 87])</f>
        <v>1143</v>
      </c>
      <c r="CK64" s="209">
        <f>SUBTOTAL(109,Mar17Data[Cell 88])</f>
        <v>319</v>
      </c>
      <c r="CL64" s="209">
        <f>SUBTOTAL(109,Mar17Data[Cell 89])</f>
        <v>9795</v>
      </c>
      <c r="CM64" s="209">
        <f>SUBTOTAL(109,Mar17Data[Cell 90])</f>
        <v>10114</v>
      </c>
      <c r="CN64" s="209">
        <f>SUBTOTAL(109,Mar17Data[Cell 91])</f>
        <v>12705</v>
      </c>
      <c r="CO64" s="209">
        <f>SUBTOTAL(109,Mar17Data[Cell 92])</f>
        <v>134286</v>
      </c>
      <c r="CP64" s="209">
        <f>SUBTOTAL(109,Mar17Data[Cell 93])</f>
        <v>146991</v>
      </c>
      <c r="CQ64" s="209">
        <f>SUBTOTAL(109,Mar17Data[Cell 94])</f>
        <v>127</v>
      </c>
      <c r="CR64" s="209">
        <f>SUBTOTAL(109,Mar17Data[Cell 95])</f>
        <v>841</v>
      </c>
      <c r="CS64" s="209">
        <f>SUBTOTAL(109,Mar17Data[Cell 96])</f>
        <v>968</v>
      </c>
      <c r="CT64" s="209">
        <f>SUBTOTAL(109,Mar17Data[Cell 97])</f>
        <v>238933</v>
      </c>
      <c r="CU64" s="209">
        <f>SUBTOTAL(109,Mar17Data[Cell 98])</f>
        <v>1587318</v>
      </c>
      <c r="CV64" s="209">
        <f>SUBTOTAL(109,Mar17Data[Cell 99])</f>
        <v>1826251</v>
      </c>
      <c r="CW64" s="209">
        <f>SUBTOTAL(109,Mar17Data[Cell 100])</f>
        <v>16594</v>
      </c>
      <c r="CX64" s="209">
        <f>SUBTOTAL(109,Mar17Data[Cell 101])</f>
        <v>80474</v>
      </c>
      <c r="CY64" s="209">
        <f>SUBTOTAL(109,Mar17Data[Cell 102])</f>
        <v>97068</v>
      </c>
      <c r="CZ64" s="209">
        <f>SUBTOTAL(109,Mar17Data[Cell 103])</f>
        <v>15989</v>
      </c>
      <c r="DA64" s="209">
        <f>SUBTOTAL(109,Mar17Data[Cell 104])</f>
        <v>305</v>
      </c>
      <c r="DB64" s="209">
        <f>SUBTOTAL(109,Mar17Data[Cell 105])</f>
        <v>3</v>
      </c>
      <c r="DC64" s="209">
        <f>SUBTOTAL(109,Mar17Data[Cell 106])</f>
        <v>74986</v>
      </c>
      <c r="DD64" s="209">
        <f>SUBTOTAL(109,Mar17Data[Cell 107])</f>
        <v>1067</v>
      </c>
      <c r="DE64" s="209">
        <f>SUBTOTAL(109,Mar17Data[Cell 108])</f>
        <v>291</v>
      </c>
      <c r="DF64" s="209">
        <f>SUBTOTAL(109,Mar17Data[Cell 109])</f>
        <v>16297</v>
      </c>
      <c r="DG64" s="209">
        <f>SUBTOTAL(109,Mar17Data[Cell 110])</f>
        <v>76344</v>
      </c>
      <c r="DH64" s="209">
        <f>SUBTOTAL(109,Mar17Data[Cell 111])</f>
        <v>92641</v>
      </c>
      <c r="DI64" s="209">
        <f>SUBTOTAL(109,Mar17Data[Cell 112])</f>
        <v>292</v>
      </c>
      <c r="DJ64" s="209">
        <f>SUBTOTAL(109,Mar17Data[Cell 113])</f>
        <v>5</v>
      </c>
      <c r="DK64" s="209">
        <f>SUBTOTAL(109,Mar17Data[Cell 114])</f>
        <v>0</v>
      </c>
      <c r="DL64" s="209">
        <f>SUBTOTAL(109,Mar17Data[Cell 115])</f>
        <v>4011</v>
      </c>
      <c r="DM64" s="209">
        <f>SUBTOTAL(109,Mar17Data[Cell 116])</f>
        <v>93</v>
      </c>
      <c r="DN64" s="209">
        <f>SUBTOTAL(109,Mar17Data[Cell 117])</f>
        <v>26</v>
      </c>
      <c r="DO64" s="209">
        <f>SUBTOTAL(109,Mar17Data[Cell 118])</f>
        <v>297</v>
      </c>
      <c r="DP64" s="209">
        <f>SUBTOTAL(109,Mar17Data[Cell 119])</f>
        <v>4130</v>
      </c>
      <c r="DQ64" s="209">
        <f>SUBTOTAL(109,Mar17Data[Cell 120])</f>
        <v>4427</v>
      </c>
      <c r="DR64" s="209">
        <f>SUBTOTAL(109,Mar17Data[Cell 121])</f>
        <v>15</v>
      </c>
      <c r="DS64" s="209">
        <f>SUBTOTAL(109,Mar17Data[Cell 122])</f>
        <v>122</v>
      </c>
      <c r="DT64" s="209">
        <f>SUBTOTAL(109,Mar17Data[Cell 123])</f>
        <v>137</v>
      </c>
      <c r="DU64" s="210"/>
      <c r="DV64" s="200">
        <v>25518202</v>
      </c>
      <c r="DX64" s="192"/>
      <c r="DY64" s="192"/>
    </row>
  </sheetData>
  <conditionalFormatting sqref="B7:DT63">
    <cfRule type="containsBlanks" dxfId="1526" priority="2">
      <formula>LEN(TRIM(B7))=0</formula>
    </cfRule>
  </conditionalFormatting>
  <conditionalFormatting sqref="B6:DT6">
    <cfRule type="containsBlanks" dxfId="1377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8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136258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29475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122779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80932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303</v>
      </c>
      <c r="T13" s="63">
        <v>6</v>
      </c>
      <c r="U13" s="64">
        <v>1808</v>
      </c>
      <c r="V13" s="84">
        <v>7</v>
      </c>
      <c r="W13" s="85">
        <v>2111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62</v>
      </c>
      <c r="T14" s="88">
        <v>9</v>
      </c>
      <c r="U14" s="89">
        <v>37186</v>
      </c>
      <c r="V14" s="88">
        <v>10</v>
      </c>
      <c r="W14" s="90">
        <v>37248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46</v>
      </c>
      <c r="T15" s="71">
        <v>12</v>
      </c>
      <c r="U15" s="64">
        <v>20942</v>
      </c>
      <c r="V15" s="88">
        <v>13</v>
      </c>
      <c r="W15" s="90">
        <v>20988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16</v>
      </c>
      <c r="T16" s="71">
        <v>15</v>
      </c>
      <c r="U16" s="64">
        <v>16244</v>
      </c>
      <c r="V16" s="88">
        <v>16</v>
      </c>
      <c r="W16" s="90">
        <v>16260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4</v>
      </c>
      <c r="T17" s="71">
        <v>18</v>
      </c>
      <c r="U17" s="64">
        <v>1836</v>
      </c>
      <c r="V17" s="88">
        <v>19</v>
      </c>
      <c r="W17" s="90">
        <v>1840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0</v>
      </c>
      <c r="T18" s="82">
        <v>21</v>
      </c>
      <c r="U18" s="64">
        <v>4599</v>
      </c>
      <c r="V18" s="88">
        <v>22</v>
      </c>
      <c r="W18" s="90">
        <v>4599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4834</v>
      </c>
      <c r="T20" s="98">
        <v>24</v>
      </c>
      <c r="U20" s="89">
        <v>103653</v>
      </c>
      <c r="V20" s="84">
        <v>25</v>
      </c>
      <c r="W20" s="89">
        <v>108487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3315</v>
      </c>
      <c r="T21" s="76">
        <v>27</v>
      </c>
      <c r="U21" s="77">
        <v>44175</v>
      </c>
      <c r="V21" s="88">
        <v>28</v>
      </c>
      <c r="W21" s="77">
        <v>47490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2676</v>
      </c>
      <c r="T22" s="71">
        <v>30</v>
      </c>
      <c r="U22" s="64">
        <v>40374</v>
      </c>
      <c r="V22" s="88">
        <v>31</v>
      </c>
      <c r="W22" s="90">
        <v>43050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235</v>
      </c>
      <c r="T23" s="71">
        <v>33</v>
      </c>
      <c r="U23" s="64">
        <v>1860</v>
      </c>
      <c r="V23" s="88">
        <v>34</v>
      </c>
      <c r="W23" s="90">
        <v>2095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404</v>
      </c>
      <c r="T24" s="71">
        <v>36</v>
      </c>
      <c r="U24" s="64">
        <v>1941</v>
      </c>
      <c r="V24" s="88">
        <v>37</v>
      </c>
      <c r="W24" s="90">
        <v>2345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1519</v>
      </c>
      <c r="T25" s="82">
        <v>39</v>
      </c>
      <c r="U25" s="64">
        <v>59478</v>
      </c>
      <c r="V25" s="88">
        <v>40</v>
      </c>
      <c r="W25" s="90">
        <v>60997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245857</v>
      </c>
      <c r="T27" s="63">
        <v>42</v>
      </c>
      <c r="U27" s="64">
        <v>1666227</v>
      </c>
      <c r="V27" s="84">
        <v>43</v>
      </c>
      <c r="W27" s="85">
        <v>1912084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245059</v>
      </c>
      <c r="T28" s="71">
        <v>45</v>
      </c>
      <c r="U28" s="64">
        <v>1648739</v>
      </c>
      <c r="V28" s="88">
        <v>46</v>
      </c>
      <c r="W28" s="90">
        <v>1893798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798</v>
      </c>
      <c r="T29" s="76">
        <v>48</v>
      </c>
      <c r="U29" s="108">
        <v>17488</v>
      </c>
      <c r="V29" s="88">
        <v>49</v>
      </c>
      <c r="W29" s="109">
        <v>18286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12325</v>
      </c>
      <c r="T30" s="88">
        <v>51</v>
      </c>
      <c r="U30" s="110">
        <v>129629</v>
      </c>
      <c r="V30" s="88">
        <v>52</v>
      </c>
      <c r="W30" s="90">
        <v>141954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5834</v>
      </c>
      <c r="H33" s="122">
        <v>54</v>
      </c>
      <c r="I33" s="64">
        <v>117</v>
      </c>
      <c r="J33" s="122">
        <v>55</v>
      </c>
      <c r="K33" s="64">
        <v>7</v>
      </c>
      <c r="L33" s="122">
        <v>56</v>
      </c>
      <c r="M33" s="64">
        <v>73440</v>
      </c>
      <c r="N33" s="122">
        <v>57</v>
      </c>
      <c r="O33" s="64">
        <v>887</v>
      </c>
      <c r="P33" s="122">
        <v>58</v>
      </c>
      <c r="Q33" s="64">
        <v>647</v>
      </c>
      <c r="R33" s="76">
        <v>59</v>
      </c>
      <c r="S33" s="123">
        <v>5958</v>
      </c>
      <c r="T33" s="124">
        <v>60</v>
      </c>
      <c r="U33" s="123">
        <v>74974</v>
      </c>
      <c r="V33" s="88">
        <v>61</v>
      </c>
      <c r="W33" s="90">
        <v>80932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-2613</v>
      </c>
      <c r="T34" s="126">
        <v>63</v>
      </c>
      <c r="U34" s="64">
        <v>2613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505</v>
      </c>
      <c r="T35" s="126">
        <v>66</v>
      </c>
      <c r="U35" s="64">
        <v>1758</v>
      </c>
      <c r="V35" s="88">
        <v>67</v>
      </c>
      <c r="W35" s="90">
        <v>2263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871</v>
      </c>
      <c r="T36" s="126">
        <v>69</v>
      </c>
      <c r="U36" s="64">
        <v>7815</v>
      </c>
      <c r="V36" s="88">
        <v>70</v>
      </c>
      <c r="W36" s="90">
        <v>8686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7604</v>
      </c>
      <c r="T37" s="126">
        <v>72</v>
      </c>
      <c r="U37" s="64">
        <v>42469</v>
      </c>
      <c r="V37" s="88">
        <v>73</v>
      </c>
      <c r="W37" s="90">
        <v>50073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258182</v>
      </c>
      <c r="T39" s="124">
        <v>75</v>
      </c>
      <c r="U39" s="123">
        <v>1795856</v>
      </c>
      <c r="V39" s="88">
        <v>76</v>
      </c>
      <c r="W39" s="90">
        <v>2054038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253214</v>
      </c>
      <c r="T40" s="132">
        <v>78</v>
      </c>
      <c r="U40" s="64">
        <v>1764970</v>
      </c>
      <c r="V40" s="88">
        <v>79</v>
      </c>
      <c r="W40" s="90">
        <v>2018184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4207173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2773</v>
      </c>
      <c r="P43" s="134">
        <v>82</v>
      </c>
      <c r="Q43" s="64">
        <v>30207</v>
      </c>
      <c r="R43" s="71">
        <v>83</v>
      </c>
      <c r="S43" s="64">
        <v>4825</v>
      </c>
      <c r="T43" s="71">
        <v>84</v>
      </c>
      <c r="U43" s="64">
        <v>20383</v>
      </c>
      <c r="V43" s="76">
        <v>85</v>
      </c>
      <c r="W43" s="135">
        <v>25208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13074</v>
      </c>
      <c r="P44" s="136">
        <v>87</v>
      </c>
      <c r="Q44" s="64">
        <v>1044</v>
      </c>
      <c r="R44" s="71">
        <v>88</v>
      </c>
      <c r="S44" s="64">
        <v>143</v>
      </c>
      <c r="T44" s="71">
        <v>89</v>
      </c>
      <c r="U44" s="64">
        <v>10503</v>
      </c>
      <c r="V44" s="76">
        <v>90</v>
      </c>
      <c r="W44" s="135">
        <v>10646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12671</v>
      </c>
      <c r="T45" s="71">
        <v>92</v>
      </c>
      <c r="U45" s="64">
        <v>136831</v>
      </c>
      <c r="V45" s="76">
        <v>93</v>
      </c>
      <c r="W45" s="135">
        <v>149502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66</v>
      </c>
      <c r="T46" s="71">
        <v>95</v>
      </c>
      <c r="U46" s="64">
        <v>483</v>
      </c>
      <c r="V46" s="76">
        <v>96</v>
      </c>
      <c r="W46" s="135">
        <v>549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245511</v>
      </c>
      <c r="T47" s="141">
        <v>98</v>
      </c>
      <c r="U47" s="143">
        <v>1659025</v>
      </c>
      <c r="V47" s="88">
        <v>99</v>
      </c>
      <c r="W47" s="90">
        <v>1904536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15801</v>
      </c>
      <c r="T49" s="144">
        <v>101</v>
      </c>
      <c r="U49" s="145">
        <v>75752</v>
      </c>
      <c r="V49" s="98">
        <v>102</v>
      </c>
      <c r="W49" s="146">
        <v>91553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15209</v>
      </c>
      <c r="H52" s="122">
        <v>104</v>
      </c>
      <c r="I52" s="64">
        <v>299</v>
      </c>
      <c r="J52" s="122">
        <v>105</v>
      </c>
      <c r="K52" s="64">
        <v>6</v>
      </c>
      <c r="L52" s="122">
        <v>106</v>
      </c>
      <c r="M52" s="64">
        <v>70112</v>
      </c>
      <c r="N52" s="122">
        <v>107</v>
      </c>
      <c r="O52" s="64">
        <v>1009</v>
      </c>
      <c r="P52" s="122">
        <v>108</v>
      </c>
      <c r="Q52" s="64">
        <v>256</v>
      </c>
      <c r="R52" s="155">
        <v>109</v>
      </c>
      <c r="S52" s="156">
        <v>15514</v>
      </c>
      <c r="T52" s="155">
        <v>110</v>
      </c>
      <c r="U52" s="156">
        <v>71377</v>
      </c>
      <c r="V52" s="76">
        <v>111</v>
      </c>
      <c r="W52" s="135">
        <v>86891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284</v>
      </c>
      <c r="H53" s="122">
        <v>113</v>
      </c>
      <c r="I53" s="64">
        <v>3</v>
      </c>
      <c r="J53" s="122">
        <v>114</v>
      </c>
      <c r="K53" s="64">
        <v>0</v>
      </c>
      <c r="L53" s="122">
        <v>115</v>
      </c>
      <c r="M53" s="64">
        <v>4248</v>
      </c>
      <c r="N53" s="122">
        <v>116</v>
      </c>
      <c r="O53" s="64">
        <v>101</v>
      </c>
      <c r="P53" s="122">
        <v>117</v>
      </c>
      <c r="Q53" s="64">
        <v>26</v>
      </c>
      <c r="R53" s="155">
        <v>118</v>
      </c>
      <c r="S53" s="156">
        <v>287</v>
      </c>
      <c r="T53" s="155">
        <v>119</v>
      </c>
      <c r="U53" s="156">
        <v>4375</v>
      </c>
      <c r="V53" s="76">
        <v>120</v>
      </c>
      <c r="W53" s="135">
        <v>4662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11</v>
      </c>
      <c r="T54" s="162">
        <v>122</v>
      </c>
      <c r="U54" s="64">
        <v>63</v>
      </c>
      <c r="V54" s="76">
        <v>123</v>
      </c>
      <c r="W54" s="135">
        <v>74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359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26399058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&amp;L&amp;"Arial,Regular"STATE OF CALIFORNIA
HEALTH AND HUMAN SERVICES AGENCY&amp;R&amp;"Arial,Regular"CALIFORNIA DEPARTMENT OF SOCIAL SERVICES
DATA SYSTEMS AND SURVEY DESIGN BUREAU</oddHeader>
    <oddFooter>&amp;L&amp;"Arial"&amp;11&amp;R&amp;"Arial"&amp;11&amp;C&amp;"Arial"&amp;11&amp;P of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350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116997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28039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113927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77567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105</v>
      </c>
      <c r="T13" s="63">
        <v>6</v>
      </c>
      <c r="U13" s="64">
        <v>1021</v>
      </c>
      <c r="V13" s="84">
        <v>7</v>
      </c>
      <c r="W13" s="85">
        <v>1126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110</v>
      </c>
      <c r="T14" s="88">
        <v>9</v>
      </c>
      <c r="U14" s="89">
        <v>31671</v>
      </c>
      <c r="V14" s="88">
        <v>10</v>
      </c>
      <c r="W14" s="90">
        <v>31781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58</v>
      </c>
      <c r="T15" s="71">
        <v>12</v>
      </c>
      <c r="U15" s="64">
        <v>15770</v>
      </c>
      <c r="V15" s="88">
        <v>13</v>
      </c>
      <c r="W15" s="90">
        <v>15828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52</v>
      </c>
      <c r="T16" s="71">
        <v>15</v>
      </c>
      <c r="U16" s="64">
        <v>15901</v>
      </c>
      <c r="V16" s="88">
        <v>16</v>
      </c>
      <c r="W16" s="90">
        <v>15953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5</v>
      </c>
      <c r="T17" s="71">
        <v>18</v>
      </c>
      <c r="U17" s="64">
        <v>1243</v>
      </c>
      <c r="V17" s="88">
        <v>19</v>
      </c>
      <c r="W17" s="90">
        <v>1248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37</v>
      </c>
      <c r="T18" s="82">
        <v>21</v>
      </c>
      <c r="U18" s="64">
        <v>4542</v>
      </c>
      <c r="V18" s="88">
        <v>22</v>
      </c>
      <c r="W18" s="90">
        <v>4579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3998</v>
      </c>
      <c r="T20" s="98">
        <v>24</v>
      </c>
      <c r="U20" s="89">
        <v>97539</v>
      </c>
      <c r="V20" s="84">
        <v>25</v>
      </c>
      <c r="W20" s="89">
        <v>101537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2666</v>
      </c>
      <c r="T21" s="76">
        <v>27</v>
      </c>
      <c r="U21" s="77">
        <v>44905</v>
      </c>
      <c r="V21" s="88">
        <v>28</v>
      </c>
      <c r="W21" s="77">
        <v>47571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2330</v>
      </c>
      <c r="T22" s="71">
        <v>30</v>
      </c>
      <c r="U22" s="64">
        <v>42412</v>
      </c>
      <c r="V22" s="88">
        <v>31</v>
      </c>
      <c r="W22" s="90">
        <v>44742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121</v>
      </c>
      <c r="T23" s="71">
        <v>33</v>
      </c>
      <c r="U23" s="64">
        <v>1256</v>
      </c>
      <c r="V23" s="88">
        <v>34</v>
      </c>
      <c r="W23" s="90">
        <v>1377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215</v>
      </c>
      <c r="T24" s="71">
        <v>36</v>
      </c>
      <c r="U24" s="64">
        <v>1237</v>
      </c>
      <c r="V24" s="88">
        <v>37</v>
      </c>
      <c r="W24" s="90">
        <v>1452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1332</v>
      </c>
      <c r="T25" s="82">
        <v>39</v>
      </c>
      <c r="U25" s="64">
        <v>52634</v>
      </c>
      <c r="V25" s="88">
        <v>40</v>
      </c>
      <c r="W25" s="90">
        <v>53966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238309</v>
      </c>
      <c r="T27" s="63">
        <v>42</v>
      </c>
      <c r="U27" s="64">
        <v>1581158</v>
      </c>
      <c r="V27" s="84">
        <v>43</v>
      </c>
      <c r="W27" s="85">
        <v>1819467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238933</v>
      </c>
      <c r="T28" s="71">
        <v>45</v>
      </c>
      <c r="U28" s="64">
        <v>1587318</v>
      </c>
      <c r="V28" s="88">
        <v>46</v>
      </c>
      <c r="W28" s="90">
        <v>1826251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-624</v>
      </c>
      <c r="T29" s="76">
        <v>48</v>
      </c>
      <c r="U29" s="108">
        <v>-6160</v>
      </c>
      <c r="V29" s="88">
        <v>49</v>
      </c>
      <c r="W29" s="109">
        <v>-6784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10141</v>
      </c>
      <c r="T30" s="88">
        <v>51</v>
      </c>
      <c r="U30" s="110">
        <v>129371</v>
      </c>
      <c r="V30" s="88">
        <v>52</v>
      </c>
      <c r="W30" s="90">
        <v>139512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5235</v>
      </c>
      <c r="H33" s="122">
        <v>54</v>
      </c>
      <c r="I33" s="64">
        <v>121</v>
      </c>
      <c r="J33" s="122">
        <v>55</v>
      </c>
      <c r="K33" s="64">
        <v>9</v>
      </c>
      <c r="L33" s="122">
        <v>56</v>
      </c>
      <c r="M33" s="64">
        <v>70937</v>
      </c>
      <c r="N33" s="122">
        <v>57</v>
      </c>
      <c r="O33" s="64">
        <v>722</v>
      </c>
      <c r="P33" s="122">
        <v>58</v>
      </c>
      <c r="Q33" s="64">
        <v>543</v>
      </c>
      <c r="R33" s="76">
        <v>59</v>
      </c>
      <c r="S33" s="123">
        <v>5365</v>
      </c>
      <c r="T33" s="124">
        <v>60</v>
      </c>
      <c r="U33" s="123">
        <v>72202</v>
      </c>
      <c r="V33" s="88">
        <v>61</v>
      </c>
      <c r="W33" s="90">
        <v>77567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-3237</v>
      </c>
      <c r="T34" s="126">
        <v>63</v>
      </c>
      <c r="U34" s="64">
        <v>3237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427</v>
      </c>
      <c r="T35" s="126">
        <v>66</v>
      </c>
      <c r="U35" s="64">
        <v>2363</v>
      </c>
      <c r="V35" s="88">
        <v>67</v>
      </c>
      <c r="W35" s="90">
        <v>2790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976</v>
      </c>
      <c r="T36" s="126">
        <v>69</v>
      </c>
      <c r="U36" s="64">
        <v>12366</v>
      </c>
      <c r="V36" s="88">
        <v>70</v>
      </c>
      <c r="W36" s="90">
        <v>13342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6610</v>
      </c>
      <c r="T37" s="126">
        <v>72</v>
      </c>
      <c r="U37" s="64">
        <v>39203</v>
      </c>
      <c r="V37" s="88">
        <v>73</v>
      </c>
      <c r="W37" s="90">
        <v>45813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248450</v>
      </c>
      <c r="T39" s="124">
        <v>75</v>
      </c>
      <c r="U39" s="123">
        <v>1710529</v>
      </c>
      <c r="V39" s="88">
        <v>76</v>
      </c>
      <c r="W39" s="90">
        <v>1958979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243475</v>
      </c>
      <c r="T40" s="132">
        <v>78</v>
      </c>
      <c r="U40" s="64">
        <v>1680940</v>
      </c>
      <c r="V40" s="88">
        <v>79</v>
      </c>
      <c r="W40" s="90">
        <v>1924415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4022512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2505</v>
      </c>
      <c r="P43" s="134">
        <v>82</v>
      </c>
      <c r="Q43" s="64">
        <v>29356</v>
      </c>
      <c r="R43" s="71">
        <v>83</v>
      </c>
      <c r="S43" s="64">
        <v>4653</v>
      </c>
      <c r="T43" s="71">
        <v>84</v>
      </c>
      <c r="U43" s="64">
        <v>19897</v>
      </c>
      <c r="V43" s="76">
        <v>85</v>
      </c>
      <c r="W43" s="135">
        <v>24550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12169</v>
      </c>
      <c r="P44" s="136">
        <v>87</v>
      </c>
      <c r="Q44" s="64">
        <v>1123</v>
      </c>
      <c r="R44" s="71">
        <v>88</v>
      </c>
      <c r="S44" s="64">
        <v>322</v>
      </c>
      <c r="T44" s="71">
        <v>89</v>
      </c>
      <c r="U44" s="64">
        <v>9692</v>
      </c>
      <c r="V44" s="76">
        <v>90</v>
      </c>
      <c r="W44" s="135">
        <v>10014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13314</v>
      </c>
      <c r="T45" s="71">
        <v>92</v>
      </c>
      <c r="U45" s="64">
        <v>135595</v>
      </c>
      <c r="V45" s="76">
        <v>93</v>
      </c>
      <c r="W45" s="135">
        <v>148909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71</v>
      </c>
      <c r="T46" s="71">
        <v>95</v>
      </c>
      <c r="U46" s="64">
        <v>707</v>
      </c>
      <c r="V46" s="76">
        <v>96</v>
      </c>
      <c r="W46" s="135">
        <v>778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235136</v>
      </c>
      <c r="T47" s="141">
        <v>98</v>
      </c>
      <c r="U47" s="143">
        <v>1574934</v>
      </c>
      <c r="V47" s="88">
        <v>99</v>
      </c>
      <c r="W47" s="90">
        <v>1810070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15661</v>
      </c>
      <c r="T49" s="144">
        <v>101</v>
      </c>
      <c r="U49" s="145">
        <v>72332</v>
      </c>
      <c r="V49" s="98">
        <v>102</v>
      </c>
      <c r="W49" s="146">
        <v>87993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15040</v>
      </c>
      <c r="H52" s="122">
        <v>104</v>
      </c>
      <c r="I52" s="64">
        <v>297</v>
      </c>
      <c r="J52" s="122">
        <v>105</v>
      </c>
      <c r="K52" s="64">
        <v>6</v>
      </c>
      <c r="L52" s="122">
        <v>106</v>
      </c>
      <c r="M52" s="64">
        <v>67190</v>
      </c>
      <c r="N52" s="122">
        <v>107</v>
      </c>
      <c r="O52" s="64">
        <v>960</v>
      </c>
      <c r="P52" s="122">
        <v>108</v>
      </c>
      <c r="Q52" s="64">
        <v>235</v>
      </c>
      <c r="R52" s="155">
        <v>109</v>
      </c>
      <c r="S52" s="156">
        <v>15343</v>
      </c>
      <c r="T52" s="155">
        <v>110</v>
      </c>
      <c r="U52" s="156">
        <v>68385</v>
      </c>
      <c r="V52" s="76">
        <v>111</v>
      </c>
      <c r="W52" s="135">
        <v>83728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311</v>
      </c>
      <c r="H53" s="122">
        <v>113</v>
      </c>
      <c r="I53" s="64">
        <v>6</v>
      </c>
      <c r="J53" s="122">
        <v>114</v>
      </c>
      <c r="K53" s="64">
        <v>1</v>
      </c>
      <c r="L53" s="122">
        <v>115</v>
      </c>
      <c r="M53" s="64">
        <v>3829</v>
      </c>
      <c r="N53" s="122">
        <v>116</v>
      </c>
      <c r="O53" s="64">
        <v>87</v>
      </c>
      <c r="P53" s="122">
        <v>117</v>
      </c>
      <c r="Q53" s="64">
        <v>31</v>
      </c>
      <c r="R53" s="155">
        <v>118</v>
      </c>
      <c r="S53" s="156">
        <v>318</v>
      </c>
      <c r="T53" s="155">
        <v>119</v>
      </c>
      <c r="U53" s="156">
        <v>3947</v>
      </c>
      <c r="V53" s="76">
        <v>120</v>
      </c>
      <c r="W53" s="135">
        <v>4265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3</v>
      </c>
      <c r="T54" s="162">
        <v>122</v>
      </c>
      <c r="U54" s="64">
        <v>6</v>
      </c>
      <c r="V54" s="76">
        <v>123</v>
      </c>
      <c r="W54" s="135">
        <v>9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362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25155411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352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350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 t="s">
        <v>331</v>
      </c>
      <c r="C6" s="190" t="s">
        <v>331</v>
      </c>
      <c r="D6" s="190" t="s">
        <v>331</v>
      </c>
      <c r="E6" s="190" t="s">
        <v>331</v>
      </c>
      <c r="F6" s="190" t="s">
        <v>331</v>
      </c>
      <c r="G6" s="190" t="s">
        <v>331</v>
      </c>
      <c r="H6" s="190" t="s">
        <v>331</v>
      </c>
      <c r="I6" s="190" t="s">
        <v>331</v>
      </c>
      <c r="J6" s="190" t="s">
        <v>331</v>
      </c>
      <c r="K6" s="190" t="s">
        <v>331</v>
      </c>
      <c r="L6" s="190" t="s">
        <v>331</v>
      </c>
      <c r="M6" s="190" t="s">
        <v>331</v>
      </c>
      <c r="N6" s="190" t="s">
        <v>331</v>
      </c>
      <c r="O6" s="190" t="s">
        <v>331</v>
      </c>
      <c r="P6" s="190" t="s">
        <v>331</v>
      </c>
      <c r="Q6" s="190" t="s">
        <v>331</v>
      </c>
      <c r="R6" s="190" t="s">
        <v>331</v>
      </c>
      <c r="S6" s="190" t="s">
        <v>331</v>
      </c>
      <c r="T6" s="190" t="s">
        <v>331</v>
      </c>
      <c r="U6" s="190" t="s">
        <v>331</v>
      </c>
      <c r="V6" s="190" t="s">
        <v>331</v>
      </c>
      <c r="W6" s="190" t="s">
        <v>331</v>
      </c>
      <c r="X6" s="190" t="s">
        <v>331</v>
      </c>
      <c r="Y6" s="190" t="s">
        <v>331</v>
      </c>
      <c r="Z6" s="190" t="s">
        <v>331</v>
      </c>
      <c r="AA6" s="190" t="s">
        <v>331</v>
      </c>
      <c r="AB6" s="190" t="s">
        <v>331</v>
      </c>
      <c r="AC6" s="190" t="s">
        <v>331</v>
      </c>
      <c r="AD6" s="190" t="s">
        <v>331</v>
      </c>
      <c r="AE6" s="190" t="s">
        <v>331</v>
      </c>
      <c r="AF6" s="190" t="s">
        <v>331</v>
      </c>
      <c r="AG6" s="190" t="s">
        <v>331</v>
      </c>
      <c r="AH6" s="190" t="s">
        <v>331</v>
      </c>
      <c r="AI6" s="190" t="s">
        <v>331</v>
      </c>
      <c r="AJ6" s="190" t="s">
        <v>331</v>
      </c>
      <c r="AK6" s="190" t="s">
        <v>331</v>
      </c>
      <c r="AL6" s="190" t="s">
        <v>331</v>
      </c>
      <c r="AM6" s="190" t="s">
        <v>331</v>
      </c>
      <c r="AN6" s="190" t="s">
        <v>331</v>
      </c>
      <c r="AO6" s="190" t="s">
        <v>331</v>
      </c>
      <c r="AP6" s="190" t="s">
        <v>331</v>
      </c>
      <c r="AQ6" s="190" t="s">
        <v>331</v>
      </c>
      <c r="AR6" s="190" t="s">
        <v>331</v>
      </c>
      <c r="AS6" s="190" t="s">
        <v>331</v>
      </c>
      <c r="AT6" s="190" t="s">
        <v>331</v>
      </c>
      <c r="AU6" s="190" t="s">
        <v>331</v>
      </c>
      <c r="AV6" s="190" t="s">
        <v>331</v>
      </c>
      <c r="AW6" s="190" t="s">
        <v>331</v>
      </c>
      <c r="AX6" s="190" t="s">
        <v>331</v>
      </c>
      <c r="AY6" s="190" t="s">
        <v>331</v>
      </c>
      <c r="AZ6" s="190" t="s">
        <v>331</v>
      </c>
      <c r="BA6" s="190" t="s">
        <v>331</v>
      </c>
      <c r="BB6" s="190" t="s">
        <v>331</v>
      </c>
      <c r="BC6" s="190" t="s">
        <v>331</v>
      </c>
      <c r="BD6" s="190" t="s">
        <v>331</v>
      </c>
      <c r="BE6" s="190" t="s">
        <v>331</v>
      </c>
      <c r="BF6" s="190" t="s">
        <v>331</v>
      </c>
      <c r="BG6" s="190" t="s">
        <v>331</v>
      </c>
      <c r="BH6" s="190" t="s">
        <v>331</v>
      </c>
      <c r="BI6" s="190" t="s">
        <v>331</v>
      </c>
      <c r="BJ6" s="190" t="s">
        <v>331</v>
      </c>
      <c r="BK6" s="190" t="s">
        <v>331</v>
      </c>
      <c r="BL6" s="190" t="s">
        <v>331</v>
      </c>
      <c r="BM6" s="190" t="s">
        <v>331</v>
      </c>
      <c r="BN6" s="190" t="s">
        <v>331</v>
      </c>
      <c r="BO6" s="190" t="s">
        <v>331</v>
      </c>
      <c r="BP6" s="190" t="s">
        <v>331</v>
      </c>
      <c r="BQ6" s="190" t="s">
        <v>331</v>
      </c>
      <c r="BR6" s="190" t="s">
        <v>331</v>
      </c>
      <c r="BS6" s="190" t="s">
        <v>331</v>
      </c>
      <c r="BT6" s="190" t="s">
        <v>331</v>
      </c>
      <c r="BU6" s="190" t="s">
        <v>331</v>
      </c>
      <c r="BV6" s="190" t="s">
        <v>331</v>
      </c>
      <c r="BW6" s="190" t="s">
        <v>331</v>
      </c>
      <c r="BX6" s="190" t="s">
        <v>331</v>
      </c>
      <c r="BY6" s="190" t="s">
        <v>331</v>
      </c>
      <c r="BZ6" s="190" t="s">
        <v>331</v>
      </c>
      <c r="CA6" s="190" t="s">
        <v>331</v>
      </c>
      <c r="CB6" s="190" t="s">
        <v>331</v>
      </c>
      <c r="CC6" s="190" t="s">
        <v>331</v>
      </c>
      <c r="CD6" s="190" t="s">
        <v>331</v>
      </c>
      <c r="CE6" s="190" t="s">
        <v>331</v>
      </c>
      <c r="CF6" s="190" t="s">
        <v>331</v>
      </c>
      <c r="CG6" s="190" t="s">
        <v>331</v>
      </c>
      <c r="CH6" s="190" t="s">
        <v>331</v>
      </c>
      <c r="CI6" s="190" t="s">
        <v>331</v>
      </c>
      <c r="CJ6" s="190" t="s">
        <v>331</v>
      </c>
      <c r="CK6" s="190" t="s">
        <v>331</v>
      </c>
      <c r="CL6" s="190" t="s">
        <v>331</v>
      </c>
      <c r="CM6" s="190" t="s">
        <v>331</v>
      </c>
      <c r="CN6" s="190" t="s">
        <v>331</v>
      </c>
      <c r="CO6" s="190" t="s">
        <v>331</v>
      </c>
      <c r="CP6" s="190" t="s">
        <v>331</v>
      </c>
      <c r="CQ6" s="190" t="s">
        <v>331</v>
      </c>
      <c r="CR6" s="190" t="s">
        <v>331</v>
      </c>
      <c r="CS6" s="190" t="s">
        <v>331</v>
      </c>
      <c r="CT6" s="190" t="s">
        <v>331</v>
      </c>
      <c r="CU6" s="190" t="s">
        <v>331</v>
      </c>
      <c r="CV6" s="190" t="s">
        <v>331</v>
      </c>
      <c r="CW6" s="190" t="s">
        <v>331</v>
      </c>
      <c r="CX6" s="190" t="s">
        <v>331</v>
      </c>
      <c r="CY6" s="190" t="s">
        <v>331</v>
      </c>
      <c r="CZ6" s="190" t="s">
        <v>331</v>
      </c>
      <c r="DA6" s="190" t="s">
        <v>331</v>
      </c>
      <c r="DB6" s="190" t="s">
        <v>331</v>
      </c>
      <c r="DC6" s="190" t="s">
        <v>331</v>
      </c>
      <c r="DD6" s="190" t="s">
        <v>331</v>
      </c>
      <c r="DE6" s="190" t="s">
        <v>331</v>
      </c>
      <c r="DF6" s="190" t="s">
        <v>331</v>
      </c>
      <c r="DG6" s="190" t="s">
        <v>331</v>
      </c>
      <c r="DH6" s="190" t="s">
        <v>331</v>
      </c>
      <c r="DI6" s="190" t="s">
        <v>331</v>
      </c>
      <c r="DJ6" s="190" t="s">
        <v>331</v>
      </c>
      <c r="DK6" s="190" t="s">
        <v>331</v>
      </c>
      <c r="DL6" s="190" t="s">
        <v>331</v>
      </c>
      <c r="DM6" s="190" t="s">
        <v>331</v>
      </c>
      <c r="DN6" s="190" t="s">
        <v>331</v>
      </c>
      <c r="DO6" s="190" t="s">
        <v>331</v>
      </c>
      <c r="DP6" s="190" t="s">
        <v>331</v>
      </c>
      <c r="DQ6" s="190" t="s">
        <v>331</v>
      </c>
      <c r="DR6" s="190" t="s">
        <v>331</v>
      </c>
      <c r="DS6" s="190" t="s">
        <v>331</v>
      </c>
      <c r="DT6" s="191" t="s">
        <v>331</v>
      </c>
    </row>
    <row r="7" spans="1:129">
      <c r="A7" s="189" t="s">
        <v>272</v>
      </c>
      <c r="B7" s="190">
        <v>2</v>
      </c>
      <c r="C7" s="190">
        <v>1</v>
      </c>
      <c r="D7" s="190">
        <v>2</v>
      </c>
      <c r="E7" s="190">
        <v>2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2</v>
      </c>
      <c r="Z7" s="190">
        <v>2</v>
      </c>
      <c r="AA7" s="190">
        <v>0</v>
      </c>
      <c r="AB7" s="190">
        <v>1</v>
      </c>
      <c r="AC7" s="190">
        <v>1</v>
      </c>
      <c r="AD7" s="190">
        <v>0</v>
      </c>
      <c r="AE7" s="190">
        <v>1</v>
      </c>
      <c r="AF7" s="190">
        <v>1</v>
      </c>
      <c r="AG7" s="190">
        <v>0</v>
      </c>
      <c r="AH7" s="190">
        <v>0</v>
      </c>
      <c r="AI7" s="190">
        <v>0</v>
      </c>
      <c r="AJ7" s="190">
        <v>0</v>
      </c>
      <c r="AK7" s="190">
        <v>0</v>
      </c>
      <c r="AL7" s="190">
        <v>0</v>
      </c>
      <c r="AM7" s="190">
        <v>0</v>
      </c>
      <c r="AN7" s="190">
        <v>1</v>
      </c>
      <c r="AO7" s="190">
        <v>1</v>
      </c>
      <c r="AP7" s="190">
        <v>1</v>
      </c>
      <c r="AQ7" s="190">
        <v>82</v>
      </c>
      <c r="AR7" s="190">
        <v>83</v>
      </c>
      <c r="AS7" s="190">
        <v>1</v>
      </c>
      <c r="AT7" s="190">
        <v>82</v>
      </c>
      <c r="AU7" s="190">
        <v>83</v>
      </c>
      <c r="AV7" s="190">
        <v>0</v>
      </c>
      <c r="AW7" s="190">
        <v>0</v>
      </c>
      <c r="AX7" s="190">
        <v>0</v>
      </c>
      <c r="AY7" s="190">
        <v>0</v>
      </c>
      <c r="AZ7" s="190">
        <v>3</v>
      </c>
      <c r="BA7" s="190">
        <v>3</v>
      </c>
      <c r="BB7" s="190">
        <v>0</v>
      </c>
      <c r="BC7" s="190">
        <v>0</v>
      </c>
      <c r="BD7" s="190">
        <v>0</v>
      </c>
      <c r="BE7" s="190">
        <v>2</v>
      </c>
      <c r="BF7" s="190">
        <v>0</v>
      </c>
      <c r="BG7" s="190">
        <v>0</v>
      </c>
      <c r="BH7" s="190">
        <v>0</v>
      </c>
      <c r="BI7" s="190">
        <v>2</v>
      </c>
      <c r="BJ7" s="190">
        <v>2</v>
      </c>
      <c r="BK7" s="190">
        <v>0</v>
      </c>
      <c r="BL7" s="190">
        <v>0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0</v>
      </c>
      <c r="BS7" s="190">
        <v>0</v>
      </c>
      <c r="BT7" s="190">
        <v>0</v>
      </c>
      <c r="BU7" s="190">
        <v>1</v>
      </c>
      <c r="BV7" s="190">
        <v>1</v>
      </c>
      <c r="BW7" s="190">
        <v>1</v>
      </c>
      <c r="BX7" s="190">
        <v>85</v>
      </c>
      <c r="BY7" s="190">
        <v>86</v>
      </c>
      <c r="BZ7" s="190">
        <v>1</v>
      </c>
      <c r="CA7" s="190">
        <v>85</v>
      </c>
      <c r="CB7" s="190">
        <v>86</v>
      </c>
      <c r="CC7" s="190">
        <v>149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7</v>
      </c>
      <c r="CP7" s="190">
        <v>7</v>
      </c>
      <c r="CQ7" s="190">
        <v>0</v>
      </c>
      <c r="CR7" s="190">
        <v>0</v>
      </c>
      <c r="CS7" s="190">
        <v>0</v>
      </c>
      <c r="CT7" s="190">
        <v>1</v>
      </c>
      <c r="CU7" s="190">
        <v>78</v>
      </c>
      <c r="CV7" s="190">
        <v>79</v>
      </c>
      <c r="CW7" s="190">
        <v>0</v>
      </c>
      <c r="CX7" s="190">
        <v>3</v>
      </c>
      <c r="CY7" s="190">
        <v>3</v>
      </c>
      <c r="CZ7" s="190">
        <v>0</v>
      </c>
      <c r="DA7" s="190">
        <v>0</v>
      </c>
      <c r="DB7" s="190">
        <v>0</v>
      </c>
      <c r="DC7" s="190">
        <v>3</v>
      </c>
      <c r="DD7" s="190">
        <v>0</v>
      </c>
      <c r="DE7" s="190">
        <v>0</v>
      </c>
      <c r="DF7" s="190">
        <v>0</v>
      </c>
      <c r="DG7" s="190">
        <v>3</v>
      </c>
      <c r="DH7" s="190">
        <v>3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112</v>
      </c>
      <c r="C8" s="190">
        <v>20</v>
      </c>
      <c r="D8" s="190">
        <v>89</v>
      </c>
      <c r="E8" s="190">
        <v>56</v>
      </c>
      <c r="F8" s="190">
        <v>0</v>
      </c>
      <c r="G8" s="190">
        <v>0</v>
      </c>
      <c r="H8" s="190">
        <v>0</v>
      </c>
      <c r="I8" s="190">
        <v>0</v>
      </c>
      <c r="J8" s="190">
        <v>30</v>
      </c>
      <c r="K8" s="190">
        <v>30</v>
      </c>
      <c r="L8" s="190">
        <v>0</v>
      </c>
      <c r="M8" s="190">
        <v>17</v>
      </c>
      <c r="N8" s="190">
        <v>17</v>
      </c>
      <c r="O8" s="190">
        <v>0</v>
      </c>
      <c r="P8" s="190">
        <v>13</v>
      </c>
      <c r="Q8" s="190">
        <v>13</v>
      </c>
      <c r="R8" s="190">
        <v>0</v>
      </c>
      <c r="S8" s="190">
        <v>0</v>
      </c>
      <c r="T8" s="190">
        <v>0</v>
      </c>
      <c r="U8" s="190">
        <v>0</v>
      </c>
      <c r="V8" s="190">
        <v>3</v>
      </c>
      <c r="W8" s="190">
        <v>3</v>
      </c>
      <c r="X8" s="190">
        <v>1</v>
      </c>
      <c r="Y8" s="190">
        <v>88</v>
      </c>
      <c r="Z8" s="190">
        <v>89</v>
      </c>
      <c r="AA8" s="190">
        <v>1</v>
      </c>
      <c r="AB8" s="190">
        <v>35</v>
      </c>
      <c r="AC8" s="190">
        <v>36</v>
      </c>
      <c r="AD8" s="190">
        <v>1</v>
      </c>
      <c r="AE8" s="190">
        <v>34</v>
      </c>
      <c r="AF8" s="190">
        <v>35</v>
      </c>
      <c r="AG8" s="190">
        <v>0</v>
      </c>
      <c r="AH8" s="190">
        <v>0</v>
      </c>
      <c r="AI8" s="190">
        <v>0</v>
      </c>
      <c r="AJ8" s="190">
        <v>0</v>
      </c>
      <c r="AK8" s="190">
        <v>1</v>
      </c>
      <c r="AL8" s="190">
        <v>1</v>
      </c>
      <c r="AM8" s="190">
        <v>0</v>
      </c>
      <c r="AN8" s="190">
        <v>53</v>
      </c>
      <c r="AO8" s="190">
        <v>53</v>
      </c>
      <c r="AP8" s="190">
        <v>121</v>
      </c>
      <c r="AQ8" s="190">
        <v>1462</v>
      </c>
      <c r="AR8" s="190">
        <v>1583</v>
      </c>
      <c r="AS8" s="190">
        <v>121</v>
      </c>
      <c r="AT8" s="190">
        <v>1463</v>
      </c>
      <c r="AU8" s="190">
        <v>1584</v>
      </c>
      <c r="AV8" s="190">
        <v>0</v>
      </c>
      <c r="AW8" s="190">
        <v>-1</v>
      </c>
      <c r="AX8" s="190">
        <v>-1</v>
      </c>
      <c r="AY8" s="190">
        <v>-2</v>
      </c>
      <c r="AZ8" s="190">
        <v>113</v>
      </c>
      <c r="BA8" s="190">
        <v>111</v>
      </c>
      <c r="BB8" s="190">
        <v>1</v>
      </c>
      <c r="BC8" s="190">
        <v>0</v>
      </c>
      <c r="BD8" s="190">
        <v>0</v>
      </c>
      <c r="BE8" s="190">
        <v>55</v>
      </c>
      <c r="BF8" s="190">
        <v>0</v>
      </c>
      <c r="BG8" s="190">
        <v>0</v>
      </c>
      <c r="BH8" s="190">
        <v>1</v>
      </c>
      <c r="BI8" s="190">
        <v>55</v>
      </c>
      <c r="BJ8" s="190">
        <v>56</v>
      </c>
      <c r="BK8" s="190">
        <v>-7</v>
      </c>
      <c r="BL8" s="190">
        <v>7</v>
      </c>
      <c r="BM8" s="190">
        <v>0</v>
      </c>
      <c r="BN8" s="190">
        <v>0</v>
      </c>
      <c r="BO8" s="190">
        <v>9</v>
      </c>
      <c r="BP8" s="190">
        <v>9</v>
      </c>
      <c r="BQ8" s="190">
        <v>0</v>
      </c>
      <c r="BR8" s="190">
        <v>16</v>
      </c>
      <c r="BS8" s="190">
        <v>16</v>
      </c>
      <c r="BT8" s="190">
        <v>4</v>
      </c>
      <c r="BU8" s="190">
        <v>26</v>
      </c>
      <c r="BV8" s="190">
        <v>30</v>
      </c>
      <c r="BW8" s="190">
        <v>119</v>
      </c>
      <c r="BX8" s="190">
        <v>1575</v>
      </c>
      <c r="BY8" s="190">
        <v>1694</v>
      </c>
      <c r="BZ8" s="190">
        <v>119</v>
      </c>
      <c r="CA8" s="190">
        <v>1570</v>
      </c>
      <c r="CB8" s="190">
        <v>1689</v>
      </c>
      <c r="CC8" s="190">
        <v>3100</v>
      </c>
      <c r="CD8" s="190">
        <v>0</v>
      </c>
      <c r="CE8" s="190">
        <v>4</v>
      </c>
      <c r="CF8" s="190">
        <v>0</v>
      </c>
      <c r="CG8" s="190">
        <v>4</v>
      </c>
      <c r="CH8" s="190">
        <v>4</v>
      </c>
      <c r="CI8" s="190">
        <v>1</v>
      </c>
      <c r="CJ8" s="190">
        <v>0</v>
      </c>
      <c r="CK8" s="190">
        <v>0</v>
      </c>
      <c r="CL8" s="190">
        <v>1</v>
      </c>
      <c r="CM8" s="190">
        <v>1</v>
      </c>
      <c r="CN8" s="190">
        <v>11</v>
      </c>
      <c r="CO8" s="190">
        <v>133</v>
      </c>
      <c r="CP8" s="190">
        <v>144</v>
      </c>
      <c r="CQ8" s="190">
        <v>0</v>
      </c>
      <c r="CR8" s="190">
        <v>0</v>
      </c>
      <c r="CS8" s="190">
        <v>0</v>
      </c>
      <c r="CT8" s="190">
        <v>108</v>
      </c>
      <c r="CU8" s="190">
        <v>1442</v>
      </c>
      <c r="CV8" s="190">
        <v>1550</v>
      </c>
      <c r="CW8" s="190">
        <v>4</v>
      </c>
      <c r="CX8" s="190">
        <v>63</v>
      </c>
      <c r="CY8" s="190">
        <v>67</v>
      </c>
      <c r="CZ8" s="190">
        <v>4</v>
      </c>
      <c r="DA8" s="190">
        <v>0</v>
      </c>
      <c r="DB8" s="190">
        <v>0</v>
      </c>
      <c r="DC8" s="190">
        <v>61</v>
      </c>
      <c r="DD8" s="190">
        <v>0</v>
      </c>
      <c r="DE8" s="190">
        <v>0</v>
      </c>
      <c r="DF8" s="190">
        <v>4</v>
      </c>
      <c r="DG8" s="190">
        <v>61</v>
      </c>
      <c r="DH8" s="190">
        <v>65</v>
      </c>
      <c r="DI8" s="190">
        <v>0</v>
      </c>
      <c r="DJ8" s="190">
        <v>0</v>
      </c>
      <c r="DK8" s="190">
        <v>0</v>
      </c>
      <c r="DL8" s="190">
        <v>2</v>
      </c>
      <c r="DM8" s="190">
        <v>0</v>
      </c>
      <c r="DN8" s="190">
        <v>0</v>
      </c>
      <c r="DO8" s="190">
        <v>0</v>
      </c>
      <c r="DP8" s="190">
        <v>2</v>
      </c>
      <c r="DQ8" s="190">
        <v>2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1339</v>
      </c>
      <c r="C9" s="190">
        <v>449</v>
      </c>
      <c r="D9" s="190">
        <v>1345</v>
      </c>
      <c r="E9" s="190">
        <v>756</v>
      </c>
      <c r="F9" s="190">
        <v>2</v>
      </c>
      <c r="G9" s="190">
        <v>93</v>
      </c>
      <c r="H9" s="190">
        <v>95</v>
      </c>
      <c r="I9" s="190">
        <v>0</v>
      </c>
      <c r="J9" s="190">
        <v>532</v>
      </c>
      <c r="K9" s="190">
        <v>532</v>
      </c>
      <c r="L9" s="190">
        <v>0</v>
      </c>
      <c r="M9" s="190">
        <v>182</v>
      </c>
      <c r="N9" s="190">
        <v>182</v>
      </c>
      <c r="O9" s="190">
        <v>0</v>
      </c>
      <c r="P9" s="190">
        <v>350</v>
      </c>
      <c r="Q9" s="190">
        <v>350</v>
      </c>
      <c r="R9" s="190">
        <v>0</v>
      </c>
      <c r="S9" s="190">
        <v>24</v>
      </c>
      <c r="T9" s="190">
        <v>24</v>
      </c>
      <c r="U9" s="190">
        <v>0</v>
      </c>
      <c r="V9" s="190">
        <v>57</v>
      </c>
      <c r="W9" s="190">
        <v>57</v>
      </c>
      <c r="X9" s="190">
        <v>20</v>
      </c>
      <c r="Y9" s="190">
        <v>1325</v>
      </c>
      <c r="Z9" s="190">
        <v>1345</v>
      </c>
      <c r="AA9" s="190">
        <v>12</v>
      </c>
      <c r="AB9" s="190">
        <v>529</v>
      </c>
      <c r="AC9" s="190">
        <v>541</v>
      </c>
      <c r="AD9" s="190">
        <v>12</v>
      </c>
      <c r="AE9" s="190">
        <v>503</v>
      </c>
      <c r="AF9" s="190">
        <v>515</v>
      </c>
      <c r="AG9" s="190">
        <v>0</v>
      </c>
      <c r="AH9" s="190">
        <v>18</v>
      </c>
      <c r="AI9" s="190">
        <v>18</v>
      </c>
      <c r="AJ9" s="190">
        <v>0</v>
      </c>
      <c r="AK9" s="190">
        <v>8</v>
      </c>
      <c r="AL9" s="190">
        <v>8</v>
      </c>
      <c r="AM9" s="190">
        <v>8</v>
      </c>
      <c r="AN9" s="190">
        <v>796</v>
      </c>
      <c r="AO9" s="190">
        <v>804</v>
      </c>
      <c r="AP9" s="190">
        <v>1499</v>
      </c>
      <c r="AQ9" s="190">
        <v>14005</v>
      </c>
      <c r="AR9" s="190">
        <v>15504</v>
      </c>
      <c r="AS9" s="190">
        <v>1499</v>
      </c>
      <c r="AT9" s="190">
        <v>14005</v>
      </c>
      <c r="AU9" s="190">
        <v>15504</v>
      </c>
      <c r="AV9" s="190">
        <v>0</v>
      </c>
      <c r="AW9" s="190">
        <v>0</v>
      </c>
      <c r="AX9" s="190">
        <v>0</v>
      </c>
      <c r="AY9" s="190">
        <v>57</v>
      </c>
      <c r="AZ9" s="190">
        <v>1325</v>
      </c>
      <c r="BA9" s="190">
        <v>1382</v>
      </c>
      <c r="BB9" s="190">
        <v>24</v>
      </c>
      <c r="BC9" s="190">
        <v>0</v>
      </c>
      <c r="BD9" s="190">
        <v>0</v>
      </c>
      <c r="BE9" s="190">
        <v>727</v>
      </c>
      <c r="BF9" s="190">
        <v>4</v>
      </c>
      <c r="BG9" s="190">
        <v>1</v>
      </c>
      <c r="BH9" s="190">
        <v>24</v>
      </c>
      <c r="BI9" s="190">
        <v>732</v>
      </c>
      <c r="BJ9" s="190">
        <v>756</v>
      </c>
      <c r="BK9" s="190">
        <v>-31</v>
      </c>
      <c r="BL9" s="190">
        <v>31</v>
      </c>
      <c r="BM9" s="190">
        <v>0</v>
      </c>
      <c r="BN9" s="190">
        <v>4</v>
      </c>
      <c r="BO9" s="190">
        <v>65</v>
      </c>
      <c r="BP9" s="190">
        <v>69</v>
      </c>
      <c r="BQ9" s="190">
        <v>6</v>
      </c>
      <c r="BR9" s="190">
        <v>163</v>
      </c>
      <c r="BS9" s="190">
        <v>169</v>
      </c>
      <c r="BT9" s="190">
        <v>54</v>
      </c>
      <c r="BU9" s="190">
        <v>334</v>
      </c>
      <c r="BV9" s="190">
        <v>388</v>
      </c>
      <c r="BW9" s="190">
        <v>1556</v>
      </c>
      <c r="BX9" s="190">
        <v>15330</v>
      </c>
      <c r="BY9" s="190">
        <v>16886</v>
      </c>
      <c r="BZ9" s="190">
        <v>1548</v>
      </c>
      <c r="CA9" s="190">
        <v>15263</v>
      </c>
      <c r="CB9" s="190">
        <v>16811</v>
      </c>
      <c r="CC9" s="190">
        <v>31218</v>
      </c>
      <c r="CD9" s="190">
        <v>8</v>
      </c>
      <c r="CE9" s="190">
        <v>48</v>
      </c>
      <c r="CF9" s="190">
        <v>8</v>
      </c>
      <c r="CG9" s="190">
        <v>45</v>
      </c>
      <c r="CH9" s="190">
        <v>53</v>
      </c>
      <c r="CI9" s="190">
        <v>23</v>
      </c>
      <c r="CJ9" s="190">
        <v>3</v>
      </c>
      <c r="CK9" s="190">
        <v>0</v>
      </c>
      <c r="CL9" s="190">
        <v>22</v>
      </c>
      <c r="CM9" s="190">
        <v>22</v>
      </c>
      <c r="CN9" s="190">
        <v>87</v>
      </c>
      <c r="CO9" s="190">
        <v>1192</v>
      </c>
      <c r="CP9" s="190">
        <v>1279</v>
      </c>
      <c r="CQ9" s="190">
        <v>0</v>
      </c>
      <c r="CR9" s="190">
        <v>13</v>
      </c>
      <c r="CS9" s="190">
        <v>13</v>
      </c>
      <c r="CT9" s="190">
        <v>1469</v>
      </c>
      <c r="CU9" s="190">
        <v>14138</v>
      </c>
      <c r="CV9" s="190">
        <v>15607</v>
      </c>
      <c r="CW9" s="190">
        <v>111</v>
      </c>
      <c r="CX9" s="190">
        <v>633</v>
      </c>
      <c r="CY9" s="190">
        <v>744</v>
      </c>
      <c r="CZ9" s="190">
        <v>108</v>
      </c>
      <c r="DA9" s="190">
        <v>0</v>
      </c>
      <c r="DB9" s="190">
        <v>0</v>
      </c>
      <c r="DC9" s="190">
        <v>619</v>
      </c>
      <c r="DD9" s="190">
        <v>1</v>
      </c>
      <c r="DE9" s="190">
        <v>0</v>
      </c>
      <c r="DF9" s="190">
        <v>108</v>
      </c>
      <c r="DG9" s="190">
        <v>620</v>
      </c>
      <c r="DH9" s="190">
        <v>728</v>
      </c>
      <c r="DI9" s="190">
        <v>3</v>
      </c>
      <c r="DJ9" s="190">
        <v>0</v>
      </c>
      <c r="DK9" s="190">
        <v>0</v>
      </c>
      <c r="DL9" s="190">
        <v>12</v>
      </c>
      <c r="DM9" s="190">
        <v>1</v>
      </c>
      <c r="DN9" s="190">
        <v>0</v>
      </c>
      <c r="DO9" s="190">
        <v>3</v>
      </c>
      <c r="DP9" s="190">
        <v>13</v>
      </c>
      <c r="DQ9" s="190">
        <v>16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174</v>
      </c>
      <c r="C10" s="190">
        <v>27</v>
      </c>
      <c r="D10" s="190">
        <v>175</v>
      </c>
      <c r="E10" s="190">
        <v>129</v>
      </c>
      <c r="F10" s="190">
        <v>0</v>
      </c>
      <c r="G10" s="190">
        <v>0</v>
      </c>
      <c r="H10" s="190">
        <v>0</v>
      </c>
      <c r="I10" s="190">
        <v>0</v>
      </c>
      <c r="J10" s="190">
        <v>38</v>
      </c>
      <c r="K10" s="190">
        <v>38</v>
      </c>
      <c r="L10" s="190">
        <v>0</v>
      </c>
      <c r="M10" s="190">
        <v>17</v>
      </c>
      <c r="N10" s="190">
        <v>17</v>
      </c>
      <c r="O10" s="190">
        <v>0</v>
      </c>
      <c r="P10" s="190">
        <v>21</v>
      </c>
      <c r="Q10" s="190">
        <v>21</v>
      </c>
      <c r="R10" s="190">
        <v>0</v>
      </c>
      <c r="S10" s="190">
        <v>0</v>
      </c>
      <c r="T10" s="190">
        <v>0</v>
      </c>
      <c r="U10" s="190">
        <v>0</v>
      </c>
      <c r="V10" s="190">
        <v>8</v>
      </c>
      <c r="W10" s="190">
        <v>8</v>
      </c>
      <c r="X10" s="190">
        <v>3</v>
      </c>
      <c r="Y10" s="190">
        <v>172</v>
      </c>
      <c r="Z10" s="190">
        <v>175</v>
      </c>
      <c r="AA10" s="190">
        <v>1</v>
      </c>
      <c r="AB10" s="190">
        <v>83</v>
      </c>
      <c r="AC10" s="190">
        <v>84</v>
      </c>
      <c r="AD10" s="190">
        <v>1</v>
      </c>
      <c r="AE10" s="190">
        <v>78</v>
      </c>
      <c r="AF10" s="190">
        <v>79</v>
      </c>
      <c r="AG10" s="190">
        <v>0</v>
      </c>
      <c r="AH10" s="190">
        <v>1</v>
      </c>
      <c r="AI10" s="190">
        <v>1</v>
      </c>
      <c r="AJ10" s="190">
        <v>0</v>
      </c>
      <c r="AK10" s="190">
        <v>4</v>
      </c>
      <c r="AL10" s="190">
        <v>4</v>
      </c>
      <c r="AM10" s="190">
        <v>2</v>
      </c>
      <c r="AN10" s="190">
        <v>89</v>
      </c>
      <c r="AO10" s="190">
        <v>91</v>
      </c>
      <c r="AP10" s="190">
        <v>185</v>
      </c>
      <c r="AQ10" s="190">
        <v>2441</v>
      </c>
      <c r="AR10" s="190">
        <v>2626</v>
      </c>
      <c r="AS10" s="190">
        <v>185</v>
      </c>
      <c r="AT10" s="190">
        <v>2442</v>
      </c>
      <c r="AU10" s="190">
        <v>2627</v>
      </c>
      <c r="AV10" s="190">
        <v>0</v>
      </c>
      <c r="AW10" s="190">
        <v>-1</v>
      </c>
      <c r="AX10" s="190">
        <v>-1</v>
      </c>
      <c r="AY10" s="190">
        <v>8</v>
      </c>
      <c r="AZ10" s="190">
        <v>222</v>
      </c>
      <c r="BA10" s="190">
        <v>230</v>
      </c>
      <c r="BB10" s="190">
        <v>2</v>
      </c>
      <c r="BC10" s="190">
        <v>0</v>
      </c>
      <c r="BD10" s="190">
        <v>0</v>
      </c>
      <c r="BE10" s="190">
        <v>127</v>
      </c>
      <c r="BF10" s="190">
        <v>0</v>
      </c>
      <c r="BG10" s="190">
        <v>0</v>
      </c>
      <c r="BH10" s="190">
        <v>2</v>
      </c>
      <c r="BI10" s="190">
        <v>127</v>
      </c>
      <c r="BJ10" s="190">
        <v>129</v>
      </c>
      <c r="BK10" s="190">
        <v>-3</v>
      </c>
      <c r="BL10" s="190">
        <v>3</v>
      </c>
      <c r="BM10" s="190">
        <v>0</v>
      </c>
      <c r="BN10" s="190">
        <v>4</v>
      </c>
      <c r="BO10" s="190">
        <v>12</v>
      </c>
      <c r="BP10" s="190">
        <v>16</v>
      </c>
      <c r="BQ10" s="190">
        <v>1</v>
      </c>
      <c r="BR10" s="190">
        <v>27</v>
      </c>
      <c r="BS10" s="190">
        <v>28</v>
      </c>
      <c r="BT10" s="190">
        <v>4</v>
      </c>
      <c r="BU10" s="190">
        <v>53</v>
      </c>
      <c r="BV10" s="190">
        <v>57</v>
      </c>
      <c r="BW10" s="190">
        <v>193</v>
      </c>
      <c r="BX10" s="190">
        <v>2663</v>
      </c>
      <c r="BY10" s="190">
        <v>2856</v>
      </c>
      <c r="BZ10" s="190">
        <v>193</v>
      </c>
      <c r="CA10" s="190">
        <v>2653</v>
      </c>
      <c r="CB10" s="190">
        <v>2846</v>
      </c>
      <c r="CC10" s="190">
        <v>5147</v>
      </c>
      <c r="CD10" s="190">
        <v>2</v>
      </c>
      <c r="CE10" s="190">
        <v>5</v>
      </c>
      <c r="CF10" s="190">
        <v>0</v>
      </c>
      <c r="CG10" s="190">
        <v>6</v>
      </c>
      <c r="CH10" s="190">
        <v>6</v>
      </c>
      <c r="CI10" s="190">
        <v>5</v>
      </c>
      <c r="CJ10" s="190">
        <v>0</v>
      </c>
      <c r="CK10" s="190">
        <v>0</v>
      </c>
      <c r="CL10" s="190">
        <v>4</v>
      </c>
      <c r="CM10" s="190">
        <v>4</v>
      </c>
      <c r="CN10" s="190">
        <v>7</v>
      </c>
      <c r="CO10" s="190">
        <v>242</v>
      </c>
      <c r="CP10" s="190">
        <v>249</v>
      </c>
      <c r="CQ10" s="190">
        <v>0</v>
      </c>
      <c r="CR10" s="190">
        <v>1</v>
      </c>
      <c r="CS10" s="190">
        <v>1</v>
      </c>
      <c r="CT10" s="190">
        <v>186</v>
      </c>
      <c r="CU10" s="190">
        <v>2421</v>
      </c>
      <c r="CV10" s="190">
        <v>2607</v>
      </c>
      <c r="CW10" s="190">
        <v>10</v>
      </c>
      <c r="CX10" s="190">
        <v>117</v>
      </c>
      <c r="CY10" s="190">
        <v>127</v>
      </c>
      <c r="CZ10" s="190">
        <v>10</v>
      </c>
      <c r="DA10" s="190">
        <v>0</v>
      </c>
      <c r="DB10" s="190">
        <v>0</v>
      </c>
      <c r="DC10" s="190">
        <v>115</v>
      </c>
      <c r="DD10" s="190">
        <v>0</v>
      </c>
      <c r="DE10" s="190">
        <v>0</v>
      </c>
      <c r="DF10" s="190">
        <v>10</v>
      </c>
      <c r="DG10" s="190">
        <v>115</v>
      </c>
      <c r="DH10" s="190">
        <v>125</v>
      </c>
      <c r="DI10" s="190">
        <v>0</v>
      </c>
      <c r="DJ10" s="190">
        <v>0</v>
      </c>
      <c r="DK10" s="190">
        <v>0</v>
      </c>
      <c r="DL10" s="190">
        <v>2</v>
      </c>
      <c r="DM10" s="190">
        <v>0</v>
      </c>
      <c r="DN10" s="190">
        <v>0</v>
      </c>
      <c r="DO10" s="190">
        <v>0</v>
      </c>
      <c r="DP10" s="190">
        <v>2</v>
      </c>
      <c r="DQ10" s="190">
        <v>2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53</v>
      </c>
      <c r="C11" s="190">
        <v>8</v>
      </c>
      <c r="D11" s="190">
        <v>53</v>
      </c>
      <c r="E11" s="190">
        <v>33</v>
      </c>
      <c r="F11" s="190">
        <v>0</v>
      </c>
      <c r="G11" s="190">
        <v>0</v>
      </c>
      <c r="H11" s="190">
        <v>0</v>
      </c>
      <c r="I11" s="190">
        <v>0</v>
      </c>
      <c r="J11" s="190">
        <v>18</v>
      </c>
      <c r="K11" s="190">
        <v>18</v>
      </c>
      <c r="L11" s="190">
        <v>0</v>
      </c>
      <c r="M11" s="190">
        <v>4</v>
      </c>
      <c r="N11" s="190">
        <v>4</v>
      </c>
      <c r="O11" s="190">
        <v>0</v>
      </c>
      <c r="P11" s="190">
        <v>14</v>
      </c>
      <c r="Q11" s="190">
        <v>14</v>
      </c>
      <c r="R11" s="190">
        <v>0</v>
      </c>
      <c r="S11" s="190">
        <v>0</v>
      </c>
      <c r="T11" s="190">
        <v>0</v>
      </c>
      <c r="U11" s="190">
        <v>0</v>
      </c>
      <c r="V11" s="190">
        <v>2</v>
      </c>
      <c r="W11" s="190">
        <v>2</v>
      </c>
      <c r="X11" s="190">
        <v>0</v>
      </c>
      <c r="Y11" s="190">
        <v>53</v>
      </c>
      <c r="Z11" s="190">
        <v>53</v>
      </c>
      <c r="AA11" s="190">
        <v>0</v>
      </c>
      <c r="AB11" s="190">
        <v>18</v>
      </c>
      <c r="AC11" s="190">
        <v>18</v>
      </c>
      <c r="AD11" s="190">
        <v>0</v>
      </c>
      <c r="AE11" s="190">
        <v>17</v>
      </c>
      <c r="AF11" s="190">
        <v>17</v>
      </c>
      <c r="AG11" s="190">
        <v>0</v>
      </c>
      <c r="AH11" s="190">
        <v>1</v>
      </c>
      <c r="AI11" s="190">
        <v>1</v>
      </c>
      <c r="AJ11" s="190">
        <v>0</v>
      </c>
      <c r="AK11" s="190">
        <v>0</v>
      </c>
      <c r="AL11" s="190">
        <v>0</v>
      </c>
      <c r="AM11" s="190">
        <v>0</v>
      </c>
      <c r="AN11" s="190">
        <v>35</v>
      </c>
      <c r="AO11" s="190">
        <v>35</v>
      </c>
      <c r="AP11" s="190">
        <v>80</v>
      </c>
      <c r="AQ11" s="190">
        <v>572</v>
      </c>
      <c r="AR11" s="190">
        <v>652</v>
      </c>
      <c r="AS11" s="190">
        <v>80</v>
      </c>
      <c r="AT11" s="190">
        <v>572</v>
      </c>
      <c r="AU11" s="190">
        <v>652</v>
      </c>
      <c r="AV11" s="190">
        <v>0</v>
      </c>
      <c r="AW11" s="190">
        <v>0</v>
      </c>
      <c r="AX11" s="190">
        <v>0</v>
      </c>
      <c r="AY11" s="190">
        <v>12</v>
      </c>
      <c r="AZ11" s="190">
        <v>51</v>
      </c>
      <c r="BA11" s="190">
        <v>63</v>
      </c>
      <c r="BB11" s="190">
        <v>0</v>
      </c>
      <c r="BC11" s="190">
        <v>0</v>
      </c>
      <c r="BD11" s="190">
        <v>0</v>
      </c>
      <c r="BE11" s="190">
        <v>32</v>
      </c>
      <c r="BF11" s="190">
        <v>1</v>
      </c>
      <c r="BG11" s="190">
        <v>0</v>
      </c>
      <c r="BH11" s="190">
        <v>0</v>
      </c>
      <c r="BI11" s="190">
        <v>33</v>
      </c>
      <c r="BJ11" s="190">
        <v>33</v>
      </c>
      <c r="BK11" s="190">
        <v>4</v>
      </c>
      <c r="BL11" s="190">
        <v>-4</v>
      </c>
      <c r="BM11" s="190">
        <v>0</v>
      </c>
      <c r="BN11" s="190">
        <v>4</v>
      </c>
      <c r="BO11" s="190">
        <v>5</v>
      </c>
      <c r="BP11" s="190">
        <v>9</v>
      </c>
      <c r="BQ11" s="190">
        <v>0</v>
      </c>
      <c r="BR11" s="190">
        <v>4</v>
      </c>
      <c r="BS11" s="190">
        <v>4</v>
      </c>
      <c r="BT11" s="190">
        <v>4</v>
      </c>
      <c r="BU11" s="190">
        <v>13</v>
      </c>
      <c r="BV11" s="190">
        <v>17</v>
      </c>
      <c r="BW11" s="190">
        <v>92</v>
      </c>
      <c r="BX11" s="190">
        <v>623</v>
      </c>
      <c r="BY11" s="190">
        <v>715</v>
      </c>
      <c r="BZ11" s="190">
        <v>89</v>
      </c>
      <c r="CA11" s="190">
        <v>619</v>
      </c>
      <c r="CB11" s="190">
        <v>708</v>
      </c>
      <c r="CC11" s="190">
        <v>1664</v>
      </c>
      <c r="CD11" s="190">
        <v>1</v>
      </c>
      <c r="CE11" s="190">
        <v>5</v>
      </c>
      <c r="CF11" s="190">
        <v>3</v>
      </c>
      <c r="CG11" s="190">
        <v>3</v>
      </c>
      <c r="CH11" s="190">
        <v>6</v>
      </c>
      <c r="CI11" s="190">
        <v>1</v>
      </c>
      <c r="CJ11" s="190">
        <v>0</v>
      </c>
      <c r="CK11" s="190">
        <v>0</v>
      </c>
      <c r="CL11" s="190">
        <v>1</v>
      </c>
      <c r="CM11" s="190">
        <v>1</v>
      </c>
      <c r="CN11" s="190">
        <v>3</v>
      </c>
      <c r="CO11" s="190">
        <v>59</v>
      </c>
      <c r="CP11" s="190">
        <v>62</v>
      </c>
      <c r="CQ11" s="190">
        <v>0</v>
      </c>
      <c r="CR11" s="190">
        <v>0</v>
      </c>
      <c r="CS11" s="190">
        <v>0</v>
      </c>
      <c r="CT11" s="190">
        <v>89</v>
      </c>
      <c r="CU11" s="190">
        <v>564</v>
      </c>
      <c r="CV11" s="190">
        <v>653</v>
      </c>
      <c r="CW11" s="190">
        <v>5</v>
      </c>
      <c r="CX11" s="190">
        <v>13</v>
      </c>
      <c r="CY11" s="190">
        <v>18</v>
      </c>
      <c r="CZ11" s="190">
        <v>5</v>
      </c>
      <c r="DA11" s="190">
        <v>0</v>
      </c>
      <c r="DB11" s="190">
        <v>0</v>
      </c>
      <c r="DC11" s="190">
        <v>13</v>
      </c>
      <c r="DD11" s="190">
        <v>0</v>
      </c>
      <c r="DE11" s="190">
        <v>0</v>
      </c>
      <c r="DF11" s="190">
        <v>5</v>
      </c>
      <c r="DG11" s="190">
        <v>13</v>
      </c>
      <c r="DH11" s="190">
        <v>18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1915</v>
      </c>
      <c r="C12" s="190">
        <v>508</v>
      </c>
      <c r="D12" s="190">
        <v>1676</v>
      </c>
      <c r="E12" s="190">
        <v>922</v>
      </c>
      <c r="F12" s="190">
        <v>1</v>
      </c>
      <c r="G12" s="190">
        <v>14</v>
      </c>
      <c r="H12" s="190">
        <v>15</v>
      </c>
      <c r="I12" s="190">
        <v>3</v>
      </c>
      <c r="J12" s="190">
        <v>668</v>
      </c>
      <c r="K12" s="190">
        <v>671</v>
      </c>
      <c r="L12" s="190">
        <v>0</v>
      </c>
      <c r="M12" s="190">
        <v>156</v>
      </c>
      <c r="N12" s="190">
        <v>156</v>
      </c>
      <c r="O12" s="190">
        <v>3</v>
      </c>
      <c r="P12" s="190">
        <v>512</v>
      </c>
      <c r="Q12" s="190">
        <v>515</v>
      </c>
      <c r="R12" s="190">
        <v>0</v>
      </c>
      <c r="S12" s="190">
        <v>38</v>
      </c>
      <c r="T12" s="190">
        <v>38</v>
      </c>
      <c r="U12" s="190">
        <v>0</v>
      </c>
      <c r="V12" s="190">
        <v>83</v>
      </c>
      <c r="W12" s="190">
        <v>83</v>
      </c>
      <c r="X12" s="190">
        <v>30</v>
      </c>
      <c r="Y12" s="190">
        <v>877</v>
      </c>
      <c r="Z12" s="190">
        <v>907</v>
      </c>
      <c r="AA12" s="190">
        <v>18</v>
      </c>
      <c r="AB12" s="190">
        <v>451</v>
      </c>
      <c r="AC12" s="190">
        <v>469</v>
      </c>
      <c r="AD12" s="190">
        <v>18</v>
      </c>
      <c r="AE12" s="190">
        <v>444</v>
      </c>
      <c r="AF12" s="190">
        <v>462</v>
      </c>
      <c r="AG12" s="190">
        <v>0</v>
      </c>
      <c r="AH12" s="190">
        <v>7</v>
      </c>
      <c r="AI12" s="190">
        <v>7</v>
      </c>
      <c r="AJ12" s="190">
        <v>0</v>
      </c>
      <c r="AK12" s="190">
        <v>0</v>
      </c>
      <c r="AL12" s="190">
        <v>0</v>
      </c>
      <c r="AM12" s="190">
        <v>12</v>
      </c>
      <c r="AN12" s="190">
        <v>426</v>
      </c>
      <c r="AO12" s="190">
        <v>438</v>
      </c>
      <c r="AP12" s="190">
        <v>3711</v>
      </c>
      <c r="AQ12" s="190">
        <v>25364</v>
      </c>
      <c r="AR12" s="190">
        <v>29075</v>
      </c>
      <c r="AS12" s="190">
        <v>3686</v>
      </c>
      <c r="AT12" s="190">
        <v>25080</v>
      </c>
      <c r="AU12" s="190">
        <v>28766</v>
      </c>
      <c r="AV12" s="190">
        <v>25</v>
      </c>
      <c r="AW12" s="190">
        <v>284</v>
      </c>
      <c r="AX12" s="190">
        <v>309</v>
      </c>
      <c r="AY12" s="190">
        <v>98</v>
      </c>
      <c r="AZ12" s="190">
        <v>2278</v>
      </c>
      <c r="BA12" s="190">
        <v>2376</v>
      </c>
      <c r="BB12" s="190">
        <v>67</v>
      </c>
      <c r="BC12" s="190">
        <v>7</v>
      </c>
      <c r="BD12" s="190">
        <v>0</v>
      </c>
      <c r="BE12" s="190">
        <v>828</v>
      </c>
      <c r="BF12" s="190">
        <v>13</v>
      </c>
      <c r="BG12" s="190">
        <v>7</v>
      </c>
      <c r="BH12" s="190">
        <v>74</v>
      </c>
      <c r="BI12" s="190">
        <v>848</v>
      </c>
      <c r="BJ12" s="190">
        <v>922</v>
      </c>
      <c r="BK12" s="190">
        <v>-113</v>
      </c>
      <c r="BL12" s="190">
        <v>113</v>
      </c>
      <c r="BM12" s="190">
        <v>0</v>
      </c>
      <c r="BN12" s="190">
        <v>12</v>
      </c>
      <c r="BO12" s="190">
        <v>61</v>
      </c>
      <c r="BP12" s="190">
        <v>73</v>
      </c>
      <c r="BQ12" s="190">
        <v>8</v>
      </c>
      <c r="BR12" s="190">
        <v>36</v>
      </c>
      <c r="BS12" s="190">
        <v>44</v>
      </c>
      <c r="BT12" s="190">
        <v>117</v>
      </c>
      <c r="BU12" s="190">
        <v>1220</v>
      </c>
      <c r="BV12" s="190">
        <v>1337</v>
      </c>
      <c r="BW12" s="190">
        <v>3809</v>
      </c>
      <c r="BX12" s="190">
        <v>27642</v>
      </c>
      <c r="BY12" s="190">
        <v>31451</v>
      </c>
      <c r="BZ12" s="190">
        <v>3701</v>
      </c>
      <c r="CA12" s="190">
        <v>27138</v>
      </c>
      <c r="CB12" s="190">
        <v>30839</v>
      </c>
      <c r="CC12" s="190">
        <v>62996</v>
      </c>
      <c r="CD12" s="190">
        <v>33</v>
      </c>
      <c r="CE12" s="190">
        <v>652</v>
      </c>
      <c r="CF12" s="190">
        <v>106</v>
      </c>
      <c r="CG12" s="190">
        <v>381</v>
      </c>
      <c r="CH12" s="190">
        <v>487</v>
      </c>
      <c r="CI12" s="190">
        <v>150</v>
      </c>
      <c r="CJ12" s="190">
        <v>17</v>
      </c>
      <c r="CK12" s="190">
        <v>2</v>
      </c>
      <c r="CL12" s="190">
        <v>123</v>
      </c>
      <c r="CM12" s="190">
        <v>125</v>
      </c>
      <c r="CN12" s="190">
        <v>202</v>
      </c>
      <c r="CO12" s="190">
        <v>2693</v>
      </c>
      <c r="CP12" s="190">
        <v>2895</v>
      </c>
      <c r="CQ12" s="190">
        <v>0</v>
      </c>
      <c r="CR12" s="190">
        <v>0</v>
      </c>
      <c r="CS12" s="190">
        <v>0</v>
      </c>
      <c r="CT12" s="190">
        <v>3607</v>
      </c>
      <c r="CU12" s="190">
        <v>24949</v>
      </c>
      <c r="CV12" s="190">
        <v>28556</v>
      </c>
      <c r="CW12" s="190">
        <v>249</v>
      </c>
      <c r="CX12" s="190">
        <v>1178</v>
      </c>
      <c r="CY12" s="190">
        <v>1427</v>
      </c>
      <c r="CZ12" s="190">
        <v>240</v>
      </c>
      <c r="DA12" s="190">
        <v>7</v>
      </c>
      <c r="DB12" s="190">
        <v>0</v>
      </c>
      <c r="DC12" s="190">
        <v>1127</v>
      </c>
      <c r="DD12" s="190">
        <v>14</v>
      </c>
      <c r="DE12" s="190">
        <v>0</v>
      </c>
      <c r="DF12" s="190">
        <v>247</v>
      </c>
      <c r="DG12" s="190">
        <v>1141</v>
      </c>
      <c r="DH12" s="190">
        <v>1388</v>
      </c>
      <c r="DI12" s="190">
        <v>2</v>
      </c>
      <c r="DJ12" s="190">
        <v>0</v>
      </c>
      <c r="DK12" s="190">
        <v>0</v>
      </c>
      <c r="DL12" s="190">
        <v>37</v>
      </c>
      <c r="DM12" s="190">
        <v>0</v>
      </c>
      <c r="DN12" s="190">
        <v>0</v>
      </c>
      <c r="DO12" s="190">
        <v>2</v>
      </c>
      <c r="DP12" s="190">
        <v>37</v>
      </c>
      <c r="DQ12" s="190">
        <v>39</v>
      </c>
      <c r="DR12" s="190">
        <v>0</v>
      </c>
      <c r="DS12" s="190">
        <v>1</v>
      </c>
      <c r="DT12" s="191">
        <v>1</v>
      </c>
    </row>
    <row r="13" spans="1:129">
      <c r="A13" s="189" t="s">
        <v>278</v>
      </c>
      <c r="B13" s="190">
        <v>170</v>
      </c>
      <c r="C13" s="190">
        <v>5</v>
      </c>
      <c r="D13" s="190">
        <v>178</v>
      </c>
      <c r="E13" s="190">
        <v>99</v>
      </c>
      <c r="F13" s="190">
        <v>0</v>
      </c>
      <c r="G13" s="190">
        <v>2</v>
      </c>
      <c r="H13" s="190">
        <v>2</v>
      </c>
      <c r="I13" s="190">
        <v>0</v>
      </c>
      <c r="J13" s="190">
        <v>76</v>
      </c>
      <c r="K13" s="190">
        <v>76</v>
      </c>
      <c r="L13" s="190">
        <v>0</v>
      </c>
      <c r="M13" s="190">
        <v>31</v>
      </c>
      <c r="N13" s="190">
        <v>31</v>
      </c>
      <c r="O13" s="190">
        <v>0</v>
      </c>
      <c r="P13" s="190">
        <v>45</v>
      </c>
      <c r="Q13" s="190">
        <v>45</v>
      </c>
      <c r="R13" s="190">
        <v>0</v>
      </c>
      <c r="S13" s="190">
        <v>0</v>
      </c>
      <c r="T13" s="190">
        <v>0</v>
      </c>
      <c r="U13" s="190">
        <v>0</v>
      </c>
      <c r="V13" s="190">
        <v>3</v>
      </c>
      <c r="W13" s="190">
        <v>3</v>
      </c>
      <c r="X13" s="190">
        <v>5</v>
      </c>
      <c r="Y13" s="190">
        <v>172</v>
      </c>
      <c r="Z13" s="190">
        <v>177</v>
      </c>
      <c r="AA13" s="190">
        <v>4</v>
      </c>
      <c r="AB13" s="190">
        <v>64</v>
      </c>
      <c r="AC13" s="190">
        <v>68</v>
      </c>
      <c r="AD13" s="190">
        <v>3</v>
      </c>
      <c r="AE13" s="190">
        <v>57</v>
      </c>
      <c r="AF13" s="190">
        <v>60</v>
      </c>
      <c r="AG13" s="190">
        <v>1</v>
      </c>
      <c r="AH13" s="190">
        <v>7</v>
      </c>
      <c r="AI13" s="190">
        <v>8</v>
      </c>
      <c r="AJ13" s="190">
        <v>0</v>
      </c>
      <c r="AK13" s="190">
        <v>0</v>
      </c>
      <c r="AL13" s="190">
        <v>0</v>
      </c>
      <c r="AM13" s="190">
        <v>1</v>
      </c>
      <c r="AN13" s="190">
        <v>108</v>
      </c>
      <c r="AO13" s="190">
        <v>109</v>
      </c>
      <c r="AP13" s="190">
        <v>352</v>
      </c>
      <c r="AQ13" s="190">
        <v>2005</v>
      </c>
      <c r="AR13" s="190">
        <v>2357</v>
      </c>
      <c r="AS13" s="190">
        <v>352</v>
      </c>
      <c r="AT13" s="190">
        <v>2005</v>
      </c>
      <c r="AU13" s="190">
        <v>2357</v>
      </c>
      <c r="AV13" s="190">
        <v>0</v>
      </c>
      <c r="AW13" s="190">
        <v>0</v>
      </c>
      <c r="AX13" s="190">
        <v>0</v>
      </c>
      <c r="AY13" s="190">
        <v>27</v>
      </c>
      <c r="AZ13" s="190">
        <v>201</v>
      </c>
      <c r="BA13" s="190">
        <v>228</v>
      </c>
      <c r="BB13" s="190">
        <v>7</v>
      </c>
      <c r="BC13" s="190">
        <v>0</v>
      </c>
      <c r="BD13" s="190">
        <v>0</v>
      </c>
      <c r="BE13" s="190">
        <v>92</v>
      </c>
      <c r="BF13" s="190">
        <v>0</v>
      </c>
      <c r="BG13" s="190">
        <v>0</v>
      </c>
      <c r="BH13" s="190">
        <v>7</v>
      </c>
      <c r="BI13" s="190">
        <v>92</v>
      </c>
      <c r="BJ13" s="190">
        <v>99</v>
      </c>
      <c r="BK13" s="190">
        <v>-2</v>
      </c>
      <c r="BL13" s="190">
        <v>2</v>
      </c>
      <c r="BM13" s="190">
        <v>0</v>
      </c>
      <c r="BN13" s="190">
        <v>1</v>
      </c>
      <c r="BO13" s="190">
        <v>11</v>
      </c>
      <c r="BP13" s="190">
        <v>12</v>
      </c>
      <c r="BQ13" s="190">
        <v>1</v>
      </c>
      <c r="BR13" s="190">
        <v>15</v>
      </c>
      <c r="BS13" s="190">
        <v>16</v>
      </c>
      <c r="BT13" s="190">
        <v>20</v>
      </c>
      <c r="BU13" s="190">
        <v>81</v>
      </c>
      <c r="BV13" s="190">
        <v>101</v>
      </c>
      <c r="BW13" s="190">
        <v>379</v>
      </c>
      <c r="BX13" s="190">
        <v>2206</v>
      </c>
      <c r="BY13" s="190">
        <v>2585</v>
      </c>
      <c r="BZ13" s="190">
        <v>379</v>
      </c>
      <c r="CA13" s="190">
        <v>2205</v>
      </c>
      <c r="CB13" s="190">
        <v>2584</v>
      </c>
      <c r="CC13" s="190">
        <v>5309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2</v>
      </c>
      <c r="CJ13" s="190">
        <v>0</v>
      </c>
      <c r="CK13" s="190">
        <v>0</v>
      </c>
      <c r="CL13" s="190">
        <v>1</v>
      </c>
      <c r="CM13" s="190">
        <v>1</v>
      </c>
      <c r="CN13" s="190">
        <v>35</v>
      </c>
      <c r="CO13" s="190">
        <v>218</v>
      </c>
      <c r="CP13" s="190">
        <v>253</v>
      </c>
      <c r="CQ13" s="190">
        <v>0</v>
      </c>
      <c r="CR13" s="190">
        <v>0</v>
      </c>
      <c r="CS13" s="190">
        <v>0</v>
      </c>
      <c r="CT13" s="190">
        <v>344</v>
      </c>
      <c r="CU13" s="190">
        <v>1988</v>
      </c>
      <c r="CV13" s="190">
        <v>2332</v>
      </c>
      <c r="CW13" s="190">
        <v>25</v>
      </c>
      <c r="CX13" s="190">
        <v>86</v>
      </c>
      <c r="CY13" s="190">
        <v>111</v>
      </c>
      <c r="CZ13" s="190">
        <v>24</v>
      </c>
      <c r="DA13" s="190">
        <v>0</v>
      </c>
      <c r="DB13" s="190">
        <v>0</v>
      </c>
      <c r="DC13" s="190">
        <v>86</v>
      </c>
      <c r="DD13" s="190">
        <v>0</v>
      </c>
      <c r="DE13" s="190">
        <v>0</v>
      </c>
      <c r="DF13" s="190">
        <v>24</v>
      </c>
      <c r="DG13" s="190">
        <v>86</v>
      </c>
      <c r="DH13" s="190">
        <v>110</v>
      </c>
      <c r="DI13" s="190">
        <v>1</v>
      </c>
      <c r="DJ13" s="190">
        <v>0</v>
      </c>
      <c r="DK13" s="190">
        <v>0</v>
      </c>
      <c r="DL13" s="190">
        <v>0</v>
      </c>
      <c r="DM13" s="190">
        <v>0</v>
      </c>
      <c r="DN13" s="190">
        <v>0</v>
      </c>
      <c r="DO13" s="190">
        <v>1</v>
      </c>
      <c r="DP13" s="190">
        <v>0</v>
      </c>
      <c r="DQ13" s="190">
        <v>1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526</v>
      </c>
      <c r="C14" s="190">
        <v>92</v>
      </c>
      <c r="D14" s="190">
        <v>536</v>
      </c>
      <c r="E14" s="190">
        <v>338</v>
      </c>
      <c r="F14" s="190">
        <v>0</v>
      </c>
      <c r="G14" s="190">
        <v>0</v>
      </c>
      <c r="H14" s="190">
        <v>0</v>
      </c>
      <c r="I14" s="190">
        <v>0</v>
      </c>
      <c r="J14" s="190">
        <v>185</v>
      </c>
      <c r="K14" s="190">
        <v>185</v>
      </c>
      <c r="L14" s="190">
        <v>0</v>
      </c>
      <c r="M14" s="190">
        <v>75</v>
      </c>
      <c r="N14" s="190">
        <v>75</v>
      </c>
      <c r="O14" s="190">
        <v>0</v>
      </c>
      <c r="P14" s="190">
        <v>110</v>
      </c>
      <c r="Q14" s="190">
        <v>110</v>
      </c>
      <c r="R14" s="190">
        <v>0</v>
      </c>
      <c r="S14" s="190">
        <v>0</v>
      </c>
      <c r="T14" s="190">
        <v>0</v>
      </c>
      <c r="U14" s="190">
        <v>0</v>
      </c>
      <c r="V14" s="190">
        <v>13</v>
      </c>
      <c r="W14" s="190">
        <v>13</v>
      </c>
      <c r="X14" s="190">
        <v>26</v>
      </c>
      <c r="Y14" s="190">
        <v>510</v>
      </c>
      <c r="Z14" s="190">
        <v>536</v>
      </c>
      <c r="AA14" s="190">
        <v>18</v>
      </c>
      <c r="AB14" s="190">
        <v>219</v>
      </c>
      <c r="AC14" s="190">
        <v>237</v>
      </c>
      <c r="AD14" s="190">
        <v>18</v>
      </c>
      <c r="AE14" s="190">
        <v>216</v>
      </c>
      <c r="AF14" s="190">
        <v>234</v>
      </c>
      <c r="AG14" s="190">
        <v>0</v>
      </c>
      <c r="AH14" s="190">
        <v>2</v>
      </c>
      <c r="AI14" s="190">
        <v>2</v>
      </c>
      <c r="AJ14" s="190">
        <v>0</v>
      </c>
      <c r="AK14" s="190">
        <v>1</v>
      </c>
      <c r="AL14" s="190">
        <v>1</v>
      </c>
      <c r="AM14" s="190">
        <v>8</v>
      </c>
      <c r="AN14" s="190">
        <v>291</v>
      </c>
      <c r="AO14" s="190">
        <v>299</v>
      </c>
      <c r="AP14" s="190">
        <v>498</v>
      </c>
      <c r="AQ14" s="190">
        <v>5934</v>
      </c>
      <c r="AR14" s="190">
        <v>6432</v>
      </c>
      <c r="AS14" s="190">
        <v>498</v>
      </c>
      <c r="AT14" s="190">
        <v>5934</v>
      </c>
      <c r="AU14" s="190">
        <v>6432</v>
      </c>
      <c r="AV14" s="190">
        <v>0</v>
      </c>
      <c r="AW14" s="190">
        <v>0</v>
      </c>
      <c r="AX14" s="190">
        <v>0</v>
      </c>
      <c r="AY14" s="190">
        <v>33</v>
      </c>
      <c r="AZ14" s="190">
        <v>533</v>
      </c>
      <c r="BA14" s="190">
        <v>566</v>
      </c>
      <c r="BB14" s="190">
        <v>24</v>
      </c>
      <c r="BC14" s="190">
        <v>1</v>
      </c>
      <c r="BD14" s="190">
        <v>0</v>
      </c>
      <c r="BE14" s="190">
        <v>311</v>
      </c>
      <c r="BF14" s="190">
        <v>2</v>
      </c>
      <c r="BG14" s="190">
        <v>0</v>
      </c>
      <c r="BH14" s="190">
        <v>25</v>
      </c>
      <c r="BI14" s="190">
        <v>313</v>
      </c>
      <c r="BJ14" s="190">
        <v>338</v>
      </c>
      <c r="BK14" s="190">
        <v>-6</v>
      </c>
      <c r="BL14" s="190">
        <v>6</v>
      </c>
      <c r="BM14" s="190">
        <v>0</v>
      </c>
      <c r="BN14" s="190">
        <v>0</v>
      </c>
      <c r="BO14" s="190">
        <v>21</v>
      </c>
      <c r="BP14" s="190">
        <v>21</v>
      </c>
      <c r="BQ14" s="190">
        <v>2</v>
      </c>
      <c r="BR14" s="190">
        <v>75</v>
      </c>
      <c r="BS14" s="190">
        <v>77</v>
      </c>
      <c r="BT14" s="190">
        <v>12</v>
      </c>
      <c r="BU14" s="190">
        <v>118</v>
      </c>
      <c r="BV14" s="190">
        <v>130</v>
      </c>
      <c r="BW14" s="190">
        <v>531</v>
      </c>
      <c r="BX14" s="190">
        <v>6467</v>
      </c>
      <c r="BY14" s="190">
        <v>6998</v>
      </c>
      <c r="BZ14" s="190">
        <v>529</v>
      </c>
      <c r="CA14" s="190">
        <v>6427</v>
      </c>
      <c r="CB14" s="190">
        <v>6956</v>
      </c>
      <c r="CC14" s="190">
        <v>12354</v>
      </c>
      <c r="CD14" s="190">
        <v>3</v>
      </c>
      <c r="CE14" s="190">
        <v>37</v>
      </c>
      <c r="CF14" s="190">
        <v>2</v>
      </c>
      <c r="CG14" s="190">
        <v>31</v>
      </c>
      <c r="CH14" s="190">
        <v>33</v>
      </c>
      <c r="CI14" s="190">
        <v>11</v>
      </c>
      <c r="CJ14" s="190">
        <v>0</v>
      </c>
      <c r="CK14" s="190">
        <v>0</v>
      </c>
      <c r="CL14" s="190">
        <v>9</v>
      </c>
      <c r="CM14" s="190">
        <v>9</v>
      </c>
      <c r="CN14" s="190">
        <v>37</v>
      </c>
      <c r="CO14" s="190">
        <v>592</v>
      </c>
      <c r="CP14" s="190">
        <v>629</v>
      </c>
      <c r="CQ14" s="190">
        <v>0</v>
      </c>
      <c r="CR14" s="190">
        <v>1</v>
      </c>
      <c r="CS14" s="190">
        <v>1</v>
      </c>
      <c r="CT14" s="190">
        <v>494</v>
      </c>
      <c r="CU14" s="190">
        <v>5875</v>
      </c>
      <c r="CV14" s="190">
        <v>6369</v>
      </c>
      <c r="CW14" s="190">
        <v>30</v>
      </c>
      <c r="CX14" s="190">
        <v>240</v>
      </c>
      <c r="CY14" s="190">
        <v>270</v>
      </c>
      <c r="CZ14" s="190">
        <v>30</v>
      </c>
      <c r="DA14" s="190">
        <v>0</v>
      </c>
      <c r="DB14" s="190">
        <v>0</v>
      </c>
      <c r="DC14" s="190">
        <v>239</v>
      </c>
      <c r="DD14" s="190">
        <v>1</v>
      </c>
      <c r="DE14" s="190">
        <v>0</v>
      </c>
      <c r="DF14" s="190">
        <v>30</v>
      </c>
      <c r="DG14" s="190">
        <v>240</v>
      </c>
      <c r="DH14" s="190">
        <v>270</v>
      </c>
      <c r="DI14" s="190">
        <v>0</v>
      </c>
      <c r="DJ14" s="190">
        <v>0</v>
      </c>
      <c r="DK14" s="190">
        <v>0</v>
      </c>
      <c r="DL14" s="190">
        <v>0</v>
      </c>
      <c r="DM14" s="190">
        <v>0</v>
      </c>
      <c r="DN14" s="190">
        <v>0</v>
      </c>
      <c r="DO14" s="190">
        <v>0</v>
      </c>
      <c r="DP14" s="190">
        <v>0</v>
      </c>
      <c r="DQ14" s="190">
        <v>0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3800</v>
      </c>
      <c r="C15" s="190">
        <v>1437</v>
      </c>
      <c r="D15" s="190">
        <v>3585</v>
      </c>
      <c r="E15" s="190">
        <v>2597</v>
      </c>
      <c r="F15" s="190">
        <v>9</v>
      </c>
      <c r="G15" s="190">
        <v>47</v>
      </c>
      <c r="H15" s="190">
        <v>56</v>
      </c>
      <c r="I15" s="190">
        <v>1</v>
      </c>
      <c r="J15" s="190">
        <v>915</v>
      </c>
      <c r="K15" s="190">
        <v>916</v>
      </c>
      <c r="L15" s="190">
        <v>1</v>
      </c>
      <c r="M15" s="190">
        <v>914</v>
      </c>
      <c r="N15" s="190">
        <v>915</v>
      </c>
      <c r="O15" s="190">
        <v>0</v>
      </c>
      <c r="P15" s="190">
        <v>1</v>
      </c>
      <c r="Q15" s="190">
        <v>1</v>
      </c>
      <c r="R15" s="190">
        <v>1</v>
      </c>
      <c r="S15" s="190">
        <v>168</v>
      </c>
      <c r="T15" s="190">
        <v>169</v>
      </c>
      <c r="U15" s="190">
        <v>0</v>
      </c>
      <c r="V15" s="190">
        <v>72</v>
      </c>
      <c r="W15" s="190">
        <v>72</v>
      </c>
      <c r="X15" s="190">
        <v>50</v>
      </c>
      <c r="Y15" s="190">
        <v>3053</v>
      </c>
      <c r="Z15" s="190">
        <v>3103</v>
      </c>
      <c r="AA15" s="190">
        <v>24</v>
      </c>
      <c r="AB15" s="190">
        <v>1405</v>
      </c>
      <c r="AC15" s="190">
        <v>1429</v>
      </c>
      <c r="AD15" s="190">
        <v>24</v>
      </c>
      <c r="AE15" s="190">
        <v>1359</v>
      </c>
      <c r="AF15" s="190">
        <v>1383</v>
      </c>
      <c r="AG15" s="190">
        <v>0</v>
      </c>
      <c r="AH15" s="190">
        <v>31</v>
      </c>
      <c r="AI15" s="190">
        <v>31</v>
      </c>
      <c r="AJ15" s="190">
        <v>0</v>
      </c>
      <c r="AK15" s="190">
        <v>15</v>
      </c>
      <c r="AL15" s="190">
        <v>15</v>
      </c>
      <c r="AM15" s="190">
        <v>26</v>
      </c>
      <c r="AN15" s="190">
        <v>1648</v>
      </c>
      <c r="AO15" s="190">
        <v>1674</v>
      </c>
      <c r="AP15" s="190">
        <v>11980</v>
      </c>
      <c r="AQ15" s="190">
        <v>74866</v>
      </c>
      <c r="AR15" s="190">
        <v>86846</v>
      </c>
      <c r="AS15" s="190">
        <v>11516</v>
      </c>
      <c r="AT15" s="190">
        <v>71716</v>
      </c>
      <c r="AU15" s="190">
        <v>83232</v>
      </c>
      <c r="AV15" s="190">
        <v>464</v>
      </c>
      <c r="AW15" s="190">
        <v>3150</v>
      </c>
      <c r="AX15" s="190">
        <v>3614</v>
      </c>
      <c r="AY15" s="190">
        <v>27</v>
      </c>
      <c r="AZ15" s="190">
        <v>2671</v>
      </c>
      <c r="BA15" s="190">
        <v>2698</v>
      </c>
      <c r="BB15" s="190">
        <v>186</v>
      </c>
      <c r="BC15" s="190">
        <v>3</v>
      </c>
      <c r="BD15" s="190">
        <v>0</v>
      </c>
      <c r="BE15" s="190">
        <v>2371</v>
      </c>
      <c r="BF15" s="190">
        <v>18</v>
      </c>
      <c r="BG15" s="190">
        <v>19</v>
      </c>
      <c r="BH15" s="190">
        <v>189</v>
      </c>
      <c r="BI15" s="190">
        <v>2408</v>
      </c>
      <c r="BJ15" s="190">
        <v>2597</v>
      </c>
      <c r="BK15" s="190">
        <v>-178</v>
      </c>
      <c r="BL15" s="190">
        <v>178</v>
      </c>
      <c r="BM15" s="190">
        <v>0</v>
      </c>
      <c r="BN15" s="190">
        <v>13</v>
      </c>
      <c r="BO15" s="190">
        <v>47</v>
      </c>
      <c r="BP15" s="190">
        <v>60</v>
      </c>
      <c r="BQ15" s="190">
        <v>0</v>
      </c>
      <c r="BR15" s="190">
        <v>11</v>
      </c>
      <c r="BS15" s="190">
        <v>11</v>
      </c>
      <c r="BT15" s="190">
        <v>3</v>
      </c>
      <c r="BU15" s="190">
        <v>27</v>
      </c>
      <c r="BV15" s="190">
        <v>30</v>
      </c>
      <c r="BW15" s="190">
        <v>12007</v>
      </c>
      <c r="BX15" s="190">
        <v>77537</v>
      </c>
      <c r="BY15" s="190">
        <v>89544</v>
      </c>
      <c r="BZ15" s="190">
        <v>11814</v>
      </c>
      <c r="CA15" s="190">
        <v>76648</v>
      </c>
      <c r="CB15" s="190">
        <v>88462</v>
      </c>
      <c r="CC15" s="190">
        <v>206566</v>
      </c>
      <c r="CD15" s="190">
        <v>81</v>
      </c>
      <c r="CE15" s="190">
        <v>929</v>
      </c>
      <c r="CF15" s="190">
        <v>179</v>
      </c>
      <c r="CG15" s="190">
        <v>683</v>
      </c>
      <c r="CH15" s="190">
        <v>862</v>
      </c>
      <c r="CI15" s="190">
        <v>246</v>
      </c>
      <c r="CJ15" s="190">
        <v>40</v>
      </c>
      <c r="CK15" s="190">
        <v>14</v>
      </c>
      <c r="CL15" s="190">
        <v>206</v>
      </c>
      <c r="CM15" s="190">
        <v>220</v>
      </c>
      <c r="CN15" s="190">
        <v>767</v>
      </c>
      <c r="CO15" s="190">
        <v>6521</v>
      </c>
      <c r="CP15" s="190">
        <v>7288</v>
      </c>
      <c r="CQ15" s="190">
        <v>0</v>
      </c>
      <c r="CR15" s="190">
        <v>0</v>
      </c>
      <c r="CS15" s="190">
        <v>0</v>
      </c>
      <c r="CT15" s="190">
        <v>11240</v>
      </c>
      <c r="CU15" s="190">
        <v>71016</v>
      </c>
      <c r="CV15" s="190">
        <v>82256</v>
      </c>
      <c r="CW15" s="190">
        <v>899</v>
      </c>
      <c r="CX15" s="190">
        <v>4751</v>
      </c>
      <c r="CY15" s="190">
        <v>5650</v>
      </c>
      <c r="CZ15" s="190">
        <v>740</v>
      </c>
      <c r="DA15" s="190">
        <v>10</v>
      </c>
      <c r="DB15" s="190">
        <v>1</v>
      </c>
      <c r="DC15" s="190">
        <v>3886</v>
      </c>
      <c r="DD15" s="190">
        <v>34</v>
      </c>
      <c r="DE15" s="190">
        <v>9</v>
      </c>
      <c r="DF15" s="190">
        <v>751</v>
      </c>
      <c r="DG15" s="190">
        <v>3929</v>
      </c>
      <c r="DH15" s="190">
        <v>4680</v>
      </c>
      <c r="DI15" s="190">
        <v>145</v>
      </c>
      <c r="DJ15" s="190">
        <v>2</v>
      </c>
      <c r="DK15" s="190">
        <v>1</v>
      </c>
      <c r="DL15" s="190">
        <v>807</v>
      </c>
      <c r="DM15" s="190">
        <v>11</v>
      </c>
      <c r="DN15" s="190">
        <v>4</v>
      </c>
      <c r="DO15" s="190">
        <v>148</v>
      </c>
      <c r="DP15" s="190">
        <v>822</v>
      </c>
      <c r="DQ15" s="190">
        <v>970</v>
      </c>
      <c r="DR15" s="190">
        <v>3</v>
      </c>
      <c r="DS15" s="190">
        <v>2</v>
      </c>
      <c r="DT15" s="191">
        <v>5</v>
      </c>
    </row>
    <row r="16" spans="1:129" s="172" customFormat="1">
      <c r="A16" s="189" t="s">
        <v>281</v>
      </c>
      <c r="B16" s="190">
        <v>106</v>
      </c>
      <c r="C16" s="190">
        <v>14</v>
      </c>
      <c r="D16" s="190">
        <v>110</v>
      </c>
      <c r="E16" s="190">
        <v>57</v>
      </c>
      <c r="F16" s="190">
        <v>0</v>
      </c>
      <c r="G16" s="190">
        <v>3</v>
      </c>
      <c r="H16" s="190">
        <v>3</v>
      </c>
      <c r="I16" s="190">
        <v>0</v>
      </c>
      <c r="J16" s="190">
        <v>46</v>
      </c>
      <c r="K16" s="190">
        <v>46</v>
      </c>
      <c r="L16" s="190">
        <v>0</v>
      </c>
      <c r="M16" s="190">
        <v>9</v>
      </c>
      <c r="N16" s="190">
        <v>9</v>
      </c>
      <c r="O16" s="190">
        <v>0</v>
      </c>
      <c r="P16" s="190">
        <v>37</v>
      </c>
      <c r="Q16" s="190">
        <v>37</v>
      </c>
      <c r="R16" s="190">
        <v>0</v>
      </c>
      <c r="S16" s="190">
        <v>0</v>
      </c>
      <c r="T16" s="190">
        <v>0</v>
      </c>
      <c r="U16" s="190">
        <v>0</v>
      </c>
      <c r="V16" s="190">
        <v>7</v>
      </c>
      <c r="W16" s="190">
        <v>7</v>
      </c>
      <c r="X16" s="190">
        <v>1</v>
      </c>
      <c r="Y16" s="190">
        <v>108</v>
      </c>
      <c r="Z16" s="190">
        <v>109</v>
      </c>
      <c r="AA16" s="190">
        <v>0</v>
      </c>
      <c r="AB16" s="190">
        <v>45</v>
      </c>
      <c r="AC16" s="190">
        <v>45</v>
      </c>
      <c r="AD16" s="190">
        <v>0</v>
      </c>
      <c r="AE16" s="190">
        <v>42</v>
      </c>
      <c r="AF16" s="190">
        <v>42</v>
      </c>
      <c r="AG16" s="190">
        <v>0</v>
      </c>
      <c r="AH16" s="190">
        <v>3</v>
      </c>
      <c r="AI16" s="190">
        <v>3</v>
      </c>
      <c r="AJ16" s="190">
        <v>0</v>
      </c>
      <c r="AK16" s="190">
        <v>0</v>
      </c>
      <c r="AL16" s="190">
        <v>0</v>
      </c>
      <c r="AM16" s="190">
        <v>1</v>
      </c>
      <c r="AN16" s="190">
        <v>63</v>
      </c>
      <c r="AO16" s="190">
        <v>64</v>
      </c>
      <c r="AP16" s="190">
        <v>198</v>
      </c>
      <c r="AQ16" s="190">
        <v>1259</v>
      </c>
      <c r="AR16" s="190">
        <v>1457</v>
      </c>
      <c r="AS16" s="190">
        <v>198</v>
      </c>
      <c r="AT16" s="190">
        <v>1259</v>
      </c>
      <c r="AU16" s="190">
        <v>1457</v>
      </c>
      <c r="AV16" s="190">
        <v>0</v>
      </c>
      <c r="AW16" s="190">
        <v>0</v>
      </c>
      <c r="AX16" s="190">
        <v>0</v>
      </c>
      <c r="AY16" s="190">
        <v>-3</v>
      </c>
      <c r="AZ16" s="190">
        <v>97</v>
      </c>
      <c r="BA16" s="190">
        <v>94</v>
      </c>
      <c r="BB16" s="190">
        <v>1</v>
      </c>
      <c r="BC16" s="190">
        <v>0</v>
      </c>
      <c r="BD16" s="190">
        <v>0</v>
      </c>
      <c r="BE16" s="190">
        <v>55</v>
      </c>
      <c r="BF16" s="190">
        <v>1</v>
      </c>
      <c r="BG16" s="190">
        <v>0</v>
      </c>
      <c r="BH16" s="190">
        <v>1</v>
      </c>
      <c r="BI16" s="190">
        <v>56</v>
      </c>
      <c r="BJ16" s="190">
        <v>57</v>
      </c>
      <c r="BK16" s="190">
        <v>-9</v>
      </c>
      <c r="BL16" s="190">
        <v>9</v>
      </c>
      <c r="BM16" s="190">
        <v>0</v>
      </c>
      <c r="BN16" s="190">
        <v>2</v>
      </c>
      <c r="BO16" s="190">
        <v>3</v>
      </c>
      <c r="BP16" s="190">
        <v>5</v>
      </c>
      <c r="BQ16" s="190">
        <v>1</v>
      </c>
      <c r="BR16" s="190">
        <v>5</v>
      </c>
      <c r="BS16" s="190">
        <v>6</v>
      </c>
      <c r="BT16" s="190">
        <v>2</v>
      </c>
      <c r="BU16" s="190">
        <v>24</v>
      </c>
      <c r="BV16" s="190">
        <v>26</v>
      </c>
      <c r="BW16" s="190">
        <v>195</v>
      </c>
      <c r="BX16" s="190">
        <v>1356</v>
      </c>
      <c r="BY16" s="190">
        <v>1551</v>
      </c>
      <c r="BZ16" s="190">
        <v>194</v>
      </c>
      <c r="CA16" s="190">
        <v>1348</v>
      </c>
      <c r="CB16" s="190">
        <v>1542</v>
      </c>
      <c r="CC16" s="190">
        <v>3548</v>
      </c>
      <c r="CD16" s="190">
        <v>0</v>
      </c>
      <c r="CE16" s="190">
        <v>9</v>
      </c>
      <c r="CF16" s="190">
        <v>1</v>
      </c>
      <c r="CG16" s="190">
        <v>8</v>
      </c>
      <c r="CH16" s="190">
        <v>9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7</v>
      </c>
      <c r="CO16" s="190">
        <v>108</v>
      </c>
      <c r="CP16" s="190">
        <v>115</v>
      </c>
      <c r="CQ16" s="190">
        <v>0</v>
      </c>
      <c r="CR16" s="190">
        <v>2</v>
      </c>
      <c r="CS16" s="190">
        <v>2</v>
      </c>
      <c r="CT16" s="190">
        <v>188</v>
      </c>
      <c r="CU16" s="190">
        <v>1248</v>
      </c>
      <c r="CV16" s="190">
        <v>1436</v>
      </c>
      <c r="CW16" s="190">
        <v>10</v>
      </c>
      <c r="CX16" s="190">
        <v>52</v>
      </c>
      <c r="CY16" s="190">
        <v>62</v>
      </c>
      <c r="CZ16" s="190">
        <v>9</v>
      </c>
      <c r="DA16" s="190">
        <v>1</v>
      </c>
      <c r="DB16" s="190">
        <v>0</v>
      </c>
      <c r="DC16" s="190">
        <v>51</v>
      </c>
      <c r="DD16" s="190">
        <v>0</v>
      </c>
      <c r="DE16" s="190">
        <v>0</v>
      </c>
      <c r="DF16" s="190">
        <v>10</v>
      </c>
      <c r="DG16" s="190">
        <v>51</v>
      </c>
      <c r="DH16" s="190">
        <v>61</v>
      </c>
      <c r="DI16" s="190">
        <v>0</v>
      </c>
      <c r="DJ16" s="190">
        <v>0</v>
      </c>
      <c r="DK16" s="190">
        <v>0</v>
      </c>
      <c r="DL16" s="190">
        <v>1</v>
      </c>
      <c r="DM16" s="190">
        <v>0</v>
      </c>
      <c r="DN16" s="190">
        <v>0</v>
      </c>
      <c r="DO16" s="190">
        <v>0</v>
      </c>
      <c r="DP16" s="190">
        <v>1</v>
      </c>
      <c r="DQ16" s="190">
        <v>1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1016</v>
      </c>
      <c r="C17" s="190">
        <v>183</v>
      </c>
      <c r="D17" s="190">
        <v>995</v>
      </c>
      <c r="E17" s="190">
        <v>559</v>
      </c>
      <c r="F17" s="190">
        <v>0</v>
      </c>
      <c r="G17" s="190">
        <v>1</v>
      </c>
      <c r="H17" s="190">
        <v>1</v>
      </c>
      <c r="I17" s="190">
        <v>0</v>
      </c>
      <c r="J17" s="190">
        <v>407</v>
      </c>
      <c r="K17" s="190">
        <v>407</v>
      </c>
      <c r="L17" s="190">
        <v>0</v>
      </c>
      <c r="M17" s="190">
        <v>135</v>
      </c>
      <c r="N17" s="190">
        <v>135</v>
      </c>
      <c r="O17" s="190">
        <v>0</v>
      </c>
      <c r="P17" s="190">
        <v>272</v>
      </c>
      <c r="Q17" s="190">
        <v>272</v>
      </c>
      <c r="R17" s="190">
        <v>0</v>
      </c>
      <c r="S17" s="190">
        <v>2</v>
      </c>
      <c r="T17" s="190">
        <v>2</v>
      </c>
      <c r="U17" s="190">
        <v>0</v>
      </c>
      <c r="V17" s="190">
        <v>29</v>
      </c>
      <c r="W17" s="190">
        <v>29</v>
      </c>
      <c r="X17" s="190">
        <v>13</v>
      </c>
      <c r="Y17" s="190">
        <v>982</v>
      </c>
      <c r="Z17" s="190">
        <v>995</v>
      </c>
      <c r="AA17" s="190">
        <v>13</v>
      </c>
      <c r="AB17" s="190">
        <v>398</v>
      </c>
      <c r="AC17" s="190">
        <v>411</v>
      </c>
      <c r="AD17" s="190">
        <v>11</v>
      </c>
      <c r="AE17" s="190">
        <v>388</v>
      </c>
      <c r="AF17" s="190">
        <v>399</v>
      </c>
      <c r="AG17" s="190">
        <v>0</v>
      </c>
      <c r="AH17" s="190">
        <v>8</v>
      </c>
      <c r="AI17" s="190">
        <v>8</v>
      </c>
      <c r="AJ17" s="190">
        <v>2</v>
      </c>
      <c r="AK17" s="190">
        <v>2</v>
      </c>
      <c r="AL17" s="190">
        <v>4</v>
      </c>
      <c r="AM17" s="190">
        <v>0</v>
      </c>
      <c r="AN17" s="190">
        <v>584</v>
      </c>
      <c r="AO17" s="190">
        <v>584</v>
      </c>
      <c r="AP17" s="190">
        <v>823</v>
      </c>
      <c r="AQ17" s="190">
        <v>10542</v>
      </c>
      <c r="AR17" s="190">
        <v>11365</v>
      </c>
      <c r="AS17" s="190">
        <v>823</v>
      </c>
      <c r="AT17" s="190">
        <v>10542</v>
      </c>
      <c r="AU17" s="190">
        <v>11365</v>
      </c>
      <c r="AV17" s="190">
        <v>0</v>
      </c>
      <c r="AW17" s="190">
        <v>0</v>
      </c>
      <c r="AX17" s="190">
        <v>0</v>
      </c>
      <c r="AY17" s="190">
        <v>61</v>
      </c>
      <c r="AZ17" s="190">
        <v>985</v>
      </c>
      <c r="BA17" s="190">
        <v>1046</v>
      </c>
      <c r="BB17" s="190">
        <v>13</v>
      </c>
      <c r="BC17" s="190">
        <v>0</v>
      </c>
      <c r="BD17" s="190">
        <v>0</v>
      </c>
      <c r="BE17" s="190">
        <v>542</v>
      </c>
      <c r="BF17" s="190">
        <v>2</v>
      </c>
      <c r="BG17" s="190">
        <v>2</v>
      </c>
      <c r="BH17" s="190">
        <v>13</v>
      </c>
      <c r="BI17" s="190">
        <v>546</v>
      </c>
      <c r="BJ17" s="190">
        <v>559</v>
      </c>
      <c r="BK17" s="190">
        <v>15</v>
      </c>
      <c r="BL17" s="190">
        <v>-15</v>
      </c>
      <c r="BM17" s="190">
        <v>0</v>
      </c>
      <c r="BN17" s="190">
        <v>4</v>
      </c>
      <c r="BO17" s="190">
        <v>16</v>
      </c>
      <c r="BP17" s="190">
        <v>20</v>
      </c>
      <c r="BQ17" s="190">
        <v>0</v>
      </c>
      <c r="BR17" s="190">
        <v>126</v>
      </c>
      <c r="BS17" s="190">
        <v>126</v>
      </c>
      <c r="BT17" s="190">
        <v>29</v>
      </c>
      <c r="BU17" s="190">
        <v>312</v>
      </c>
      <c r="BV17" s="190">
        <v>341</v>
      </c>
      <c r="BW17" s="190">
        <v>884</v>
      </c>
      <c r="BX17" s="190">
        <v>11527</v>
      </c>
      <c r="BY17" s="190">
        <v>12411</v>
      </c>
      <c r="BZ17" s="190">
        <v>881</v>
      </c>
      <c r="CA17" s="190">
        <v>11495</v>
      </c>
      <c r="CB17" s="190">
        <v>12376</v>
      </c>
      <c r="CC17" s="190">
        <v>20827</v>
      </c>
      <c r="CD17" s="190">
        <v>8</v>
      </c>
      <c r="CE17" s="190">
        <v>27</v>
      </c>
      <c r="CF17" s="190">
        <v>3</v>
      </c>
      <c r="CG17" s="190">
        <v>26</v>
      </c>
      <c r="CH17" s="190">
        <v>29</v>
      </c>
      <c r="CI17" s="190">
        <v>6</v>
      </c>
      <c r="CJ17" s="190">
        <v>1</v>
      </c>
      <c r="CK17" s="190">
        <v>0</v>
      </c>
      <c r="CL17" s="190">
        <v>6</v>
      </c>
      <c r="CM17" s="190">
        <v>6</v>
      </c>
      <c r="CN17" s="190">
        <v>43</v>
      </c>
      <c r="CO17" s="190">
        <v>1007</v>
      </c>
      <c r="CP17" s="190">
        <v>1050</v>
      </c>
      <c r="CQ17" s="190">
        <v>0</v>
      </c>
      <c r="CR17" s="190">
        <v>9</v>
      </c>
      <c r="CS17" s="190">
        <v>9</v>
      </c>
      <c r="CT17" s="190">
        <v>841</v>
      </c>
      <c r="CU17" s="190">
        <v>10520</v>
      </c>
      <c r="CV17" s="190">
        <v>11361</v>
      </c>
      <c r="CW17" s="190">
        <v>59</v>
      </c>
      <c r="CX17" s="190">
        <v>348</v>
      </c>
      <c r="CY17" s="190">
        <v>407</v>
      </c>
      <c r="CZ17" s="190">
        <v>58</v>
      </c>
      <c r="DA17" s="190">
        <v>0</v>
      </c>
      <c r="DB17" s="190">
        <v>0</v>
      </c>
      <c r="DC17" s="190">
        <v>341</v>
      </c>
      <c r="DD17" s="190">
        <v>1</v>
      </c>
      <c r="DE17" s="190">
        <v>0</v>
      </c>
      <c r="DF17" s="190">
        <v>58</v>
      </c>
      <c r="DG17" s="190">
        <v>342</v>
      </c>
      <c r="DH17" s="190">
        <v>400</v>
      </c>
      <c r="DI17" s="190">
        <v>1</v>
      </c>
      <c r="DJ17" s="190">
        <v>0</v>
      </c>
      <c r="DK17" s="190">
        <v>0</v>
      </c>
      <c r="DL17" s="190">
        <v>6</v>
      </c>
      <c r="DM17" s="190">
        <v>0</v>
      </c>
      <c r="DN17" s="190">
        <v>0</v>
      </c>
      <c r="DO17" s="190">
        <v>1</v>
      </c>
      <c r="DP17" s="190">
        <v>6</v>
      </c>
      <c r="DQ17" s="190">
        <v>7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1005</v>
      </c>
      <c r="C18" s="190">
        <v>127</v>
      </c>
      <c r="D18" s="190">
        <v>1013</v>
      </c>
      <c r="E18" s="190">
        <v>695</v>
      </c>
      <c r="F18" s="190">
        <v>1</v>
      </c>
      <c r="G18" s="190">
        <v>9</v>
      </c>
      <c r="H18" s="190">
        <v>10</v>
      </c>
      <c r="I18" s="190">
        <v>0</v>
      </c>
      <c r="J18" s="190">
        <v>266</v>
      </c>
      <c r="K18" s="190">
        <v>266</v>
      </c>
      <c r="L18" s="190">
        <v>0</v>
      </c>
      <c r="M18" s="190">
        <v>135</v>
      </c>
      <c r="N18" s="190">
        <v>135</v>
      </c>
      <c r="O18" s="190">
        <v>0</v>
      </c>
      <c r="P18" s="190">
        <v>131</v>
      </c>
      <c r="Q18" s="190">
        <v>131</v>
      </c>
      <c r="R18" s="190">
        <v>0</v>
      </c>
      <c r="S18" s="190">
        <v>3</v>
      </c>
      <c r="T18" s="190">
        <v>3</v>
      </c>
      <c r="U18" s="190">
        <v>0</v>
      </c>
      <c r="V18" s="190">
        <v>52</v>
      </c>
      <c r="W18" s="190">
        <v>52</v>
      </c>
      <c r="X18" s="190">
        <v>43</v>
      </c>
      <c r="Y18" s="190">
        <v>970</v>
      </c>
      <c r="Z18" s="190">
        <v>1013</v>
      </c>
      <c r="AA18" s="190">
        <v>27</v>
      </c>
      <c r="AB18" s="190">
        <v>422</v>
      </c>
      <c r="AC18" s="190">
        <v>449</v>
      </c>
      <c r="AD18" s="190">
        <v>23</v>
      </c>
      <c r="AE18" s="190">
        <v>400</v>
      </c>
      <c r="AF18" s="190">
        <v>423</v>
      </c>
      <c r="AG18" s="190">
        <v>3</v>
      </c>
      <c r="AH18" s="190">
        <v>9</v>
      </c>
      <c r="AI18" s="190">
        <v>12</v>
      </c>
      <c r="AJ18" s="190">
        <v>1</v>
      </c>
      <c r="AK18" s="190">
        <v>13</v>
      </c>
      <c r="AL18" s="190">
        <v>14</v>
      </c>
      <c r="AM18" s="190">
        <v>16</v>
      </c>
      <c r="AN18" s="190">
        <v>548</v>
      </c>
      <c r="AO18" s="190">
        <v>564</v>
      </c>
      <c r="AP18" s="190">
        <v>2184</v>
      </c>
      <c r="AQ18" s="190">
        <v>14005</v>
      </c>
      <c r="AR18" s="190">
        <v>16189</v>
      </c>
      <c r="AS18" s="190">
        <v>2184</v>
      </c>
      <c r="AT18" s="190">
        <v>14005</v>
      </c>
      <c r="AU18" s="190">
        <v>16189</v>
      </c>
      <c r="AV18" s="190">
        <v>0</v>
      </c>
      <c r="AW18" s="190">
        <v>0</v>
      </c>
      <c r="AX18" s="190">
        <v>0</v>
      </c>
      <c r="AY18" s="190">
        <v>91</v>
      </c>
      <c r="AZ18" s="190">
        <v>1037</v>
      </c>
      <c r="BA18" s="190">
        <v>1128</v>
      </c>
      <c r="BB18" s="190">
        <v>52</v>
      </c>
      <c r="BC18" s="190">
        <v>2</v>
      </c>
      <c r="BD18" s="190">
        <v>0</v>
      </c>
      <c r="BE18" s="190">
        <v>615</v>
      </c>
      <c r="BF18" s="190">
        <v>20</v>
      </c>
      <c r="BG18" s="190">
        <v>6</v>
      </c>
      <c r="BH18" s="190">
        <v>54</v>
      </c>
      <c r="BI18" s="190">
        <v>641</v>
      </c>
      <c r="BJ18" s="190">
        <v>695</v>
      </c>
      <c r="BK18" s="190">
        <v>-18</v>
      </c>
      <c r="BL18" s="190">
        <v>18</v>
      </c>
      <c r="BM18" s="190">
        <v>0</v>
      </c>
      <c r="BN18" s="190">
        <v>4</v>
      </c>
      <c r="BO18" s="190">
        <v>19</v>
      </c>
      <c r="BP18" s="190">
        <v>23</v>
      </c>
      <c r="BQ18" s="190">
        <v>16</v>
      </c>
      <c r="BR18" s="190">
        <v>154</v>
      </c>
      <c r="BS18" s="190">
        <v>170</v>
      </c>
      <c r="BT18" s="190">
        <v>35</v>
      </c>
      <c r="BU18" s="190">
        <v>205</v>
      </c>
      <c r="BV18" s="190">
        <v>240</v>
      </c>
      <c r="BW18" s="190">
        <v>2275</v>
      </c>
      <c r="BX18" s="190">
        <v>15042</v>
      </c>
      <c r="BY18" s="190">
        <v>17317</v>
      </c>
      <c r="BZ18" s="190">
        <v>2242</v>
      </c>
      <c r="CA18" s="190">
        <v>14662</v>
      </c>
      <c r="CB18" s="190">
        <v>16904</v>
      </c>
      <c r="CC18" s="190">
        <v>41310</v>
      </c>
      <c r="CD18" s="190">
        <v>30</v>
      </c>
      <c r="CE18" s="190">
        <v>354</v>
      </c>
      <c r="CF18" s="190">
        <v>31</v>
      </c>
      <c r="CG18" s="190">
        <v>325</v>
      </c>
      <c r="CH18" s="190">
        <v>356</v>
      </c>
      <c r="CI18" s="190">
        <v>56</v>
      </c>
      <c r="CJ18" s="190">
        <v>5</v>
      </c>
      <c r="CK18" s="190">
        <v>2</v>
      </c>
      <c r="CL18" s="190">
        <v>55</v>
      </c>
      <c r="CM18" s="190">
        <v>57</v>
      </c>
      <c r="CN18" s="190">
        <v>96</v>
      </c>
      <c r="CO18" s="190">
        <v>1072</v>
      </c>
      <c r="CP18" s="190">
        <v>1168</v>
      </c>
      <c r="CQ18" s="190">
        <v>0</v>
      </c>
      <c r="CR18" s="190">
        <v>4</v>
      </c>
      <c r="CS18" s="190">
        <v>4</v>
      </c>
      <c r="CT18" s="190">
        <v>2179</v>
      </c>
      <c r="CU18" s="190">
        <v>13970</v>
      </c>
      <c r="CV18" s="190">
        <v>16149</v>
      </c>
      <c r="CW18" s="190">
        <v>139</v>
      </c>
      <c r="CX18" s="190">
        <v>689</v>
      </c>
      <c r="CY18" s="190">
        <v>828</v>
      </c>
      <c r="CZ18" s="190">
        <v>137</v>
      </c>
      <c r="DA18" s="190">
        <v>1</v>
      </c>
      <c r="DB18" s="190">
        <v>0</v>
      </c>
      <c r="DC18" s="190">
        <v>666</v>
      </c>
      <c r="DD18" s="190">
        <v>15</v>
      </c>
      <c r="DE18" s="190">
        <v>1</v>
      </c>
      <c r="DF18" s="190">
        <v>138</v>
      </c>
      <c r="DG18" s="190">
        <v>682</v>
      </c>
      <c r="DH18" s="190">
        <v>820</v>
      </c>
      <c r="DI18" s="190">
        <v>1</v>
      </c>
      <c r="DJ18" s="190">
        <v>0</v>
      </c>
      <c r="DK18" s="190">
        <v>0</v>
      </c>
      <c r="DL18" s="190">
        <v>7</v>
      </c>
      <c r="DM18" s="190">
        <v>0</v>
      </c>
      <c r="DN18" s="190">
        <v>0</v>
      </c>
      <c r="DO18" s="190">
        <v>1</v>
      </c>
      <c r="DP18" s="190">
        <v>7</v>
      </c>
      <c r="DQ18" s="190">
        <v>8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68</v>
      </c>
      <c r="C19" s="190">
        <v>5</v>
      </c>
      <c r="D19" s="190">
        <v>81</v>
      </c>
      <c r="E19" s="190">
        <v>61</v>
      </c>
      <c r="F19" s="190">
        <v>0</v>
      </c>
      <c r="G19" s="190">
        <v>1</v>
      </c>
      <c r="H19" s="190">
        <v>1</v>
      </c>
      <c r="I19" s="190">
        <v>0</v>
      </c>
      <c r="J19" s="190">
        <v>18</v>
      </c>
      <c r="K19" s="190">
        <v>18</v>
      </c>
      <c r="L19" s="190">
        <v>0</v>
      </c>
      <c r="M19" s="190">
        <v>6</v>
      </c>
      <c r="N19" s="190">
        <v>6</v>
      </c>
      <c r="O19" s="190">
        <v>0</v>
      </c>
      <c r="P19" s="190">
        <v>12</v>
      </c>
      <c r="Q19" s="190">
        <v>12</v>
      </c>
      <c r="R19" s="190">
        <v>0</v>
      </c>
      <c r="S19" s="190">
        <v>1</v>
      </c>
      <c r="T19" s="190">
        <v>1</v>
      </c>
      <c r="U19" s="190">
        <v>0</v>
      </c>
      <c r="V19" s="190">
        <v>2</v>
      </c>
      <c r="W19" s="190">
        <v>2</v>
      </c>
      <c r="X19" s="190">
        <v>0</v>
      </c>
      <c r="Y19" s="190">
        <v>81</v>
      </c>
      <c r="Z19" s="190">
        <v>81</v>
      </c>
      <c r="AA19" s="190">
        <v>0</v>
      </c>
      <c r="AB19" s="190">
        <v>41</v>
      </c>
      <c r="AC19" s="190">
        <v>41</v>
      </c>
      <c r="AD19" s="190">
        <v>0</v>
      </c>
      <c r="AE19" s="190">
        <v>38</v>
      </c>
      <c r="AF19" s="190">
        <v>38</v>
      </c>
      <c r="AG19" s="190">
        <v>0</v>
      </c>
      <c r="AH19" s="190">
        <v>2</v>
      </c>
      <c r="AI19" s="190">
        <v>2</v>
      </c>
      <c r="AJ19" s="190">
        <v>0</v>
      </c>
      <c r="AK19" s="190">
        <v>1</v>
      </c>
      <c r="AL19" s="190">
        <v>1</v>
      </c>
      <c r="AM19" s="190">
        <v>0</v>
      </c>
      <c r="AN19" s="190">
        <v>40</v>
      </c>
      <c r="AO19" s="190">
        <v>40</v>
      </c>
      <c r="AP19" s="190">
        <v>80</v>
      </c>
      <c r="AQ19" s="190">
        <v>882</v>
      </c>
      <c r="AR19" s="190">
        <v>962</v>
      </c>
      <c r="AS19" s="190">
        <v>80</v>
      </c>
      <c r="AT19" s="190">
        <v>882</v>
      </c>
      <c r="AU19" s="190">
        <v>962</v>
      </c>
      <c r="AV19" s="190">
        <v>0</v>
      </c>
      <c r="AW19" s="190">
        <v>0</v>
      </c>
      <c r="AX19" s="190">
        <v>0</v>
      </c>
      <c r="AY19" s="190">
        <v>6</v>
      </c>
      <c r="AZ19" s="190">
        <v>87</v>
      </c>
      <c r="BA19" s="190">
        <v>93</v>
      </c>
      <c r="BB19" s="190">
        <v>0</v>
      </c>
      <c r="BC19" s="190">
        <v>0</v>
      </c>
      <c r="BD19" s="190">
        <v>0</v>
      </c>
      <c r="BE19" s="190">
        <v>61</v>
      </c>
      <c r="BF19" s="190">
        <v>0</v>
      </c>
      <c r="BG19" s="190">
        <v>0</v>
      </c>
      <c r="BH19" s="190">
        <v>0</v>
      </c>
      <c r="BI19" s="190">
        <v>61</v>
      </c>
      <c r="BJ19" s="190">
        <v>61</v>
      </c>
      <c r="BK19" s="190">
        <v>2</v>
      </c>
      <c r="BL19" s="190">
        <v>-2</v>
      </c>
      <c r="BM19" s="190">
        <v>0</v>
      </c>
      <c r="BN19" s="190">
        <v>1</v>
      </c>
      <c r="BO19" s="190">
        <v>5</v>
      </c>
      <c r="BP19" s="190">
        <v>6</v>
      </c>
      <c r="BQ19" s="190">
        <v>2</v>
      </c>
      <c r="BR19" s="190">
        <v>13</v>
      </c>
      <c r="BS19" s="190">
        <v>15</v>
      </c>
      <c r="BT19" s="190">
        <v>1</v>
      </c>
      <c r="BU19" s="190">
        <v>10</v>
      </c>
      <c r="BV19" s="190">
        <v>11</v>
      </c>
      <c r="BW19" s="190">
        <v>86</v>
      </c>
      <c r="BX19" s="190">
        <v>969</v>
      </c>
      <c r="BY19" s="190">
        <v>1055</v>
      </c>
      <c r="BZ19" s="190">
        <v>85</v>
      </c>
      <c r="CA19" s="190">
        <v>963</v>
      </c>
      <c r="CB19" s="190">
        <v>1048</v>
      </c>
      <c r="CC19" s="190">
        <v>2004</v>
      </c>
      <c r="CD19" s="190">
        <v>1</v>
      </c>
      <c r="CE19" s="190">
        <v>5</v>
      </c>
      <c r="CF19" s="190">
        <v>1</v>
      </c>
      <c r="CG19" s="190">
        <v>4</v>
      </c>
      <c r="CH19" s="190">
        <v>5</v>
      </c>
      <c r="CI19" s="190">
        <v>1</v>
      </c>
      <c r="CJ19" s="190">
        <v>1</v>
      </c>
      <c r="CK19" s="190">
        <v>0</v>
      </c>
      <c r="CL19" s="190">
        <v>2</v>
      </c>
      <c r="CM19" s="190">
        <v>2</v>
      </c>
      <c r="CN19" s="190">
        <v>10</v>
      </c>
      <c r="CO19" s="190">
        <v>81</v>
      </c>
      <c r="CP19" s="190">
        <v>91</v>
      </c>
      <c r="CQ19" s="190">
        <v>0</v>
      </c>
      <c r="CR19" s="190">
        <v>1</v>
      </c>
      <c r="CS19" s="190">
        <v>1</v>
      </c>
      <c r="CT19" s="190">
        <v>76</v>
      </c>
      <c r="CU19" s="190">
        <v>888</v>
      </c>
      <c r="CV19" s="190">
        <v>964</v>
      </c>
      <c r="CW19" s="190">
        <v>5</v>
      </c>
      <c r="CX19" s="190">
        <v>41</v>
      </c>
      <c r="CY19" s="190">
        <v>46</v>
      </c>
      <c r="CZ19" s="190">
        <v>5</v>
      </c>
      <c r="DA19" s="190">
        <v>0</v>
      </c>
      <c r="DB19" s="190">
        <v>0</v>
      </c>
      <c r="DC19" s="190">
        <v>40</v>
      </c>
      <c r="DD19" s="190">
        <v>1</v>
      </c>
      <c r="DE19" s="190">
        <v>0</v>
      </c>
      <c r="DF19" s="190">
        <v>5</v>
      </c>
      <c r="DG19" s="190">
        <v>41</v>
      </c>
      <c r="DH19" s="190">
        <v>46</v>
      </c>
      <c r="DI19" s="190">
        <v>0</v>
      </c>
      <c r="DJ19" s="190">
        <v>0</v>
      </c>
      <c r="DK19" s="190">
        <v>0</v>
      </c>
      <c r="DL19" s="190">
        <v>0</v>
      </c>
      <c r="DM19" s="190">
        <v>0</v>
      </c>
      <c r="DN19" s="190">
        <v>0</v>
      </c>
      <c r="DO19" s="190">
        <v>0</v>
      </c>
      <c r="DP19" s="190">
        <v>0</v>
      </c>
      <c r="DQ19" s="190">
        <v>0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4730</v>
      </c>
      <c r="C20" s="190">
        <v>1295</v>
      </c>
      <c r="D20" s="190">
        <v>4610</v>
      </c>
      <c r="E20" s="190">
        <v>3036</v>
      </c>
      <c r="F20" s="190">
        <v>4</v>
      </c>
      <c r="G20" s="190">
        <v>31</v>
      </c>
      <c r="H20" s="190">
        <v>35</v>
      </c>
      <c r="I20" s="190">
        <v>0</v>
      </c>
      <c r="J20" s="190">
        <v>1364</v>
      </c>
      <c r="K20" s="190">
        <v>1364</v>
      </c>
      <c r="L20" s="190">
        <v>0</v>
      </c>
      <c r="M20" s="190">
        <v>665</v>
      </c>
      <c r="N20" s="190">
        <v>665</v>
      </c>
      <c r="O20" s="190">
        <v>0</v>
      </c>
      <c r="P20" s="190">
        <v>699</v>
      </c>
      <c r="Q20" s="190">
        <v>699</v>
      </c>
      <c r="R20" s="190">
        <v>0</v>
      </c>
      <c r="S20" s="190">
        <v>14</v>
      </c>
      <c r="T20" s="190">
        <v>14</v>
      </c>
      <c r="U20" s="190">
        <v>0</v>
      </c>
      <c r="V20" s="190">
        <v>210</v>
      </c>
      <c r="W20" s="190">
        <v>210</v>
      </c>
      <c r="X20" s="190">
        <v>171</v>
      </c>
      <c r="Y20" s="190">
        <v>4438</v>
      </c>
      <c r="Z20" s="190">
        <v>4609</v>
      </c>
      <c r="AA20" s="190">
        <v>115</v>
      </c>
      <c r="AB20" s="190">
        <v>1936</v>
      </c>
      <c r="AC20" s="190">
        <v>2051</v>
      </c>
      <c r="AD20" s="190">
        <v>107</v>
      </c>
      <c r="AE20" s="190">
        <v>1801</v>
      </c>
      <c r="AF20" s="190">
        <v>1908</v>
      </c>
      <c r="AG20" s="190">
        <v>6</v>
      </c>
      <c r="AH20" s="190">
        <v>79</v>
      </c>
      <c r="AI20" s="190">
        <v>85</v>
      </c>
      <c r="AJ20" s="190">
        <v>2</v>
      </c>
      <c r="AK20" s="190">
        <v>56</v>
      </c>
      <c r="AL20" s="190">
        <v>58</v>
      </c>
      <c r="AM20" s="190">
        <v>56</v>
      </c>
      <c r="AN20" s="190">
        <v>2502</v>
      </c>
      <c r="AO20" s="190">
        <v>2558</v>
      </c>
      <c r="AP20" s="190">
        <v>9657</v>
      </c>
      <c r="AQ20" s="190">
        <v>55545</v>
      </c>
      <c r="AR20" s="190">
        <v>65202</v>
      </c>
      <c r="AS20" s="190">
        <v>9657</v>
      </c>
      <c r="AT20" s="190">
        <v>55547</v>
      </c>
      <c r="AU20" s="190">
        <v>65204</v>
      </c>
      <c r="AV20" s="190">
        <v>0</v>
      </c>
      <c r="AW20" s="190">
        <v>-2</v>
      </c>
      <c r="AX20" s="190">
        <v>-2</v>
      </c>
      <c r="AY20" s="190">
        <v>304</v>
      </c>
      <c r="AZ20" s="190">
        <v>4569</v>
      </c>
      <c r="BA20" s="190">
        <v>4873</v>
      </c>
      <c r="BB20" s="190">
        <v>212</v>
      </c>
      <c r="BC20" s="190">
        <v>5</v>
      </c>
      <c r="BD20" s="190">
        <v>0</v>
      </c>
      <c r="BE20" s="190">
        <v>2776</v>
      </c>
      <c r="BF20" s="190">
        <v>32</v>
      </c>
      <c r="BG20" s="190">
        <v>11</v>
      </c>
      <c r="BH20" s="190">
        <v>217</v>
      </c>
      <c r="BI20" s="190">
        <v>2819</v>
      </c>
      <c r="BJ20" s="190">
        <v>3036</v>
      </c>
      <c r="BK20" s="190">
        <v>-148</v>
      </c>
      <c r="BL20" s="190">
        <v>148</v>
      </c>
      <c r="BM20" s="190">
        <v>0</v>
      </c>
      <c r="BN20" s="190">
        <v>24</v>
      </c>
      <c r="BO20" s="190">
        <v>100</v>
      </c>
      <c r="BP20" s="190">
        <v>124</v>
      </c>
      <c r="BQ20" s="190">
        <v>68</v>
      </c>
      <c r="BR20" s="190">
        <v>644</v>
      </c>
      <c r="BS20" s="190">
        <v>712</v>
      </c>
      <c r="BT20" s="190">
        <v>143</v>
      </c>
      <c r="BU20" s="190">
        <v>858</v>
      </c>
      <c r="BV20" s="190">
        <v>1001</v>
      </c>
      <c r="BW20" s="190">
        <v>9961</v>
      </c>
      <c r="BX20" s="190">
        <v>60114</v>
      </c>
      <c r="BY20" s="190">
        <v>70075</v>
      </c>
      <c r="BZ20" s="190">
        <v>9893</v>
      </c>
      <c r="CA20" s="190">
        <v>59101</v>
      </c>
      <c r="CB20" s="190">
        <v>68994</v>
      </c>
      <c r="CC20" s="190">
        <v>161411</v>
      </c>
      <c r="CD20" s="190">
        <v>61</v>
      </c>
      <c r="CE20" s="190">
        <v>865</v>
      </c>
      <c r="CF20" s="190">
        <v>66</v>
      </c>
      <c r="CG20" s="190">
        <v>783</v>
      </c>
      <c r="CH20" s="190">
        <v>849</v>
      </c>
      <c r="CI20" s="190">
        <v>294</v>
      </c>
      <c r="CJ20" s="190">
        <v>20</v>
      </c>
      <c r="CK20" s="190">
        <v>2</v>
      </c>
      <c r="CL20" s="190">
        <v>230</v>
      </c>
      <c r="CM20" s="190">
        <v>232</v>
      </c>
      <c r="CN20" s="190">
        <v>498</v>
      </c>
      <c r="CO20" s="190">
        <v>5312</v>
      </c>
      <c r="CP20" s="190">
        <v>5810</v>
      </c>
      <c r="CQ20" s="190">
        <v>0</v>
      </c>
      <c r="CR20" s="190">
        <v>6</v>
      </c>
      <c r="CS20" s="190">
        <v>6</v>
      </c>
      <c r="CT20" s="190">
        <v>9463</v>
      </c>
      <c r="CU20" s="190">
        <v>54802</v>
      </c>
      <c r="CV20" s="190">
        <v>64265</v>
      </c>
      <c r="CW20" s="190">
        <v>517</v>
      </c>
      <c r="CX20" s="190">
        <v>2062</v>
      </c>
      <c r="CY20" s="190">
        <v>2579</v>
      </c>
      <c r="CZ20" s="190">
        <v>511</v>
      </c>
      <c r="DA20" s="190">
        <v>6</v>
      </c>
      <c r="DB20" s="190">
        <v>0</v>
      </c>
      <c r="DC20" s="190">
        <v>1956</v>
      </c>
      <c r="DD20" s="190">
        <v>20</v>
      </c>
      <c r="DE20" s="190">
        <v>7</v>
      </c>
      <c r="DF20" s="190">
        <v>517</v>
      </c>
      <c r="DG20" s="190">
        <v>1983</v>
      </c>
      <c r="DH20" s="190">
        <v>2500</v>
      </c>
      <c r="DI20" s="190">
        <v>0</v>
      </c>
      <c r="DJ20" s="190">
        <v>0</v>
      </c>
      <c r="DK20" s="190">
        <v>0</v>
      </c>
      <c r="DL20" s="190">
        <v>77</v>
      </c>
      <c r="DM20" s="190">
        <v>2</v>
      </c>
      <c r="DN20" s="190">
        <v>0</v>
      </c>
      <c r="DO20" s="190">
        <v>0</v>
      </c>
      <c r="DP20" s="190">
        <v>79</v>
      </c>
      <c r="DQ20" s="190">
        <v>79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731</v>
      </c>
      <c r="C21" s="190">
        <v>108</v>
      </c>
      <c r="D21" s="190">
        <v>705</v>
      </c>
      <c r="E21" s="190">
        <v>491</v>
      </c>
      <c r="F21" s="190">
        <v>0</v>
      </c>
      <c r="G21" s="190">
        <v>3</v>
      </c>
      <c r="H21" s="190">
        <v>3</v>
      </c>
      <c r="I21" s="190">
        <v>0</v>
      </c>
      <c r="J21" s="190">
        <v>185</v>
      </c>
      <c r="K21" s="190">
        <v>185</v>
      </c>
      <c r="L21" s="190">
        <v>0</v>
      </c>
      <c r="M21" s="190">
        <v>112</v>
      </c>
      <c r="N21" s="190">
        <v>112</v>
      </c>
      <c r="O21" s="190">
        <v>0</v>
      </c>
      <c r="P21" s="190">
        <v>73</v>
      </c>
      <c r="Q21" s="190">
        <v>73</v>
      </c>
      <c r="R21" s="190">
        <v>0</v>
      </c>
      <c r="S21" s="190">
        <v>0</v>
      </c>
      <c r="T21" s="190">
        <v>0</v>
      </c>
      <c r="U21" s="190">
        <v>0</v>
      </c>
      <c r="V21" s="190">
        <v>29</v>
      </c>
      <c r="W21" s="190">
        <v>29</v>
      </c>
      <c r="X21" s="190">
        <v>28</v>
      </c>
      <c r="Y21" s="190">
        <v>676</v>
      </c>
      <c r="Z21" s="190">
        <v>704</v>
      </c>
      <c r="AA21" s="190">
        <v>20</v>
      </c>
      <c r="AB21" s="190">
        <v>319</v>
      </c>
      <c r="AC21" s="190">
        <v>339</v>
      </c>
      <c r="AD21" s="190">
        <v>20</v>
      </c>
      <c r="AE21" s="190">
        <v>305</v>
      </c>
      <c r="AF21" s="190">
        <v>325</v>
      </c>
      <c r="AG21" s="190">
        <v>0</v>
      </c>
      <c r="AH21" s="190">
        <v>12</v>
      </c>
      <c r="AI21" s="190">
        <v>12</v>
      </c>
      <c r="AJ21" s="190">
        <v>0</v>
      </c>
      <c r="AK21" s="190">
        <v>2</v>
      </c>
      <c r="AL21" s="190">
        <v>2</v>
      </c>
      <c r="AM21" s="190">
        <v>8</v>
      </c>
      <c r="AN21" s="190">
        <v>357</v>
      </c>
      <c r="AO21" s="190">
        <v>365</v>
      </c>
      <c r="AP21" s="190">
        <v>1470</v>
      </c>
      <c r="AQ21" s="190">
        <v>8633</v>
      </c>
      <c r="AR21" s="190">
        <v>10103</v>
      </c>
      <c r="AS21" s="190">
        <v>1470</v>
      </c>
      <c r="AT21" s="190">
        <v>8633</v>
      </c>
      <c r="AU21" s="190">
        <v>10103</v>
      </c>
      <c r="AV21" s="190">
        <v>0</v>
      </c>
      <c r="AW21" s="190">
        <v>0</v>
      </c>
      <c r="AX21" s="190">
        <v>0</v>
      </c>
      <c r="AY21" s="190">
        <v>21</v>
      </c>
      <c r="AZ21" s="190">
        <v>739</v>
      </c>
      <c r="BA21" s="190">
        <v>760</v>
      </c>
      <c r="BB21" s="190">
        <v>29</v>
      </c>
      <c r="BC21" s="190">
        <v>0</v>
      </c>
      <c r="BD21" s="190">
        <v>0</v>
      </c>
      <c r="BE21" s="190">
        <v>458</v>
      </c>
      <c r="BF21" s="190">
        <v>2</v>
      </c>
      <c r="BG21" s="190">
        <v>2</v>
      </c>
      <c r="BH21" s="190">
        <v>29</v>
      </c>
      <c r="BI21" s="190">
        <v>462</v>
      </c>
      <c r="BJ21" s="190">
        <v>491</v>
      </c>
      <c r="BK21" s="190">
        <v>-47</v>
      </c>
      <c r="BL21" s="190">
        <v>47</v>
      </c>
      <c r="BM21" s="190">
        <v>0</v>
      </c>
      <c r="BN21" s="190">
        <v>3</v>
      </c>
      <c r="BO21" s="190">
        <v>13</v>
      </c>
      <c r="BP21" s="190">
        <v>16</v>
      </c>
      <c r="BQ21" s="190">
        <v>11</v>
      </c>
      <c r="BR21" s="190">
        <v>111</v>
      </c>
      <c r="BS21" s="190">
        <v>122</v>
      </c>
      <c r="BT21" s="190">
        <v>25</v>
      </c>
      <c r="BU21" s="190">
        <v>106</v>
      </c>
      <c r="BV21" s="190">
        <v>131</v>
      </c>
      <c r="BW21" s="190">
        <v>1491</v>
      </c>
      <c r="BX21" s="190">
        <v>9372</v>
      </c>
      <c r="BY21" s="190">
        <v>10863</v>
      </c>
      <c r="BZ21" s="190">
        <v>1476</v>
      </c>
      <c r="CA21" s="190">
        <v>9214</v>
      </c>
      <c r="CB21" s="190">
        <v>10690</v>
      </c>
      <c r="CC21" s="190">
        <v>24382</v>
      </c>
      <c r="CD21" s="190">
        <v>13</v>
      </c>
      <c r="CE21" s="190">
        <v>137</v>
      </c>
      <c r="CF21" s="190">
        <v>15</v>
      </c>
      <c r="CG21" s="190">
        <v>127</v>
      </c>
      <c r="CH21" s="190">
        <v>142</v>
      </c>
      <c r="CI21" s="190">
        <v>35</v>
      </c>
      <c r="CJ21" s="190">
        <v>5</v>
      </c>
      <c r="CK21" s="190">
        <v>0</v>
      </c>
      <c r="CL21" s="190">
        <v>31</v>
      </c>
      <c r="CM21" s="190">
        <v>31</v>
      </c>
      <c r="CN21" s="190">
        <v>72</v>
      </c>
      <c r="CO21" s="190">
        <v>845</v>
      </c>
      <c r="CP21" s="190">
        <v>917</v>
      </c>
      <c r="CQ21" s="190">
        <v>0</v>
      </c>
      <c r="CR21" s="190">
        <v>2</v>
      </c>
      <c r="CS21" s="190">
        <v>2</v>
      </c>
      <c r="CT21" s="190">
        <v>1419</v>
      </c>
      <c r="CU21" s="190">
        <v>8527</v>
      </c>
      <c r="CV21" s="190">
        <v>9946</v>
      </c>
      <c r="CW21" s="190">
        <v>72</v>
      </c>
      <c r="CX21" s="190">
        <v>278</v>
      </c>
      <c r="CY21" s="190">
        <v>350</v>
      </c>
      <c r="CZ21" s="190">
        <v>71</v>
      </c>
      <c r="DA21" s="190">
        <v>1</v>
      </c>
      <c r="DB21" s="190">
        <v>0</v>
      </c>
      <c r="DC21" s="190">
        <v>261</v>
      </c>
      <c r="DD21" s="190">
        <v>6</v>
      </c>
      <c r="DE21" s="190">
        <v>1</v>
      </c>
      <c r="DF21" s="190">
        <v>72</v>
      </c>
      <c r="DG21" s="190">
        <v>268</v>
      </c>
      <c r="DH21" s="190">
        <v>340</v>
      </c>
      <c r="DI21" s="190">
        <v>0</v>
      </c>
      <c r="DJ21" s="190">
        <v>0</v>
      </c>
      <c r="DK21" s="190">
        <v>0</v>
      </c>
      <c r="DL21" s="190">
        <v>10</v>
      </c>
      <c r="DM21" s="190">
        <v>0</v>
      </c>
      <c r="DN21" s="190">
        <v>0</v>
      </c>
      <c r="DO21" s="190">
        <v>0</v>
      </c>
      <c r="DP21" s="190">
        <v>10</v>
      </c>
      <c r="DQ21" s="190">
        <v>10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382</v>
      </c>
      <c r="C22" s="190">
        <v>45</v>
      </c>
      <c r="D22" s="190">
        <v>379</v>
      </c>
      <c r="E22" s="190">
        <v>302</v>
      </c>
      <c r="F22" s="190">
        <v>1</v>
      </c>
      <c r="G22" s="190">
        <v>13</v>
      </c>
      <c r="H22" s="190">
        <v>14</v>
      </c>
      <c r="I22" s="190">
        <v>0</v>
      </c>
      <c r="J22" s="190">
        <v>62</v>
      </c>
      <c r="K22" s="190">
        <v>62</v>
      </c>
      <c r="L22" s="190">
        <v>0</v>
      </c>
      <c r="M22" s="190">
        <v>16</v>
      </c>
      <c r="N22" s="190">
        <v>16</v>
      </c>
      <c r="O22" s="190">
        <v>0</v>
      </c>
      <c r="P22" s="190">
        <v>46</v>
      </c>
      <c r="Q22" s="190">
        <v>46</v>
      </c>
      <c r="R22" s="190">
        <v>0</v>
      </c>
      <c r="S22" s="190">
        <v>3</v>
      </c>
      <c r="T22" s="190">
        <v>3</v>
      </c>
      <c r="U22" s="190">
        <v>0</v>
      </c>
      <c r="V22" s="190">
        <v>15</v>
      </c>
      <c r="W22" s="190">
        <v>15</v>
      </c>
      <c r="X22" s="190">
        <v>5</v>
      </c>
      <c r="Y22" s="190">
        <v>374</v>
      </c>
      <c r="Z22" s="190">
        <v>379</v>
      </c>
      <c r="AA22" s="190">
        <v>0</v>
      </c>
      <c r="AB22" s="190">
        <v>196</v>
      </c>
      <c r="AC22" s="190">
        <v>196</v>
      </c>
      <c r="AD22" s="190">
        <v>0</v>
      </c>
      <c r="AE22" s="190">
        <v>183</v>
      </c>
      <c r="AF22" s="190">
        <v>183</v>
      </c>
      <c r="AG22" s="190">
        <v>0</v>
      </c>
      <c r="AH22" s="190">
        <v>6</v>
      </c>
      <c r="AI22" s="190">
        <v>6</v>
      </c>
      <c r="AJ22" s="190">
        <v>0</v>
      </c>
      <c r="AK22" s="190">
        <v>7</v>
      </c>
      <c r="AL22" s="190">
        <v>7</v>
      </c>
      <c r="AM22" s="190">
        <v>5</v>
      </c>
      <c r="AN22" s="190">
        <v>178</v>
      </c>
      <c r="AO22" s="190">
        <v>183</v>
      </c>
      <c r="AP22" s="190">
        <v>537</v>
      </c>
      <c r="AQ22" s="190">
        <v>5485</v>
      </c>
      <c r="AR22" s="190">
        <v>6022</v>
      </c>
      <c r="AS22" s="190">
        <v>537</v>
      </c>
      <c r="AT22" s="190">
        <v>5485</v>
      </c>
      <c r="AU22" s="190">
        <v>6022</v>
      </c>
      <c r="AV22" s="190">
        <v>0</v>
      </c>
      <c r="AW22" s="190">
        <v>0</v>
      </c>
      <c r="AX22" s="190">
        <v>0</v>
      </c>
      <c r="AY22" s="190">
        <v>19</v>
      </c>
      <c r="AZ22" s="190">
        <v>495</v>
      </c>
      <c r="BA22" s="190">
        <v>514</v>
      </c>
      <c r="BB22" s="190">
        <v>7</v>
      </c>
      <c r="BC22" s="190">
        <v>0</v>
      </c>
      <c r="BD22" s="190">
        <v>0</v>
      </c>
      <c r="BE22" s="190">
        <v>295</v>
      </c>
      <c r="BF22" s="190">
        <v>0</v>
      </c>
      <c r="BG22" s="190">
        <v>0</v>
      </c>
      <c r="BH22" s="190">
        <v>7</v>
      </c>
      <c r="BI22" s="190">
        <v>295</v>
      </c>
      <c r="BJ22" s="190">
        <v>302</v>
      </c>
      <c r="BK22" s="190">
        <v>-10</v>
      </c>
      <c r="BL22" s="190">
        <v>10</v>
      </c>
      <c r="BM22" s="190">
        <v>0</v>
      </c>
      <c r="BN22" s="190">
        <v>1</v>
      </c>
      <c r="BO22" s="190">
        <v>12</v>
      </c>
      <c r="BP22" s="190">
        <v>13</v>
      </c>
      <c r="BQ22" s="190">
        <v>2</v>
      </c>
      <c r="BR22" s="190">
        <v>21</v>
      </c>
      <c r="BS22" s="190">
        <v>23</v>
      </c>
      <c r="BT22" s="190">
        <v>19</v>
      </c>
      <c r="BU22" s="190">
        <v>157</v>
      </c>
      <c r="BV22" s="190">
        <v>176</v>
      </c>
      <c r="BW22" s="190">
        <v>556</v>
      </c>
      <c r="BX22" s="190">
        <v>5980</v>
      </c>
      <c r="BY22" s="190">
        <v>6536</v>
      </c>
      <c r="BZ22" s="190">
        <v>552</v>
      </c>
      <c r="CA22" s="190">
        <v>5954</v>
      </c>
      <c r="CB22" s="190">
        <v>6506</v>
      </c>
      <c r="CC22" s="190">
        <v>12118</v>
      </c>
      <c r="CD22" s="190">
        <v>4</v>
      </c>
      <c r="CE22" s="190">
        <v>24</v>
      </c>
      <c r="CF22" s="190">
        <v>4</v>
      </c>
      <c r="CG22" s="190">
        <v>21</v>
      </c>
      <c r="CH22" s="190">
        <v>25</v>
      </c>
      <c r="CI22" s="190">
        <v>7</v>
      </c>
      <c r="CJ22" s="190">
        <v>1</v>
      </c>
      <c r="CK22" s="190">
        <v>0</v>
      </c>
      <c r="CL22" s="190">
        <v>5</v>
      </c>
      <c r="CM22" s="190">
        <v>5</v>
      </c>
      <c r="CN22" s="190">
        <v>36</v>
      </c>
      <c r="CO22" s="190">
        <v>482</v>
      </c>
      <c r="CP22" s="190">
        <v>518</v>
      </c>
      <c r="CQ22" s="190">
        <v>0</v>
      </c>
      <c r="CR22" s="190">
        <v>1</v>
      </c>
      <c r="CS22" s="190">
        <v>1</v>
      </c>
      <c r="CT22" s="190">
        <v>520</v>
      </c>
      <c r="CU22" s="190">
        <v>5498</v>
      </c>
      <c r="CV22" s="190">
        <v>6018</v>
      </c>
      <c r="CW22" s="190">
        <v>40</v>
      </c>
      <c r="CX22" s="190">
        <v>257</v>
      </c>
      <c r="CY22" s="190">
        <v>297</v>
      </c>
      <c r="CZ22" s="190">
        <v>38</v>
      </c>
      <c r="DA22" s="190">
        <v>1</v>
      </c>
      <c r="DB22" s="190">
        <v>0</v>
      </c>
      <c r="DC22" s="190">
        <v>255</v>
      </c>
      <c r="DD22" s="190">
        <v>0</v>
      </c>
      <c r="DE22" s="190">
        <v>0</v>
      </c>
      <c r="DF22" s="190">
        <v>39</v>
      </c>
      <c r="DG22" s="190">
        <v>255</v>
      </c>
      <c r="DH22" s="190">
        <v>294</v>
      </c>
      <c r="DI22" s="190">
        <v>1</v>
      </c>
      <c r="DJ22" s="190">
        <v>0</v>
      </c>
      <c r="DK22" s="190">
        <v>0</v>
      </c>
      <c r="DL22" s="190">
        <v>2</v>
      </c>
      <c r="DM22" s="190">
        <v>0</v>
      </c>
      <c r="DN22" s="190">
        <v>0</v>
      </c>
      <c r="DO22" s="190">
        <v>1</v>
      </c>
      <c r="DP22" s="190">
        <v>2</v>
      </c>
      <c r="DQ22" s="190">
        <v>3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109</v>
      </c>
      <c r="C23" s="190">
        <v>13</v>
      </c>
      <c r="D23" s="190">
        <v>105</v>
      </c>
      <c r="E23" s="190">
        <v>79</v>
      </c>
      <c r="F23" s="190">
        <v>0</v>
      </c>
      <c r="G23" s="190">
        <v>7</v>
      </c>
      <c r="H23" s="190">
        <v>7</v>
      </c>
      <c r="I23" s="190">
        <v>0</v>
      </c>
      <c r="J23" s="190">
        <v>22</v>
      </c>
      <c r="K23" s="190">
        <v>22</v>
      </c>
      <c r="L23" s="190">
        <v>0</v>
      </c>
      <c r="M23" s="190">
        <v>10</v>
      </c>
      <c r="N23" s="190">
        <v>10</v>
      </c>
      <c r="O23" s="190">
        <v>0</v>
      </c>
      <c r="P23" s="190">
        <v>12</v>
      </c>
      <c r="Q23" s="190">
        <v>12</v>
      </c>
      <c r="R23" s="190">
        <v>0</v>
      </c>
      <c r="S23" s="190">
        <v>0</v>
      </c>
      <c r="T23" s="190">
        <v>0</v>
      </c>
      <c r="U23" s="190">
        <v>0</v>
      </c>
      <c r="V23" s="190">
        <v>4</v>
      </c>
      <c r="W23" s="190">
        <v>4</v>
      </c>
      <c r="X23" s="190">
        <v>2</v>
      </c>
      <c r="Y23" s="190">
        <v>103</v>
      </c>
      <c r="Z23" s="190">
        <v>105</v>
      </c>
      <c r="AA23" s="190">
        <v>1</v>
      </c>
      <c r="AB23" s="190">
        <v>56</v>
      </c>
      <c r="AC23" s="190">
        <v>57</v>
      </c>
      <c r="AD23" s="190">
        <v>0</v>
      </c>
      <c r="AE23" s="190">
        <v>51</v>
      </c>
      <c r="AF23" s="190">
        <v>51</v>
      </c>
      <c r="AG23" s="190">
        <v>0</v>
      </c>
      <c r="AH23" s="190">
        <v>3</v>
      </c>
      <c r="AI23" s="190">
        <v>3</v>
      </c>
      <c r="AJ23" s="190">
        <v>1</v>
      </c>
      <c r="AK23" s="190">
        <v>2</v>
      </c>
      <c r="AL23" s="190">
        <v>3</v>
      </c>
      <c r="AM23" s="190">
        <v>1</v>
      </c>
      <c r="AN23" s="190">
        <v>47</v>
      </c>
      <c r="AO23" s="190">
        <v>48</v>
      </c>
      <c r="AP23" s="190">
        <v>212</v>
      </c>
      <c r="AQ23" s="190">
        <v>1206</v>
      </c>
      <c r="AR23" s="190">
        <v>1418</v>
      </c>
      <c r="AS23" s="190">
        <v>212</v>
      </c>
      <c r="AT23" s="190">
        <v>1206</v>
      </c>
      <c r="AU23" s="190">
        <v>1418</v>
      </c>
      <c r="AV23" s="190">
        <v>0</v>
      </c>
      <c r="AW23" s="190">
        <v>0</v>
      </c>
      <c r="AX23" s="190">
        <v>0</v>
      </c>
      <c r="AY23" s="190">
        <v>20</v>
      </c>
      <c r="AZ23" s="190">
        <v>158</v>
      </c>
      <c r="BA23" s="190">
        <v>178</v>
      </c>
      <c r="BB23" s="190">
        <v>4</v>
      </c>
      <c r="BC23" s="190">
        <v>0</v>
      </c>
      <c r="BD23" s="190">
        <v>0</v>
      </c>
      <c r="BE23" s="190">
        <v>74</v>
      </c>
      <c r="BF23" s="190">
        <v>1</v>
      </c>
      <c r="BG23" s="190">
        <v>0</v>
      </c>
      <c r="BH23" s="190">
        <v>4</v>
      </c>
      <c r="BI23" s="190">
        <v>75</v>
      </c>
      <c r="BJ23" s="190">
        <v>79</v>
      </c>
      <c r="BK23" s="190">
        <v>0</v>
      </c>
      <c r="BL23" s="190">
        <v>0</v>
      </c>
      <c r="BM23" s="190">
        <v>0</v>
      </c>
      <c r="BN23" s="190">
        <v>0</v>
      </c>
      <c r="BO23" s="190">
        <v>3</v>
      </c>
      <c r="BP23" s="190">
        <v>3</v>
      </c>
      <c r="BQ23" s="190">
        <v>1</v>
      </c>
      <c r="BR23" s="190">
        <v>34</v>
      </c>
      <c r="BS23" s="190">
        <v>35</v>
      </c>
      <c r="BT23" s="190">
        <v>15</v>
      </c>
      <c r="BU23" s="190">
        <v>46</v>
      </c>
      <c r="BV23" s="190">
        <v>61</v>
      </c>
      <c r="BW23" s="190">
        <v>232</v>
      </c>
      <c r="BX23" s="190">
        <v>1364</v>
      </c>
      <c r="BY23" s="190">
        <v>1596</v>
      </c>
      <c r="BZ23" s="190">
        <v>232</v>
      </c>
      <c r="CA23" s="190">
        <v>1360</v>
      </c>
      <c r="CB23" s="190">
        <v>1592</v>
      </c>
      <c r="CC23" s="190">
        <v>3150</v>
      </c>
      <c r="CD23" s="190">
        <v>0</v>
      </c>
      <c r="CE23" s="190">
        <v>5</v>
      </c>
      <c r="CF23" s="190">
        <v>0</v>
      </c>
      <c r="CG23" s="190">
        <v>4</v>
      </c>
      <c r="CH23" s="190">
        <v>4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22</v>
      </c>
      <c r="CO23" s="190">
        <v>128</v>
      </c>
      <c r="CP23" s="190">
        <v>150</v>
      </c>
      <c r="CQ23" s="190">
        <v>0</v>
      </c>
      <c r="CR23" s="190">
        <v>0</v>
      </c>
      <c r="CS23" s="190">
        <v>0</v>
      </c>
      <c r="CT23" s="190">
        <v>210</v>
      </c>
      <c r="CU23" s="190">
        <v>1236</v>
      </c>
      <c r="CV23" s="190">
        <v>1446</v>
      </c>
      <c r="CW23" s="190">
        <v>17</v>
      </c>
      <c r="CX23" s="190">
        <v>64</v>
      </c>
      <c r="CY23" s="190">
        <v>81</v>
      </c>
      <c r="CZ23" s="190">
        <v>17</v>
      </c>
      <c r="DA23" s="190">
        <v>0</v>
      </c>
      <c r="DB23" s="190">
        <v>0</v>
      </c>
      <c r="DC23" s="190">
        <v>63</v>
      </c>
      <c r="DD23" s="190">
        <v>0</v>
      </c>
      <c r="DE23" s="190">
        <v>0</v>
      </c>
      <c r="DF23" s="190">
        <v>17</v>
      </c>
      <c r="DG23" s="190">
        <v>63</v>
      </c>
      <c r="DH23" s="190">
        <v>80</v>
      </c>
      <c r="DI23" s="190">
        <v>0</v>
      </c>
      <c r="DJ23" s="190">
        <v>0</v>
      </c>
      <c r="DK23" s="190">
        <v>0</v>
      </c>
      <c r="DL23" s="190">
        <v>1</v>
      </c>
      <c r="DM23" s="190">
        <v>0</v>
      </c>
      <c r="DN23" s="190">
        <v>0</v>
      </c>
      <c r="DO23" s="190">
        <v>0</v>
      </c>
      <c r="DP23" s="190">
        <v>1</v>
      </c>
      <c r="DQ23" s="190">
        <v>1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28631</v>
      </c>
      <c r="C24" s="190">
        <v>5164</v>
      </c>
      <c r="D24" s="190">
        <v>30800</v>
      </c>
      <c r="E24" s="190">
        <v>23909</v>
      </c>
      <c r="F24" s="190">
        <v>45</v>
      </c>
      <c r="G24" s="190">
        <v>216</v>
      </c>
      <c r="H24" s="190">
        <v>261</v>
      </c>
      <c r="I24" s="190">
        <v>15</v>
      </c>
      <c r="J24" s="190">
        <v>5812</v>
      </c>
      <c r="K24" s="190">
        <v>5827</v>
      </c>
      <c r="L24" s="190">
        <v>7</v>
      </c>
      <c r="M24" s="190">
        <v>2067</v>
      </c>
      <c r="N24" s="190">
        <v>2074</v>
      </c>
      <c r="O24" s="190">
        <v>8</v>
      </c>
      <c r="P24" s="190">
        <v>3745</v>
      </c>
      <c r="Q24" s="190">
        <v>3753</v>
      </c>
      <c r="R24" s="190">
        <v>1</v>
      </c>
      <c r="S24" s="190">
        <v>93</v>
      </c>
      <c r="T24" s="190">
        <v>94</v>
      </c>
      <c r="U24" s="190">
        <v>0</v>
      </c>
      <c r="V24" s="190">
        <v>1064</v>
      </c>
      <c r="W24" s="190">
        <v>1064</v>
      </c>
      <c r="X24" s="190">
        <v>2022</v>
      </c>
      <c r="Y24" s="190">
        <v>26632</v>
      </c>
      <c r="Z24" s="190">
        <v>28654</v>
      </c>
      <c r="AA24" s="190">
        <v>1447</v>
      </c>
      <c r="AB24" s="190">
        <v>14160</v>
      </c>
      <c r="AC24" s="190">
        <v>15607</v>
      </c>
      <c r="AD24" s="190">
        <v>1184</v>
      </c>
      <c r="AE24" s="190">
        <v>12966</v>
      </c>
      <c r="AF24" s="190">
        <v>14150</v>
      </c>
      <c r="AG24" s="190">
        <v>81</v>
      </c>
      <c r="AH24" s="190">
        <v>468</v>
      </c>
      <c r="AI24" s="190">
        <v>549</v>
      </c>
      <c r="AJ24" s="190">
        <v>182</v>
      </c>
      <c r="AK24" s="190">
        <v>726</v>
      </c>
      <c r="AL24" s="190">
        <v>908</v>
      </c>
      <c r="AM24" s="190">
        <v>575</v>
      </c>
      <c r="AN24" s="190">
        <v>12472</v>
      </c>
      <c r="AO24" s="190">
        <v>13047</v>
      </c>
      <c r="AP24" s="190">
        <v>81305</v>
      </c>
      <c r="AQ24" s="190">
        <v>420238</v>
      </c>
      <c r="AR24" s="190">
        <v>501543</v>
      </c>
      <c r="AS24" s="190">
        <v>82632</v>
      </c>
      <c r="AT24" s="190">
        <v>434628</v>
      </c>
      <c r="AU24" s="190">
        <v>517260</v>
      </c>
      <c r="AV24" s="190">
        <v>-1327</v>
      </c>
      <c r="AW24" s="190">
        <v>-14390</v>
      </c>
      <c r="AX24" s="190">
        <v>-15717</v>
      </c>
      <c r="AY24" s="190">
        <v>4664</v>
      </c>
      <c r="AZ24" s="190">
        <v>36670</v>
      </c>
      <c r="BA24" s="190">
        <v>41334</v>
      </c>
      <c r="BB24" s="190">
        <v>2319</v>
      </c>
      <c r="BC24" s="190">
        <v>47</v>
      </c>
      <c r="BD24" s="190">
        <v>8</v>
      </c>
      <c r="BE24" s="190">
        <v>21137</v>
      </c>
      <c r="BF24" s="190">
        <v>194</v>
      </c>
      <c r="BG24" s="190">
        <v>204</v>
      </c>
      <c r="BH24" s="190">
        <v>2374</v>
      </c>
      <c r="BI24" s="190">
        <v>21535</v>
      </c>
      <c r="BJ24" s="190">
        <v>23909</v>
      </c>
      <c r="BK24" s="190">
        <v>-1000</v>
      </c>
      <c r="BL24" s="190">
        <v>1000</v>
      </c>
      <c r="BM24" s="190">
        <v>0</v>
      </c>
      <c r="BN24" s="190">
        <v>40</v>
      </c>
      <c r="BO24" s="190">
        <v>172</v>
      </c>
      <c r="BP24" s="190">
        <v>212</v>
      </c>
      <c r="BQ24" s="190">
        <v>304</v>
      </c>
      <c r="BR24" s="190">
        <v>2323</v>
      </c>
      <c r="BS24" s="190">
        <v>2627</v>
      </c>
      <c r="BT24" s="190">
        <v>2946</v>
      </c>
      <c r="BU24" s="190">
        <v>11640</v>
      </c>
      <c r="BV24" s="190">
        <v>14586</v>
      </c>
      <c r="BW24" s="190">
        <v>85969</v>
      </c>
      <c r="BX24" s="190">
        <v>456908</v>
      </c>
      <c r="BY24" s="190">
        <v>542877</v>
      </c>
      <c r="BZ24" s="190">
        <v>83476</v>
      </c>
      <c r="CA24" s="190">
        <v>448348</v>
      </c>
      <c r="CB24" s="190">
        <v>531824</v>
      </c>
      <c r="CC24" s="190">
        <v>1073228</v>
      </c>
      <c r="CD24" s="190">
        <v>601</v>
      </c>
      <c r="CE24" s="190">
        <v>9022</v>
      </c>
      <c r="CF24" s="190">
        <v>2250</v>
      </c>
      <c r="CG24" s="190">
        <v>5219</v>
      </c>
      <c r="CH24" s="190">
        <v>7469</v>
      </c>
      <c r="CI24" s="190">
        <v>4049</v>
      </c>
      <c r="CJ24" s="190">
        <v>549</v>
      </c>
      <c r="CK24" s="190">
        <v>243</v>
      </c>
      <c r="CL24" s="190">
        <v>3341</v>
      </c>
      <c r="CM24" s="190">
        <v>3584</v>
      </c>
      <c r="CN24" s="190">
        <v>3920</v>
      </c>
      <c r="CO24" s="190">
        <v>26789</v>
      </c>
      <c r="CP24" s="190">
        <v>30709</v>
      </c>
      <c r="CQ24" s="190">
        <v>58</v>
      </c>
      <c r="CR24" s="190">
        <v>267</v>
      </c>
      <c r="CS24" s="190">
        <v>325</v>
      </c>
      <c r="CT24" s="190">
        <v>82049</v>
      </c>
      <c r="CU24" s="190">
        <v>430119</v>
      </c>
      <c r="CV24" s="190">
        <v>512168</v>
      </c>
      <c r="CW24" s="190">
        <v>5594</v>
      </c>
      <c r="CX24" s="190">
        <v>17080</v>
      </c>
      <c r="CY24" s="190">
        <v>22674</v>
      </c>
      <c r="CZ24" s="190">
        <v>5398</v>
      </c>
      <c r="DA24" s="190">
        <v>155</v>
      </c>
      <c r="DB24" s="190">
        <v>3</v>
      </c>
      <c r="DC24" s="190">
        <v>16576</v>
      </c>
      <c r="DD24" s="190">
        <v>273</v>
      </c>
      <c r="DE24" s="190">
        <v>68</v>
      </c>
      <c r="DF24" s="190">
        <v>5556</v>
      </c>
      <c r="DG24" s="190">
        <v>16917</v>
      </c>
      <c r="DH24" s="190">
        <v>22473</v>
      </c>
      <c r="DI24" s="190">
        <v>36</v>
      </c>
      <c r="DJ24" s="190">
        <v>2</v>
      </c>
      <c r="DK24" s="190">
        <v>0</v>
      </c>
      <c r="DL24" s="190">
        <v>158</v>
      </c>
      <c r="DM24" s="190">
        <v>5</v>
      </c>
      <c r="DN24" s="190">
        <v>0</v>
      </c>
      <c r="DO24" s="190">
        <v>38</v>
      </c>
      <c r="DP24" s="190">
        <v>163</v>
      </c>
      <c r="DQ24" s="190">
        <v>201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552</v>
      </c>
      <c r="C25" s="190">
        <v>61</v>
      </c>
      <c r="D25" s="190">
        <v>514</v>
      </c>
      <c r="E25" s="190">
        <v>312</v>
      </c>
      <c r="F25" s="190">
        <v>0</v>
      </c>
      <c r="G25" s="190">
        <v>1</v>
      </c>
      <c r="H25" s="190">
        <v>1</v>
      </c>
      <c r="I25" s="190">
        <v>0</v>
      </c>
      <c r="J25" s="190">
        <v>174</v>
      </c>
      <c r="K25" s="190">
        <v>174</v>
      </c>
      <c r="L25" s="190">
        <v>0</v>
      </c>
      <c r="M25" s="190">
        <v>70</v>
      </c>
      <c r="N25" s="190">
        <v>70</v>
      </c>
      <c r="O25" s="190">
        <v>0</v>
      </c>
      <c r="P25" s="190">
        <v>104</v>
      </c>
      <c r="Q25" s="190">
        <v>104</v>
      </c>
      <c r="R25" s="190">
        <v>0</v>
      </c>
      <c r="S25" s="190">
        <v>1</v>
      </c>
      <c r="T25" s="190">
        <v>1</v>
      </c>
      <c r="U25" s="190">
        <v>0</v>
      </c>
      <c r="V25" s="190">
        <v>28</v>
      </c>
      <c r="W25" s="190">
        <v>28</v>
      </c>
      <c r="X25" s="190">
        <v>12</v>
      </c>
      <c r="Y25" s="190">
        <v>502</v>
      </c>
      <c r="Z25" s="190">
        <v>514</v>
      </c>
      <c r="AA25" s="190">
        <v>4</v>
      </c>
      <c r="AB25" s="190">
        <v>211</v>
      </c>
      <c r="AC25" s="190">
        <v>215</v>
      </c>
      <c r="AD25" s="190">
        <v>4</v>
      </c>
      <c r="AE25" s="190">
        <v>210</v>
      </c>
      <c r="AF25" s="190">
        <v>214</v>
      </c>
      <c r="AG25" s="190">
        <v>0</v>
      </c>
      <c r="AH25" s="190">
        <v>1</v>
      </c>
      <c r="AI25" s="190">
        <v>1</v>
      </c>
      <c r="AJ25" s="190">
        <v>0</v>
      </c>
      <c r="AK25" s="190">
        <v>0</v>
      </c>
      <c r="AL25" s="190">
        <v>0</v>
      </c>
      <c r="AM25" s="190">
        <v>8</v>
      </c>
      <c r="AN25" s="190">
        <v>291</v>
      </c>
      <c r="AO25" s="190">
        <v>299</v>
      </c>
      <c r="AP25" s="190">
        <v>1746</v>
      </c>
      <c r="AQ25" s="190">
        <v>9453</v>
      </c>
      <c r="AR25" s="190">
        <v>11199</v>
      </c>
      <c r="AS25" s="190">
        <v>1746</v>
      </c>
      <c r="AT25" s="190">
        <v>9453</v>
      </c>
      <c r="AU25" s="190">
        <v>11199</v>
      </c>
      <c r="AV25" s="190">
        <v>0</v>
      </c>
      <c r="AW25" s="190">
        <v>0</v>
      </c>
      <c r="AX25" s="190">
        <v>0</v>
      </c>
      <c r="AY25" s="190">
        <v>51</v>
      </c>
      <c r="AZ25" s="190">
        <v>558</v>
      </c>
      <c r="BA25" s="190">
        <v>609</v>
      </c>
      <c r="BB25" s="190">
        <v>17</v>
      </c>
      <c r="BC25" s="190">
        <v>0</v>
      </c>
      <c r="BD25" s="190">
        <v>0</v>
      </c>
      <c r="BE25" s="190">
        <v>295</v>
      </c>
      <c r="BF25" s="190">
        <v>0</v>
      </c>
      <c r="BG25" s="190">
        <v>0</v>
      </c>
      <c r="BH25" s="190">
        <v>17</v>
      </c>
      <c r="BI25" s="190">
        <v>295</v>
      </c>
      <c r="BJ25" s="190">
        <v>312</v>
      </c>
      <c r="BK25" s="190">
        <v>3</v>
      </c>
      <c r="BL25" s="190">
        <v>-3</v>
      </c>
      <c r="BM25" s="190">
        <v>0</v>
      </c>
      <c r="BN25" s="190">
        <v>9</v>
      </c>
      <c r="BO25" s="190">
        <v>26</v>
      </c>
      <c r="BP25" s="190">
        <v>35</v>
      </c>
      <c r="BQ25" s="190">
        <v>7</v>
      </c>
      <c r="BR25" s="190">
        <v>131</v>
      </c>
      <c r="BS25" s="190">
        <v>138</v>
      </c>
      <c r="BT25" s="190">
        <v>15</v>
      </c>
      <c r="BU25" s="190">
        <v>109</v>
      </c>
      <c r="BV25" s="190">
        <v>124</v>
      </c>
      <c r="BW25" s="190">
        <v>1797</v>
      </c>
      <c r="BX25" s="190">
        <v>10011</v>
      </c>
      <c r="BY25" s="190">
        <v>11808</v>
      </c>
      <c r="BZ25" s="190">
        <v>1780</v>
      </c>
      <c r="CA25" s="190">
        <v>9940</v>
      </c>
      <c r="CB25" s="190">
        <v>11720</v>
      </c>
      <c r="CC25" s="190">
        <v>28450</v>
      </c>
      <c r="CD25" s="190">
        <v>3</v>
      </c>
      <c r="CE25" s="190">
        <v>80</v>
      </c>
      <c r="CF25" s="190">
        <v>16</v>
      </c>
      <c r="CG25" s="190">
        <v>63</v>
      </c>
      <c r="CH25" s="190">
        <v>79</v>
      </c>
      <c r="CI25" s="190">
        <v>9</v>
      </c>
      <c r="CJ25" s="190">
        <v>5</v>
      </c>
      <c r="CK25" s="190">
        <v>1</v>
      </c>
      <c r="CL25" s="190">
        <v>8</v>
      </c>
      <c r="CM25" s="190">
        <v>9</v>
      </c>
      <c r="CN25" s="190">
        <v>84</v>
      </c>
      <c r="CO25" s="190">
        <v>731</v>
      </c>
      <c r="CP25" s="190">
        <v>815</v>
      </c>
      <c r="CQ25" s="190">
        <v>0</v>
      </c>
      <c r="CR25" s="190">
        <v>1</v>
      </c>
      <c r="CS25" s="190">
        <v>1</v>
      </c>
      <c r="CT25" s="190">
        <v>1713</v>
      </c>
      <c r="CU25" s="190">
        <v>9280</v>
      </c>
      <c r="CV25" s="190">
        <v>10993</v>
      </c>
      <c r="CW25" s="190">
        <v>93</v>
      </c>
      <c r="CX25" s="190">
        <v>397</v>
      </c>
      <c r="CY25" s="190">
        <v>490</v>
      </c>
      <c r="CZ25" s="190">
        <v>93</v>
      </c>
      <c r="DA25" s="190">
        <v>0</v>
      </c>
      <c r="DB25" s="190">
        <v>0</v>
      </c>
      <c r="DC25" s="190">
        <v>389</v>
      </c>
      <c r="DD25" s="190">
        <v>1</v>
      </c>
      <c r="DE25" s="190">
        <v>0</v>
      </c>
      <c r="DF25" s="190">
        <v>93</v>
      </c>
      <c r="DG25" s="190">
        <v>390</v>
      </c>
      <c r="DH25" s="190">
        <v>483</v>
      </c>
      <c r="DI25" s="190">
        <v>0</v>
      </c>
      <c r="DJ25" s="190">
        <v>0</v>
      </c>
      <c r="DK25" s="190">
        <v>0</v>
      </c>
      <c r="DL25" s="190">
        <v>7</v>
      </c>
      <c r="DM25" s="190">
        <v>0</v>
      </c>
      <c r="DN25" s="190">
        <v>0</v>
      </c>
      <c r="DO25" s="190">
        <v>0</v>
      </c>
      <c r="DP25" s="190">
        <v>7</v>
      </c>
      <c r="DQ25" s="190">
        <v>7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432</v>
      </c>
      <c r="C26" s="190">
        <v>118</v>
      </c>
      <c r="D26" s="190">
        <v>424</v>
      </c>
      <c r="E26" s="190">
        <v>278</v>
      </c>
      <c r="F26" s="190">
        <v>0</v>
      </c>
      <c r="G26" s="190">
        <v>3</v>
      </c>
      <c r="H26" s="190">
        <v>3</v>
      </c>
      <c r="I26" s="190">
        <v>0</v>
      </c>
      <c r="J26" s="190">
        <v>122</v>
      </c>
      <c r="K26" s="190">
        <v>122</v>
      </c>
      <c r="L26" s="190">
        <v>0</v>
      </c>
      <c r="M26" s="190">
        <v>58</v>
      </c>
      <c r="N26" s="190">
        <v>58</v>
      </c>
      <c r="O26" s="190">
        <v>0</v>
      </c>
      <c r="P26" s="190">
        <v>64</v>
      </c>
      <c r="Q26" s="190">
        <v>64</v>
      </c>
      <c r="R26" s="190">
        <v>0</v>
      </c>
      <c r="S26" s="190">
        <v>1</v>
      </c>
      <c r="T26" s="190">
        <v>1</v>
      </c>
      <c r="U26" s="190">
        <v>0</v>
      </c>
      <c r="V26" s="190">
        <v>24</v>
      </c>
      <c r="W26" s="190">
        <v>24</v>
      </c>
      <c r="X26" s="190">
        <v>9</v>
      </c>
      <c r="Y26" s="190">
        <v>414</v>
      </c>
      <c r="Z26" s="190">
        <v>423</v>
      </c>
      <c r="AA26" s="190">
        <v>6</v>
      </c>
      <c r="AB26" s="190">
        <v>169</v>
      </c>
      <c r="AC26" s="190">
        <v>175</v>
      </c>
      <c r="AD26" s="190">
        <v>6</v>
      </c>
      <c r="AE26" s="190">
        <v>161</v>
      </c>
      <c r="AF26" s="190">
        <v>167</v>
      </c>
      <c r="AG26" s="190">
        <v>0</v>
      </c>
      <c r="AH26" s="190">
        <v>7</v>
      </c>
      <c r="AI26" s="190">
        <v>7</v>
      </c>
      <c r="AJ26" s="190">
        <v>0</v>
      </c>
      <c r="AK26" s="190">
        <v>1</v>
      </c>
      <c r="AL26" s="190">
        <v>1</v>
      </c>
      <c r="AM26" s="190">
        <v>3</v>
      </c>
      <c r="AN26" s="190">
        <v>245</v>
      </c>
      <c r="AO26" s="190">
        <v>248</v>
      </c>
      <c r="AP26" s="190">
        <v>545</v>
      </c>
      <c r="AQ26" s="190">
        <v>5012</v>
      </c>
      <c r="AR26" s="190">
        <v>5557</v>
      </c>
      <c r="AS26" s="190">
        <v>545</v>
      </c>
      <c r="AT26" s="190">
        <v>5012</v>
      </c>
      <c r="AU26" s="190">
        <v>5557</v>
      </c>
      <c r="AV26" s="190">
        <v>0</v>
      </c>
      <c r="AW26" s="190">
        <v>0</v>
      </c>
      <c r="AX26" s="190">
        <v>0</v>
      </c>
      <c r="AY26" s="190">
        <v>25</v>
      </c>
      <c r="AZ26" s="190">
        <v>473</v>
      </c>
      <c r="BA26" s="190">
        <v>498</v>
      </c>
      <c r="BB26" s="190">
        <v>13</v>
      </c>
      <c r="BC26" s="190">
        <v>0</v>
      </c>
      <c r="BD26" s="190">
        <v>0</v>
      </c>
      <c r="BE26" s="190">
        <v>251</v>
      </c>
      <c r="BF26" s="190">
        <v>10</v>
      </c>
      <c r="BG26" s="190">
        <v>4</v>
      </c>
      <c r="BH26" s="190">
        <v>13</v>
      </c>
      <c r="BI26" s="190">
        <v>265</v>
      </c>
      <c r="BJ26" s="190">
        <v>278</v>
      </c>
      <c r="BK26" s="190">
        <v>-12</v>
      </c>
      <c r="BL26" s="190">
        <v>12</v>
      </c>
      <c r="BM26" s="190">
        <v>0</v>
      </c>
      <c r="BN26" s="190">
        <v>4</v>
      </c>
      <c r="BO26" s="190">
        <v>9</v>
      </c>
      <c r="BP26" s="190">
        <v>13</v>
      </c>
      <c r="BQ26" s="190">
        <v>1</v>
      </c>
      <c r="BR26" s="190">
        <v>52</v>
      </c>
      <c r="BS26" s="190">
        <v>53</v>
      </c>
      <c r="BT26" s="190">
        <v>19</v>
      </c>
      <c r="BU26" s="190">
        <v>135</v>
      </c>
      <c r="BV26" s="190">
        <v>154</v>
      </c>
      <c r="BW26" s="190">
        <v>570</v>
      </c>
      <c r="BX26" s="190">
        <v>5485</v>
      </c>
      <c r="BY26" s="190">
        <v>6055</v>
      </c>
      <c r="BZ26" s="190">
        <v>534</v>
      </c>
      <c r="CA26" s="190">
        <v>5179</v>
      </c>
      <c r="CB26" s="190">
        <v>5713</v>
      </c>
      <c r="CC26" s="190">
        <v>9576</v>
      </c>
      <c r="CD26" s="190">
        <v>8</v>
      </c>
      <c r="CE26" s="190">
        <v>318</v>
      </c>
      <c r="CF26" s="190">
        <v>33</v>
      </c>
      <c r="CG26" s="190">
        <v>237</v>
      </c>
      <c r="CH26" s="190">
        <v>270</v>
      </c>
      <c r="CI26" s="190">
        <v>71</v>
      </c>
      <c r="CJ26" s="190">
        <v>18</v>
      </c>
      <c r="CK26" s="190">
        <v>3</v>
      </c>
      <c r="CL26" s="190">
        <v>69</v>
      </c>
      <c r="CM26" s="190">
        <v>72</v>
      </c>
      <c r="CN26" s="190">
        <v>27</v>
      </c>
      <c r="CO26" s="190">
        <v>471</v>
      </c>
      <c r="CP26" s="190">
        <v>498</v>
      </c>
      <c r="CQ26" s="190">
        <v>0</v>
      </c>
      <c r="CR26" s="190">
        <v>1</v>
      </c>
      <c r="CS26" s="190">
        <v>1</v>
      </c>
      <c r="CT26" s="190">
        <v>543</v>
      </c>
      <c r="CU26" s="190">
        <v>5014</v>
      </c>
      <c r="CV26" s="190">
        <v>5557</v>
      </c>
      <c r="CW26" s="190">
        <v>39</v>
      </c>
      <c r="CX26" s="190">
        <v>231</v>
      </c>
      <c r="CY26" s="190">
        <v>270</v>
      </c>
      <c r="CZ26" s="190">
        <v>35</v>
      </c>
      <c r="DA26" s="190">
        <v>3</v>
      </c>
      <c r="DB26" s="190">
        <v>0</v>
      </c>
      <c r="DC26" s="190">
        <v>210</v>
      </c>
      <c r="DD26" s="190">
        <v>16</v>
      </c>
      <c r="DE26" s="190">
        <v>1</v>
      </c>
      <c r="DF26" s="190">
        <v>38</v>
      </c>
      <c r="DG26" s="190">
        <v>227</v>
      </c>
      <c r="DH26" s="190">
        <v>265</v>
      </c>
      <c r="DI26" s="190">
        <v>1</v>
      </c>
      <c r="DJ26" s="190">
        <v>0</v>
      </c>
      <c r="DK26" s="190">
        <v>0</v>
      </c>
      <c r="DL26" s="190">
        <v>4</v>
      </c>
      <c r="DM26" s="190">
        <v>0</v>
      </c>
      <c r="DN26" s="190">
        <v>0</v>
      </c>
      <c r="DO26" s="190">
        <v>1</v>
      </c>
      <c r="DP26" s="190">
        <v>4</v>
      </c>
      <c r="DQ26" s="190">
        <v>5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63</v>
      </c>
      <c r="C27" s="190">
        <v>10</v>
      </c>
      <c r="D27" s="190">
        <v>59</v>
      </c>
      <c r="E27" s="190">
        <v>44</v>
      </c>
      <c r="F27" s="190">
        <v>1</v>
      </c>
      <c r="G27" s="190">
        <v>8</v>
      </c>
      <c r="H27" s="190">
        <v>9</v>
      </c>
      <c r="I27" s="190">
        <v>0</v>
      </c>
      <c r="J27" s="190">
        <v>11</v>
      </c>
      <c r="K27" s="190">
        <v>11</v>
      </c>
      <c r="L27" s="190">
        <v>0</v>
      </c>
      <c r="M27" s="190">
        <v>3</v>
      </c>
      <c r="N27" s="190">
        <v>3</v>
      </c>
      <c r="O27" s="190">
        <v>0</v>
      </c>
      <c r="P27" s="190">
        <v>8</v>
      </c>
      <c r="Q27" s="190">
        <v>8</v>
      </c>
      <c r="R27" s="190">
        <v>0</v>
      </c>
      <c r="S27" s="190">
        <v>1</v>
      </c>
      <c r="T27" s="190">
        <v>1</v>
      </c>
      <c r="U27" s="190">
        <v>0</v>
      </c>
      <c r="V27" s="190">
        <v>4</v>
      </c>
      <c r="W27" s="190">
        <v>4</v>
      </c>
      <c r="X27" s="190">
        <v>1</v>
      </c>
      <c r="Y27" s="190">
        <v>57</v>
      </c>
      <c r="Z27" s="190">
        <v>58</v>
      </c>
      <c r="AA27" s="190">
        <v>0</v>
      </c>
      <c r="AB27" s="190">
        <v>28</v>
      </c>
      <c r="AC27" s="190">
        <v>28</v>
      </c>
      <c r="AD27" s="190">
        <v>0</v>
      </c>
      <c r="AE27" s="190">
        <v>17</v>
      </c>
      <c r="AF27" s="190">
        <v>17</v>
      </c>
      <c r="AG27" s="190">
        <v>0</v>
      </c>
      <c r="AH27" s="190">
        <v>6</v>
      </c>
      <c r="AI27" s="190">
        <v>6</v>
      </c>
      <c r="AJ27" s="190">
        <v>0</v>
      </c>
      <c r="AK27" s="190">
        <v>5</v>
      </c>
      <c r="AL27" s="190">
        <v>5</v>
      </c>
      <c r="AM27" s="190">
        <v>1</v>
      </c>
      <c r="AN27" s="190">
        <v>29</v>
      </c>
      <c r="AO27" s="190">
        <v>30</v>
      </c>
      <c r="AP27" s="190">
        <v>88</v>
      </c>
      <c r="AQ27" s="190">
        <v>867</v>
      </c>
      <c r="AR27" s="190">
        <v>955</v>
      </c>
      <c r="AS27" s="190">
        <v>88</v>
      </c>
      <c r="AT27" s="190">
        <v>867</v>
      </c>
      <c r="AU27" s="190">
        <v>955</v>
      </c>
      <c r="AV27" s="190">
        <v>0</v>
      </c>
      <c r="AW27" s="190">
        <v>0</v>
      </c>
      <c r="AX27" s="190">
        <v>0</v>
      </c>
      <c r="AY27" s="190">
        <v>-8</v>
      </c>
      <c r="AZ27" s="190">
        <v>80</v>
      </c>
      <c r="BA27" s="190">
        <v>72</v>
      </c>
      <c r="BB27" s="190">
        <v>1</v>
      </c>
      <c r="BC27" s="190">
        <v>0</v>
      </c>
      <c r="BD27" s="190">
        <v>0</v>
      </c>
      <c r="BE27" s="190">
        <v>43</v>
      </c>
      <c r="BF27" s="190">
        <v>0</v>
      </c>
      <c r="BG27" s="190">
        <v>0</v>
      </c>
      <c r="BH27" s="190">
        <v>1</v>
      </c>
      <c r="BI27" s="190">
        <v>43</v>
      </c>
      <c r="BJ27" s="190">
        <v>44</v>
      </c>
      <c r="BK27" s="190">
        <v>-9</v>
      </c>
      <c r="BL27" s="190">
        <v>9</v>
      </c>
      <c r="BM27" s="190">
        <v>0</v>
      </c>
      <c r="BN27" s="190">
        <v>0</v>
      </c>
      <c r="BO27" s="190">
        <v>4</v>
      </c>
      <c r="BP27" s="190">
        <v>4</v>
      </c>
      <c r="BQ27" s="190">
        <v>0</v>
      </c>
      <c r="BR27" s="190">
        <v>7</v>
      </c>
      <c r="BS27" s="190">
        <v>7</v>
      </c>
      <c r="BT27" s="190">
        <v>0</v>
      </c>
      <c r="BU27" s="190">
        <v>17</v>
      </c>
      <c r="BV27" s="190">
        <v>17</v>
      </c>
      <c r="BW27" s="190">
        <v>80</v>
      </c>
      <c r="BX27" s="190">
        <v>947</v>
      </c>
      <c r="BY27" s="190">
        <v>1027</v>
      </c>
      <c r="BZ27" s="190">
        <v>80</v>
      </c>
      <c r="CA27" s="190">
        <v>942</v>
      </c>
      <c r="CB27" s="190">
        <v>1022</v>
      </c>
      <c r="CC27" s="190">
        <v>1860</v>
      </c>
      <c r="CD27" s="190">
        <v>1</v>
      </c>
      <c r="CE27" s="190">
        <v>2</v>
      </c>
      <c r="CF27" s="190">
        <v>0</v>
      </c>
      <c r="CG27" s="190">
        <v>3</v>
      </c>
      <c r="CH27" s="190">
        <v>3</v>
      </c>
      <c r="CI27" s="190">
        <v>2</v>
      </c>
      <c r="CJ27" s="190">
        <v>0</v>
      </c>
      <c r="CK27" s="190">
        <v>0</v>
      </c>
      <c r="CL27" s="190">
        <v>2</v>
      </c>
      <c r="CM27" s="190">
        <v>2</v>
      </c>
      <c r="CN27" s="190">
        <v>6</v>
      </c>
      <c r="CO27" s="190">
        <v>72</v>
      </c>
      <c r="CP27" s="190">
        <v>78</v>
      </c>
      <c r="CQ27" s="190">
        <v>0</v>
      </c>
      <c r="CR27" s="190">
        <v>2</v>
      </c>
      <c r="CS27" s="190">
        <v>2</v>
      </c>
      <c r="CT27" s="190">
        <v>74</v>
      </c>
      <c r="CU27" s="190">
        <v>875</v>
      </c>
      <c r="CV27" s="190">
        <v>949</v>
      </c>
      <c r="CW27" s="190">
        <v>7</v>
      </c>
      <c r="CX27" s="190">
        <v>40</v>
      </c>
      <c r="CY27" s="190">
        <v>47</v>
      </c>
      <c r="CZ27" s="190">
        <v>7</v>
      </c>
      <c r="DA27" s="190">
        <v>0</v>
      </c>
      <c r="DB27" s="190">
        <v>0</v>
      </c>
      <c r="DC27" s="190">
        <v>40</v>
      </c>
      <c r="DD27" s="190">
        <v>0</v>
      </c>
      <c r="DE27" s="190">
        <v>0</v>
      </c>
      <c r="DF27" s="190">
        <v>7</v>
      </c>
      <c r="DG27" s="190">
        <v>40</v>
      </c>
      <c r="DH27" s="190">
        <v>47</v>
      </c>
      <c r="DI27" s="190">
        <v>0</v>
      </c>
      <c r="DJ27" s="190">
        <v>0</v>
      </c>
      <c r="DK27" s="190">
        <v>0</v>
      </c>
      <c r="DL27" s="190">
        <v>0</v>
      </c>
      <c r="DM27" s="190">
        <v>0</v>
      </c>
      <c r="DN27" s="190">
        <v>0</v>
      </c>
      <c r="DO27" s="190">
        <v>0</v>
      </c>
      <c r="DP27" s="190">
        <v>0</v>
      </c>
      <c r="DQ27" s="190">
        <v>0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441</v>
      </c>
      <c r="C28" s="190">
        <v>68</v>
      </c>
      <c r="D28" s="190">
        <v>433</v>
      </c>
      <c r="E28" s="190">
        <v>338</v>
      </c>
      <c r="F28" s="190">
        <v>0</v>
      </c>
      <c r="G28" s="190">
        <v>26</v>
      </c>
      <c r="H28" s="190">
        <v>26</v>
      </c>
      <c r="I28" s="190">
        <v>0</v>
      </c>
      <c r="J28" s="190">
        <v>87</v>
      </c>
      <c r="K28" s="190">
        <v>87</v>
      </c>
      <c r="L28" s="190">
        <v>0</v>
      </c>
      <c r="M28" s="190">
        <v>33</v>
      </c>
      <c r="N28" s="190">
        <v>33</v>
      </c>
      <c r="O28" s="190">
        <v>0</v>
      </c>
      <c r="P28" s="190">
        <v>54</v>
      </c>
      <c r="Q28" s="190">
        <v>54</v>
      </c>
      <c r="R28" s="190">
        <v>0</v>
      </c>
      <c r="S28" s="190">
        <v>2</v>
      </c>
      <c r="T28" s="190">
        <v>2</v>
      </c>
      <c r="U28" s="190">
        <v>0</v>
      </c>
      <c r="V28" s="190">
        <v>8</v>
      </c>
      <c r="W28" s="190">
        <v>8</v>
      </c>
      <c r="X28" s="190">
        <v>10</v>
      </c>
      <c r="Y28" s="190">
        <v>423</v>
      </c>
      <c r="Z28" s="190">
        <v>433</v>
      </c>
      <c r="AA28" s="190">
        <v>6</v>
      </c>
      <c r="AB28" s="190">
        <v>224</v>
      </c>
      <c r="AC28" s="190">
        <v>230</v>
      </c>
      <c r="AD28" s="190">
        <v>6</v>
      </c>
      <c r="AE28" s="190">
        <v>210</v>
      </c>
      <c r="AF28" s="190">
        <v>216</v>
      </c>
      <c r="AG28" s="190">
        <v>0</v>
      </c>
      <c r="AH28" s="190">
        <v>10</v>
      </c>
      <c r="AI28" s="190">
        <v>10</v>
      </c>
      <c r="AJ28" s="190">
        <v>0</v>
      </c>
      <c r="AK28" s="190">
        <v>4</v>
      </c>
      <c r="AL28" s="190">
        <v>4</v>
      </c>
      <c r="AM28" s="190">
        <v>4</v>
      </c>
      <c r="AN28" s="190">
        <v>199</v>
      </c>
      <c r="AO28" s="190">
        <v>203</v>
      </c>
      <c r="AP28" s="190">
        <v>525</v>
      </c>
      <c r="AQ28" s="190">
        <v>5226</v>
      </c>
      <c r="AR28" s="190">
        <v>5751</v>
      </c>
      <c r="AS28" s="190">
        <v>525</v>
      </c>
      <c r="AT28" s="190">
        <v>5226</v>
      </c>
      <c r="AU28" s="190">
        <v>5751</v>
      </c>
      <c r="AV28" s="190">
        <v>0</v>
      </c>
      <c r="AW28" s="190">
        <v>0</v>
      </c>
      <c r="AX28" s="190">
        <v>0</v>
      </c>
      <c r="AY28" s="190">
        <v>10</v>
      </c>
      <c r="AZ28" s="190">
        <v>556</v>
      </c>
      <c r="BA28" s="190">
        <v>566</v>
      </c>
      <c r="BB28" s="190">
        <v>9</v>
      </c>
      <c r="BC28" s="190">
        <v>0</v>
      </c>
      <c r="BD28" s="190">
        <v>0</v>
      </c>
      <c r="BE28" s="190">
        <v>329</v>
      </c>
      <c r="BF28" s="190">
        <v>0</v>
      </c>
      <c r="BG28" s="190">
        <v>0</v>
      </c>
      <c r="BH28" s="190">
        <v>9</v>
      </c>
      <c r="BI28" s="190">
        <v>329</v>
      </c>
      <c r="BJ28" s="190">
        <v>338</v>
      </c>
      <c r="BK28" s="190">
        <v>-16</v>
      </c>
      <c r="BL28" s="190">
        <v>16</v>
      </c>
      <c r="BM28" s="190">
        <v>0</v>
      </c>
      <c r="BN28" s="190">
        <v>2</v>
      </c>
      <c r="BO28" s="190">
        <v>12</v>
      </c>
      <c r="BP28" s="190">
        <v>14</v>
      </c>
      <c r="BQ28" s="190">
        <v>3</v>
      </c>
      <c r="BR28" s="190">
        <v>72</v>
      </c>
      <c r="BS28" s="190">
        <v>75</v>
      </c>
      <c r="BT28" s="190">
        <v>12</v>
      </c>
      <c r="BU28" s="190">
        <v>127</v>
      </c>
      <c r="BV28" s="190">
        <v>139</v>
      </c>
      <c r="BW28" s="190">
        <v>535</v>
      </c>
      <c r="BX28" s="190">
        <v>5782</v>
      </c>
      <c r="BY28" s="190">
        <v>6317</v>
      </c>
      <c r="BZ28" s="190">
        <v>531</v>
      </c>
      <c r="CA28" s="190">
        <v>5732</v>
      </c>
      <c r="CB28" s="190">
        <v>6263</v>
      </c>
      <c r="CC28" s="190">
        <v>11821</v>
      </c>
      <c r="CD28" s="190">
        <v>2</v>
      </c>
      <c r="CE28" s="190">
        <v>45</v>
      </c>
      <c r="CF28" s="190">
        <v>4</v>
      </c>
      <c r="CG28" s="190">
        <v>38</v>
      </c>
      <c r="CH28" s="190">
        <v>42</v>
      </c>
      <c r="CI28" s="190">
        <v>13</v>
      </c>
      <c r="CJ28" s="190">
        <v>1</v>
      </c>
      <c r="CK28" s="190">
        <v>0</v>
      </c>
      <c r="CL28" s="190">
        <v>12</v>
      </c>
      <c r="CM28" s="190">
        <v>12</v>
      </c>
      <c r="CN28" s="190">
        <v>40</v>
      </c>
      <c r="CO28" s="190">
        <v>552</v>
      </c>
      <c r="CP28" s="190">
        <v>592</v>
      </c>
      <c r="CQ28" s="190">
        <v>0</v>
      </c>
      <c r="CR28" s="190">
        <v>0</v>
      </c>
      <c r="CS28" s="190">
        <v>0</v>
      </c>
      <c r="CT28" s="190">
        <v>495</v>
      </c>
      <c r="CU28" s="190">
        <v>5230</v>
      </c>
      <c r="CV28" s="190">
        <v>5725</v>
      </c>
      <c r="CW28" s="190">
        <v>35</v>
      </c>
      <c r="CX28" s="190">
        <v>199</v>
      </c>
      <c r="CY28" s="190">
        <v>234</v>
      </c>
      <c r="CZ28" s="190">
        <v>35</v>
      </c>
      <c r="DA28" s="190">
        <v>0</v>
      </c>
      <c r="DB28" s="190">
        <v>0</v>
      </c>
      <c r="DC28" s="190">
        <v>197</v>
      </c>
      <c r="DD28" s="190">
        <v>1</v>
      </c>
      <c r="DE28" s="190">
        <v>0</v>
      </c>
      <c r="DF28" s="190">
        <v>35</v>
      </c>
      <c r="DG28" s="190">
        <v>198</v>
      </c>
      <c r="DH28" s="190">
        <v>233</v>
      </c>
      <c r="DI28" s="190">
        <v>0</v>
      </c>
      <c r="DJ28" s="190">
        <v>0</v>
      </c>
      <c r="DK28" s="190">
        <v>0</v>
      </c>
      <c r="DL28" s="190">
        <v>1</v>
      </c>
      <c r="DM28" s="190">
        <v>0</v>
      </c>
      <c r="DN28" s="190">
        <v>0</v>
      </c>
      <c r="DO28" s="190">
        <v>0</v>
      </c>
      <c r="DP28" s="190">
        <v>1</v>
      </c>
      <c r="DQ28" s="190">
        <v>1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1267</v>
      </c>
      <c r="C29" s="190">
        <v>184</v>
      </c>
      <c r="D29" s="190">
        <v>1220</v>
      </c>
      <c r="E29" s="190">
        <v>764</v>
      </c>
      <c r="F29" s="190">
        <v>0</v>
      </c>
      <c r="G29" s="190">
        <v>12</v>
      </c>
      <c r="H29" s="190">
        <v>12</v>
      </c>
      <c r="I29" s="190">
        <v>0</v>
      </c>
      <c r="J29" s="190">
        <v>370</v>
      </c>
      <c r="K29" s="190">
        <v>370</v>
      </c>
      <c r="L29" s="190">
        <v>0</v>
      </c>
      <c r="M29" s="190">
        <v>166</v>
      </c>
      <c r="N29" s="190">
        <v>166</v>
      </c>
      <c r="O29" s="190">
        <v>0</v>
      </c>
      <c r="P29" s="190">
        <v>204</v>
      </c>
      <c r="Q29" s="190">
        <v>204</v>
      </c>
      <c r="R29" s="190">
        <v>0</v>
      </c>
      <c r="S29" s="190">
        <v>5</v>
      </c>
      <c r="T29" s="190">
        <v>5</v>
      </c>
      <c r="U29" s="190">
        <v>0</v>
      </c>
      <c r="V29" s="190">
        <v>86</v>
      </c>
      <c r="W29" s="190">
        <v>86</v>
      </c>
      <c r="X29" s="190">
        <v>39</v>
      </c>
      <c r="Y29" s="190">
        <v>1181</v>
      </c>
      <c r="Z29" s="190">
        <v>1220</v>
      </c>
      <c r="AA29" s="190">
        <v>29</v>
      </c>
      <c r="AB29" s="190">
        <v>505</v>
      </c>
      <c r="AC29" s="190">
        <v>534</v>
      </c>
      <c r="AD29" s="190">
        <v>29</v>
      </c>
      <c r="AE29" s="190">
        <v>483</v>
      </c>
      <c r="AF29" s="190">
        <v>512</v>
      </c>
      <c r="AG29" s="190">
        <v>0</v>
      </c>
      <c r="AH29" s="190">
        <v>17</v>
      </c>
      <c r="AI29" s="190">
        <v>17</v>
      </c>
      <c r="AJ29" s="190">
        <v>0</v>
      </c>
      <c r="AK29" s="190">
        <v>5</v>
      </c>
      <c r="AL29" s="190">
        <v>5</v>
      </c>
      <c r="AM29" s="190">
        <v>10</v>
      </c>
      <c r="AN29" s="190">
        <v>676</v>
      </c>
      <c r="AO29" s="190">
        <v>686</v>
      </c>
      <c r="AP29" s="190">
        <v>3567</v>
      </c>
      <c r="AQ29" s="190">
        <v>19063</v>
      </c>
      <c r="AR29" s="190">
        <v>22630</v>
      </c>
      <c r="AS29" s="190">
        <v>3567</v>
      </c>
      <c r="AT29" s="190">
        <v>19063</v>
      </c>
      <c r="AU29" s="190">
        <v>22630</v>
      </c>
      <c r="AV29" s="190">
        <v>0</v>
      </c>
      <c r="AW29" s="190">
        <v>0</v>
      </c>
      <c r="AX29" s="190">
        <v>0</v>
      </c>
      <c r="AY29" s="190">
        <v>53</v>
      </c>
      <c r="AZ29" s="190">
        <v>1414</v>
      </c>
      <c r="BA29" s="190">
        <v>1467</v>
      </c>
      <c r="BB29" s="190">
        <v>36</v>
      </c>
      <c r="BC29" s="190">
        <v>0</v>
      </c>
      <c r="BD29" s="190">
        <v>0</v>
      </c>
      <c r="BE29" s="190">
        <v>725</v>
      </c>
      <c r="BF29" s="190">
        <v>2</v>
      </c>
      <c r="BG29" s="190">
        <v>1</v>
      </c>
      <c r="BH29" s="190">
        <v>36</v>
      </c>
      <c r="BI29" s="190">
        <v>728</v>
      </c>
      <c r="BJ29" s="190">
        <v>764</v>
      </c>
      <c r="BK29" s="190">
        <v>-55</v>
      </c>
      <c r="BL29" s="190">
        <v>55</v>
      </c>
      <c r="BM29" s="190">
        <v>0</v>
      </c>
      <c r="BN29" s="190">
        <v>13</v>
      </c>
      <c r="BO29" s="190">
        <v>60</v>
      </c>
      <c r="BP29" s="190">
        <v>73</v>
      </c>
      <c r="BQ29" s="190">
        <v>11</v>
      </c>
      <c r="BR29" s="190">
        <v>172</v>
      </c>
      <c r="BS29" s="190">
        <v>183</v>
      </c>
      <c r="BT29" s="190">
        <v>48</v>
      </c>
      <c r="BU29" s="190">
        <v>399</v>
      </c>
      <c r="BV29" s="190">
        <v>447</v>
      </c>
      <c r="BW29" s="190">
        <v>3620</v>
      </c>
      <c r="BX29" s="190">
        <v>20477</v>
      </c>
      <c r="BY29" s="190">
        <v>24097</v>
      </c>
      <c r="BZ29" s="190">
        <v>3605</v>
      </c>
      <c r="CA29" s="190">
        <v>20377</v>
      </c>
      <c r="CB29" s="190">
        <v>23982</v>
      </c>
      <c r="CC29" s="190">
        <v>55401</v>
      </c>
      <c r="CD29" s="190">
        <v>3</v>
      </c>
      <c r="CE29" s="190">
        <v>106</v>
      </c>
      <c r="CF29" s="190">
        <v>14</v>
      </c>
      <c r="CG29" s="190">
        <v>83</v>
      </c>
      <c r="CH29" s="190">
        <v>97</v>
      </c>
      <c r="CI29" s="190">
        <v>14</v>
      </c>
      <c r="CJ29" s="190">
        <v>4</v>
      </c>
      <c r="CK29" s="190">
        <v>1</v>
      </c>
      <c r="CL29" s="190">
        <v>17</v>
      </c>
      <c r="CM29" s="190">
        <v>18</v>
      </c>
      <c r="CN29" s="190">
        <v>147</v>
      </c>
      <c r="CO29" s="190">
        <v>1551</v>
      </c>
      <c r="CP29" s="190">
        <v>1698</v>
      </c>
      <c r="CQ29" s="190">
        <v>0</v>
      </c>
      <c r="CR29" s="190">
        <v>22</v>
      </c>
      <c r="CS29" s="190">
        <v>22</v>
      </c>
      <c r="CT29" s="190">
        <v>3473</v>
      </c>
      <c r="CU29" s="190">
        <v>18926</v>
      </c>
      <c r="CV29" s="190">
        <v>22399</v>
      </c>
      <c r="CW29" s="190">
        <v>172</v>
      </c>
      <c r="CX29" s="190">
        <v>835</v>
      </c>
      <c r="CY29" s="190">
        <v>1007</v>
      </c>
      <c r="CZ29" s="190">
        <v>172</v>
      </c>
      <c r="DA29" s="190">
        <v>0</v>
      </c>
      <c r="DB29" s="190">
        <v>0</v>
      </c>
      <c r="DC29" s="190">
        <v>821</v>
      </c>
      <c r="DD29" s="190">
        <v>7</v>
      </c>
      <c r="DE29" s="190">
        <v>0</v>
      </c>
      <c r="DF29" s="190">
        <v>172</v>
      </c>
      <c r="DG29" s="190">
        <v>828</v>
      </c>
      <c r="DH29" s="190">
        <v>1000</v>
      </c>
      <c r="DI29" s="190">
        <v>0</v>
      </c>
      <c r="DJ29" s="190">
        <v>0</v>
      </c>
      <c r="DK29" s="190">
        <v>0</v>
      </c>
      <c r="DL29" s="190">
        <v>7</v>
      </c>
      <c r="DM29" s="190">
        <v>0</v>
      </c>
      <c r="DN29" s="190">
        <v>0</v>
      </c>
      <c r="DO29" s="190">
        <v>0</v>
      </c>
      <c r="DP29" s="190">
        <v>7</v>
      </c>
      <c r="DQ29" s="190">
        <v>7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29</v>
      </c>
      <c r="C30" s="190">
        <v>3</v>
      </c>
      <c r="D30" s="190">
        <v>32</v>
      </c>
      <c r="E30" s="190">
        <v>25</v>
      </c>
      <c r="F30" s="190">
        <v>0</v>
      </c>
      <c r="G30" s="190">
        <v>1</v>
      </c>
      <c r="H30" s="190">
        <v>1</v>
      </c>
      <c r="I30" s="190">
        <v>0</v>
      </c>
      <c r="J30" s="190">
        <v>6</v>
      </c>
      <c r="K30" s="190">
        <v>6</v>
      </c>
      <c r="L30" s="190">
        <v>0</v>
      </c>
      <c r="M30" s="190">
        <v>1</v>
      </c>
      <c r="N30" s="190">
        <v>1</v>
      </c>
      <c r="O30" s="190">
        <v>0</v>
      </c>
      <c r="P30" s="190">
        <v>5</v>
      </c>
      <c r="Q30" s="190">
        <v>5</v>
      </c>
      <c r="R30" s="190">
        <v>0</v>
      </c>
      <c r="S30" s="190">
        <v>0</v>
      </c>
      <c r="T30" s="190">
        <v>0</v>
      </c>
      <c r="U30" s="190">
        <v>0</v>
      </c>
      <c r="V30" s="190">
        <v>1</v>
      </c>
      <c r="W30" s="190">
        <v>1</v>
      </c>
      <c r="X30" s="190">
        <v>0</v>
      </c>
      <c r="Y30" s="190">
        <v>32</v>
      </c>
      <c r="Z30" s="190">
        <v>32</v>
      </c>
      <c r="AA30" s="190">
        <v>0</v>
      </c>
      <c r="AB30" s="190">
        <v>19</v>
      </c>
      <c r="AC30" s="190">
        <v>19</v>
      </c>
      <c r="AD30" s="190">
        <v>0</v>
      </c>
      <c r="AE30" s="190">
        <v>19</v>
      </c>
      <c r="AF30" s="190">
        <v>19</v>
      </c>
      <c r="AG30" s="190">
        <v>0</v>
      </c>
      <c r="AH30" s="190">
        <v>0</v>
      </c>
      <c r="AI30" s="190">
        <v>0</v>
      </c>
      <c r="AJ30" s="190">
        <v>0</v>
      </c>
      <c r="AK30" s="190">
        <v>0</v>
      </c>
      <c r="AL30" s="190">
        <v>0</v>
      </c>
      <c r="AM30" s="190">
        <v>0</v>
      </c>
      <c r="AN30" s="190">
        <v>13</v>
      </c>
      <c r="AO30" s="190">
        <v>13</v>
      </c>
      <c r="AP30" s="190">
        <v>78</v>
      </c>
      <c r="AQ30" s="190">
        <v>433</v>
      </c>
      <c r="AR30" s="190">
        <v>511</v>
      </c>
      <c r="AS30" s="190">
        <v>78</v>
      </c>
      <c r="AT30" s="190">
        <v>433</v>
      </c>
      <c r="AU30" s="190">
        <v>511</v>
      </c>
      <c r="AV30" s="190">
        <v>0</v>
      </c>
      <c r="AW30" s="190">
        <v>0</v>
      </c>
      <c r="AX30" s="190">
        <v>0</v>
      </c>
      <c r="AY30" s="190">
        <v>4</v>
      </c>
      <c r="AZ30" s="190">
        <v>49</v>
      </c>
      <c r="BA30" s="190">
        <v>53</v>
      </c>
      <c r="BB30" s="190">
        <v>0</v>
      </c>
      <c r="BC30" s="190">
        <v>0</v>
      </c>
      <c r="BD30" s="190">
        <v>0</v>
      </c>
      <c r="BE30" s="190">
        <v>25</v>
      </c>
      <c r="BF30" s="190">
        <v>0</v>
      </c>
      <c r="BG30" s="190">
        <v>0</v>
      </c>
      <c r="BH30" s="190">
        <v>0</v>
      </c>
      <c r="BI30" s="190">
        <v>25</v>
      </c>
      <c r="BJ30" s="190">
        <v>25</v>
      </c>
      <c r="BK30" s="190">
        <v>1</v>
      </c>
      <c r="BL30" s="190">
        <v>-1</v>
      </c>
      <c r="BM30" s="190">
        <v>0</v>
      </c>
      <c r="BN30" s="190">
        <v>2</v>
      </c>
      <c r="BO30" s="190">
        <v>3</v>
      </c>
      <c r="BP30" s="190">
        <v>5</v>
      </c>
      <c r="BQ30" s="190">
        <v>0</v>
      </c>
      <c r="BR30" s="190">
        <v>10</v>
      </c>
      <c r="BS30" s="190">
        <v>10</v>
      </c>
      <c r="BT30" s="190">
        <v>1</v>
      </c>
      <c r="BU30" s="190">
        <v>12</v>
      </c>
      <c r="BV30" s="190">
        <v>13</v>
      </c>
      <c r="BW30" s="190">
        <v>82</v>
      </c>
      <c r="BX30" s="190">
        <v>482</v>
      </c>
      <c r="BY30" s="190">
        <v>564</v>
      </c>
      <c r="BZ30" s="190">
        <v>81</v>
      </c>
      <c r="CA30" s="190">
        <v>481</v>
      </c>
      <c r="CB30" s="190">
        <v>562</v>
      </c>
      <c r="CC30" s="190">
        <v>1195</v>
      </c>
      <c r="CD30" s="190">
        <v>0</v>
      </c>
      <c r="CE30" s="190">
        <v>1</v>
      </c>
      <c r="CF30" s="190">
        <v>1</v>
      </c>
      <c r="CG30" s="190">
        <v>0</v>
      </c>
      <c r="CH30" s="190">
        <v>1</v>
      </c>
      <c r="CI30" s="190">
        <v>2</v>
      </c>
      <c r="CJ30" s="190">
        <v>0</v>
      </c>
      <c r="CK30" s="190">
        <v>0</v>
      </c>
      <c r="CL30" s="190">
        <v>1</v>
      </c>
      <c r="CM30" s="190">
        <v>1</v>
      </c>
      <c r="CN30" s="190">
        <v>10</v>
      </c>
      <c r="CO30" s="190">
        <v>53</v>
      </c>
      <c r="CP30" s="190">
        <v>63</v>
      </c>
      <c r="CQ30" s="190">
        <v>0</v>
      </c>
      <c r="CR30" s="190">
        <v>0</v>
      </c>
      <c r="CS30" s="190">
        <v>0</v>
      </c>
      <c r="CT30" s="190">
        <v>72</v>
      </c>
      <c r="CU30" s="190">
        <v>429</v>
      </c>
      <c r="CV30" s="190">
        <v>501</v>
      </c>
      <c r="CW30" s="190">
        <v>5</v>
      </c>
      <c r="CX30" s="190">
        <v>18</v>
      </c>
      <c r="CY30" s="190">
        <v>23</v>
      </c>
      <c r="CZ30" s="190">
        <v>5</v>
      </c>
      <c r="DA30" s="190">
        <v>0</v>
      </c>
      <c r="DB30" s="190">
        <v>0</v>
      </c>
      <c r="DC30" s="190">
        <v>17</v>
      </c>
      <c r="DD30" s="190">
        <v>0</v>
      </c>
      <c r="DE30" s="190">
        <v>0</v>
      </c>
      <c r="DF30" s="190">
        <v>5</v>
      </c>
      <c r="DG30" s="190">
        <v>17</v>
      </c>
      <c r="DH30" s="190">
        <v>22</v>
      </c>
      <c r="DI30" s="190">
        <v>0</v>
      </c>
      <c r="DJ30" s="190">
        <v>0</v>
      </c>
      <c r="DK30" s="190">
        <v>0</v>
      </c>
      <c r="DL30" s="190">
        <v>1</v>
      </c>
      <c r="DM30" s="190">
        <v>0</v>
      </c>
      <c r="DN30" s="190">
        <v>0</v>
      </c>
      <c r="DO30" s="190">
        <v>0</v>
      </c>
      <c r="DP30" s="190">
        <v>1</v>
      </c>
      <c r="DQ30" s="190">
        <v>1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35</v>
      </c>
      <c r="C31" s="190">
        <v>8</v>
      </c>
      <c r="D31" s="190">
        <v>35</v>
      </c>
      <c r="E31" s="190">
        <v>21</v>
      </c>
      <c r="F31" s="190">
        <v>0</v>
      </c>
      <c r="G31" s="190">
        <v>0</v>
      </c>
      <c r="H31" s="190">
        <v>0</v>
      </c>
      <c r="I31" s="190">
        <v>0</v>
      </c>
      <c r="J31" s="190">
        <v>10</v>
      </c>
      <c r="K31" s="190">
        <v>10</v>
      </c>
      <c r="L31" s="190">
        <v>0</v>
      </c>
      <c r="M31" s="190">
        <v>2</v>
      </c>
      <c r="N31" s="190">
        <v>2</v>
      </c>
      <c r="O31" s="190">
        <v>0</v>
      </c>
      <c r="P31" s="190">
        <v>8</v>
      </c>
      <c r="Q31" s="190">
        <v>8</v>
      </c>
      <c r="R31" s="190">
        <v>0</v>
      </c>
      <c r="S31" s="190">
        <v>0</v>
      </c>
      <c r="T31" s="190">
        <v>0</v>
      </c>
      <c r="U31" s="190">
        <v>0</v>
      </c>
      <c r="V31" s="190">
        <v>4</v>
      </c>
      <c r="W31" s="190">
        <v>4</v>
      </c>
      <c r="X31" s="190">
        <v>0</v>
      </c>
      <c r="Y31" s="190">
        <v>35</v>
      </c>
      <c r="Z31" s="190">
        <v>35</v>
      </c>
      <c r="AA31" s="190">
        <v>0</v>
      </c>
      <c r="AB31" s="190">
        <v>14</v>
      </c>
      <c r="AC31" s="190">
        <v>14</v>
      </c>
      <c r="AD31" s="190">
        <v>0</v>
      </c>
      <c r="AE31" s="190">
        <v>14</v>
      </c>
      <c r="AF31" s="190">
        <v>14</v>
      </c>
      <c r="AG31" s="190">
        <v>0</v>
      </c>
      <c r="AH31" s="190">
        <v>0</v>
      </c>
      <c r="AI31" s="190">
        <v>0</v>
      </c>
      <c r="AJ31" s="190">
        <v>0</v>
      </c>
      <c r="AK31" s="190">
        <v>0</v>
      </c>
      <c r="AL31" s="190">
        <v>0</v>
      </c>
      <c r="AM31" s="190">
        <v>0</v>
      </c>
      <c r="AN31" s="190">
        <v>21</v>
      </c>
      <c r="AO31" s="190">
        <v>21</v>
      </c>
      <c r="AP31" s="190">
        <v>9</v>
      </c>
      <c r="AQ31" s="190">
        <v>372</v>
      </c>
      <c r="AR31" s="190">
        <v>381</v>
      </c>
      <c r="AS31" s="190">
        <v>9</v>
      </c>
      <c r="AT31" s="190">
        <v>372</v>
      </c>
      <c r="AU31" s="190">
        <v>381</v>
      </c>
      <c r="AV31" s="190">
        <v>0</v>
      </c>
      <c r="AW31" s="190">
        <v>0</v>
      </c>
      <c r="AX31" s="190">
        <v>0</v>
      </c>
      <c r="AY31" s="190">
        <v>0</v>
      </c>
      <c r="AZ31" s="190">
        <v>37</v>
      </c>
      <c r="BA31" s="190">
        <v>37</v>
      </c>
      <c r="BB31" s="190">
        <v>0</v>
      </c>
      <c r="BC31" s="190">
        <v>0</v>
      </c>
      <c r="BD31" s="190">
        <v>0</v>
      </c>
      <c r="BE31" s="190">
        <v>21</v>
      </c>
      <c r="BF31" s="190">
        <v>0</v>
      </c>
      <c r="BG31" s="190">
        <v>0</v>
      </c>
      <c r="BH31" s="190">
        <v>0</v>
      </c>
      <c r="BI31" s="190">
        <v>21</v>
      </c>
      <c r="BJ31" s="190">
        <v>21</v>
      </c>
      <c r="BK31" s="190">
        <v>0</v>
      </c>
      <c r="BL31" s="190">
        <v>0</v>
      </c>
      <c r="BM31" s="190">
        <v>0</v>
      </c>
      <c r="BN31" s="190">
        <v>0</v>
      </c>
      <c r="BO31" s="190">
        <v>1</v>
      </c>
      <c r="BP31" s="190">
        <v>1</v>
      </c>
      <c r="BQ31" s="190">
        <v>0</v>
      </c>
      <c r="BR31" s="190">
        <v>3</v>
      </c>
      <c r="BS31" s="190">
        <v>3</v>
      </c>
      <c r="BT31" s="190">
        <v>0</v>
      </c>
      <c r="BU31" s="190">
        <v>12</v>
      </c>
      <c r="BV31" s="190">
        <v>12</v>
      </c>
      <c r="BW31" s="190">
        <v>9</v>
      </c>
      <c r="BX31" s="190">
        <v>409</v>
      </c>
      <c r="BY31" s="190">
        <v>418</v>
      </c>
      <c r="BZ31" s="190">
        <v>9</v>
      </c>
      <c r="CA31" s="190">
        <v>406</v>
      </c>
      <c r="CB31" s="190">
        <v>415</v>
      </c>
      <c r="CC31" s="190">
        <v>680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1</v>
      </c>
      <c r="CO31" s="190">
        <v>69</v>
      </c>
      <c r="CP31" s="190">
        <v>70</v>
      </c>
      <c r="CQ31" s="190">
        <v>0</v>
      </c>
      <c r="CR31" s="190">
        <v>0</v>
      </c>
      <c r="CS31" s="190">
        <v>0</v>
      </c>
      <c r="CT31" s="190">
        <v>8</v>
      </c>
      <c r="CU31" s="190">
        <v>340</v>
      </c>
      <c r="CV31" s="190">
        <v>348</v>
      </c>
      <c r="CW31" s="190">
        <v>1</v>
      </c>
      <c r="CX31" s="190">
        <v>14</v>
      </c>
      <c r="CY31" s="190">
        <v>15</v>
      </c>
      <c r="CZ31" s="190">
        <v>1</v>
      </c>
      <c r="DA31" s="190">
        <v>0</v>
      </c>
      <c r="DB31" s="190">
        <v>0</v>
      </c>
      <c r="DC31" s="190">
        <v>14</v>
      </c>
      <c r="DD31" s="190">
        <v>0</v>
      </c>
      <c r="DE31" s="190">
        <v>0</v>
      </c>
      <c r="DF31" s="190">
        <v>1</v>
      </c>
      <c r="DG31" s="190">
        <v>14</v>
      </c>
      <c r="DH31" s="190">
        <v>15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1208</v>
      </c>
      <c r="C32" s="190">
        <v>285</v>
      </c>
      <c r="D32" s="190">
        <v>1171</v>
      </c>
      <c r="E32" s="190">
        <v>722</v>
      </c>
      <c r="F32" s="190">
        <v>0</v>
      </c>
      <c r="G32" s="190">
        <v>1</v>
      </c>
      <c r="H32" s="190">
        <v>1</v>
      </c>
      <c r="I32" s="190">
        <v>0</v>
      </c>
      <c r="J32" s="190">
        <v>403</v>
      </c>
      <c r="K32" s="190">
        <v>403</v>
      </c>
      <c r="L32" s="190">
        <v>0</v>
      </c>
      <c r="M32" s="190">
        <v>258</v>
      </c>
      <c r="N32" s="190">
        <v>258</v>
      </c>
      <c r="O32" s="190">
        <v>0</v>
      </c>
      <c r="P32" s="190">
        <v>145</v>
      </c>
      <c r="Q32" s="190">
        <v>145</v>
      </c>
      <c r="R32" s="190">
        <v>0</v>
      </c>
      <c r="S32" s="190">
        <v>1</v>
      </c>
      <c r="T32" s="190">
        <v>1</v>
      </c>
      <c r="U32" s="190">
        <v>0</v>
      </c>
      <c r="V32" s="190">
        <v>46</v>
      </c>
      <c r="W32" s="190">
        <v>46</v>
      </c>
      <c r="X32" s="190">
        <v>16</v>
      </c>
      <c r="Y32" s="190">
        <v>1155</v>
      </c>
      <c r="Z32" s="190">
        <v>1171</v>
      </c>
      <c r="AA32" s="190">
        <v>10</v>
      </c>
      <c r="AB32" s="190">
        <v>435</v>
      </c>
      <c r="AC32" s="190">
        <v>445</v>
      </c>
      <c r="AD32" s="190">
        <v>10</v>
      </c>
      <c r="AE32" s="190">
        <v>421</v>
      </c>
      <c r="AF32" s="190">
        <v>431</v>
      </c>
      <c r="AG32" s="190">
        <v>0</v>
      </c>
      <c r="AH32" s="190">
        <v>7</v>
      </c>
      <c r="AI32" s="190">
        <v>7</v>
      </c>
      <c r="AJ32" s="190">
        <v>0</v>
      </c>
      <c r="AK32" s="190">
        <v>7</v>
      </c>
      <c r="AL32" s="190">
        <v>7</v>
      </c>
      <c r="AM32" s="190">
        <v>6</v>
      </c>
      <c r="AN32" s="190">
        <v>720</v>
      </c>
      <c r="AO32" s="190">
        <v>726</v>
      </c>
      <c r="AP32" s="190">
        <v>3312</v>
      </c>
      <c r="AQ32" s="190">
        <v>18558</v>
      </c>
      <c r="AR32" s="190">
        <v>21870</v>
      </c>
      <c r="AS32" s="190">
        <v>3312</v>
      </c>
      <c r="AT32" s="190">
        <v>18558</v>
      </c>
      <c r="AU32" s="190">
        <v>21870</v>
      </c>
      <c r="AV32" s="190">
        <v>0</v>
      </c>
      <c r="AW32" s="190">
        <v>0</v>
      </c>
      <c r="AX32" s="190">
        <v>0</v>
      </c>
      <c r="AY32" s="190">
        <v>-28</v>
      </c>
      <c r="AZ32" s="190">
        <v>1376</v>
      </c>
      <c r="BA32" s="190">
        <v>1348</v>
      </c>
      <c r="BB32" s="190">
        <v>19</v>
      </c>
      <c r="BC32" s="190">
        <v>1</v>
      </c>
      <c r="BD32" s="190">
        <v>0</v>
      </c>
      <c r="BE32" s="190">
        <v>692</v>
      </c>
      <c r="BF32" s="190">
        <v>10</v>
      </c>
      <c r="BG32" s="190">
        <v>0</v>
      </c>
      <c r="BH32" s="190">
        <v>20</v>
      </c>
      <c r="BI32" s="190">
        <v>702</v>
      </c>
      <c r="BJ32" s="190">
        <v>722</v>
      </c>
      <c r="BK32" s="190">
        <v>-124</v>
      </c>
      <c r="BL32" s="190">
        <v>124</v>
      </c>
      <c r="BM32" s="190">
        <v>0</v>
      </c>
      <c r="BN32" s="190">
        <v>7</v>
      </c>
      <c r="BO32" s="190">
        <v>28</v>
      </c>
      <c r="BP32" s="190">
        <v>35</v>
      </c>
      <c r="BQ32" s="190">
        <v>21</v>
      </c>
      <c r="BR32" s="190">
        <v>150</v>
      </c>
      <c r="BS32" s="190">
        <v>171</v>
      </c>
      <c r="BT32" s="190">
        <v>48</v>
      </c>
      <c r="BU32" s="190">
        <v>372</v>
      </c>
      <c r="BV32" s="190">
        <v>420</v>
      </c>
      <c r="BW32" s="190">
        <v>3284</v>
      </c>
      <c r="BX32" s="190">
        <v>19934</v>
      </c>
      <c r="BY32" s="190">
        <v>23218</v>
      </c>
      <c r="BZ32" s="190">
        <v>3262</v>
      </c>
      <c r="CA32" s="190">
        <v>19659</v>
      </c>
      <c r="CB32" s="190">
        <v>22921</v>
      </c>
      <c r="CC32" s="190">
        <v>51415</v>
      </c>
      <c r="CD32" s="190">
        <v>14</v>
      </c>
      <c r="CE32" s="190">
        <v>279</v>
      </c>
      <c r="CF32" s="190">
        <v>22</v>
      </c>
      <c r="CG32" s="190">
        <v>241</v>
      </c>
      <c r="CH32" s="190">
        <v>263</v>
      </c>
      <c r="CI32" s="190">
        <v>38</v>
      </c>
      <c r="CJ32" s="190">
        <v>8</v>
      </c>
      <c r="CK32" s="190">
        <v>0</v>
      </c>
      <c r="CL32" s="190">
        <v>34</v>
      </c>
      <c r="CM32" s="190">
        <v>34</v>
      </c>
      <c r="CN32" s="190">
        <v>204</v>
      </c>
      <c r="CO32" s="190">
        <v>2140</v>
      </c>
      <c r="CP32" s="190">
        <v>2344</v>
      </c>
      <c r="CQ32" s="190">
        <v>0</v>
      </c>
      <c r="CR32" s="190">
        <v>4</v>
      </c>
      <c r="CS32" s="190">
        <v>4</v>
      </c>
      <c r="CT32" s="190">
        <v>3080</v>
      </c>
      <c r="CU32" s="190">
        <v>17794</v>
      </c>
      <c r="CV32" s="190">
        <v>20874</v>
      </c>
      <c r="CW32" s="190">
        <v>152</v>
      </c>
      <c r="CX32" s="190">
        <v>573</v>
      </c>
      <c r="CY32" s="190">
        <v>725</v>
      </c>
      <c r="CZ32" s="190">
        <v>151</v>
      </c>
      <c r="DA32" s="190">
        <v>1</v>
      </c>
      <c r="DB32" s="190">
        <v>0</v>
      </c>
      <c r="DC32" s="190">
        <v>565</v>
      </c>
      <c r="DD32" s="190">
        <v>4</v>
      </c>
      <c r="DE32" s="190">
        <v>0</v>
      </c>
      <c r="DF32" s="190">
        <v>152</v>
      </c>
      <c r="DG32" s="190">
        <v>569</v>
      </c>
      <c r="DH32" s="190">
        <v>721</v>
      </c>
      <c r="DI32" s="190">
        <v>0</v>
      </c>
      <c r="DJ32" s="190">
        <v>0</v>
      </c>
      <c r="DK32" s="190">
        <v>0</v>
      </c>
      <c r="DL32" s="190">
        <v>4</v>
      </c>
      <c r="DM32" s="190">
        <v>0</v>
      </c>
      <c r="DN32" s="190">
        <v>0</v>
      </c>
      <c r="DO32" s="190">
        <v>0</v>
      </c>
      <c r="DP32" s="190">
        <v>4</v>
      </c>
      <c r="DQ32" s="190">
        <v>4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234</v>
      </c>
      <c r="C33" s="190">
        <v>66</v>
      </c>
      <c r="D33" s="190">
        <v>242</v>
      </c>
      <c r="E33" s="190">
        <v>134</v>
      </c>
      <c r="F33" s="190">
        <v>0</v>
      </c>
      <c r="G33" s="190">
        <v>7</v>
      </c>
      <c r="H33" s="190">
        <v>7</v>
      </c>
      <c r="I33" s="190">
        <v>0</v>
      </c>
      <c r="J33" s="190">
        <v>81</v>
      </c>
      <c r="K33" s="190">
        <v>81</v>
      </c>
      <c r="L33" s="190">
        <v>0</v>
      </c>
      <c r="M33" s="190">
        <v>28</v>
      </c>
      <c r="N33" s="190">
        <v>28</v>
      </c>
      <c r="O33" s="190">
        <v>0</v>
      </c>
      <c r="P33" s="190">
        <v>53</v>
      </c>
      <c r="Q33" s="190">
        <v>53</v>
      </c>
      <c r="R33" s="190">
        <v>0</v>
      </c>
      <c r="S33" s="190">
        <v>1</v>
      </c>
      <c r="T33" s="190">
        <v>1</v>
      </c>
      <c r="U33" s="190">
        <v>0</v>
      </c>
      <c r="V33" s="190">
        <v>27</v>
      </c>
      <c r="W33" s="190">
        <v>27</v>
      </c>
      <c r="X33" s="190">
        <v>4</v>
      </c>
      <c r="Y33" s="190">
        <v>238</v>
      </c>
      <c r="Z33" s="190">
        <v>242</v>
      </c>
      <c r="AA33" s="190">
        <v>2</v>
      </c>
      <c r="AB33" s="190">
        <v>79</v>
      </c>
      <c r="AC33" s="190">
        <v>81</v>
      </c>
      <c r="AD33" s="190">
        <v>1</v>
      </c>
      <c r="AE33" s="190">
        <v>79</v>
      </c>
      <c r="AF33" s="190">
        <v>80</v>
      </c>
      <c r="AG33" s="190">
        <v>0</v>
      </c>
      <c r="AH33" s="190">
        <v>0</v>
      </c>
      <c r="AI33" s="190">
        <v>0</v>
      </c>
      <c r="AJ33" s="190">
        <v>1</v>
      </c>
      <c r="AK33" s="190">
        <v>0</v>
      </c>
      <c r="AL33" s="190">
        <v>1</v>
      </c>
      <c r="AM33" s="190">
        <v>2</v>
      </c>
      <c r="AN33" s="190">
        <v>159</v>
      </c>
      <c r="AO33" s="190">
        <v>161</v>
      </c>
      <c r="AP33" s="190">
        <v>287</v>
      </c>
      <c r="AQ33" s="190">
        <v>2846</v>
      </c>
      <c r="AR33" s="190">
        <v>3133</v>
      </c>
      <c r="AS33" s="190">
        <v>288</v>
      </c>
      <c r="AT33" s="190">
        <v>2846</v>
      </c>
      <c r="AU33" s="190">
        <v>3134</v>
      </c>
      <c r="AV33" s="190">
        <v>-1</v>
      </c>
      <c r="AW33" s="190">
        <v>0</v>
      </c>
      <c r="AX33" s="190">
        <v>-1</v>
      </c>
      <c r="AY33" s="190">
        <v>7</v>
      </c>
      <c r="AZ33" s="190">
        <v>226</v>
      </c>
      <c r="BA33" s="190">
        <v>233</v>
      </c>
      <c r="BB33" s="190">
        <v>4</v>
      </c>
      <c r="BC33" s="190">
        <v>0</v>
      </c>
      <c r="BD33" s="190">
        <v>0</v>
      </c>
      <c r="BE33" s="190">
        <v>127</v>
      </c>
      <c r="BF33" s="190">
        <v>2</v>
      </c>
      <c r="BG33" s="190">
        <v>1</v>
      </c>
      <c r="BH33" s="190">
        <v>4</v>
      </c>
      <c r="BI33" s="190">
        <v>130</v>
      </c>
      <c r="BJ33" s="190">
        <v>134</v>
      </c>
      <c r="BK33" s="190">
        <v>-3</v>
      </c>
      <c r="BL33" s="190">
        <v>3</v>
      </c>
      <c r="BM33" s="190">
        <v>0</v>
      </c>
      <c r="BN33" s="190">
        <v>0</v>
      </c>
      <c r="BO33" s="190">
        <v>12</v>
      </c>
      <c r="BP33" s="190">
        <v>12</v>
      </c>
      <c r="BQ33" s="190">
        <v>2</v>
      </c>
      <c r="BR33" s="190">
        <v>13</v>
      </c>
      <c r="BS33" s="190">
        <v>15</v>
      </c>
      <c r="BT33" s="190">
        <v>4</v>
      </c>
      <c r="BU33" s="190">
        <v>68</v>
      </c>
      <c r="BV33" s="190">
        <v>72</v>
      </c>
      <c r="BW33" s="190">
        <v>294</v>
      </c>
      <c r="BX33" s="190">
        <v>3072</v>
      </c>
      <c r="BY33" s="190">
        <v>3366</v>
      </c>
      <c r="BZ33" s="190">
        <v>287</v>
      </c>
      <c r="CA33" s="190">
        <v>3016</v>
      </c>
      <c r="CB33" s="190">
        <v>3303</v>
      </c>
      <c r="CC33" s="190">
        <v>6673</v>
      </c>
      <c r="CD33" s="190">
        <v>3</v>
      </c>
      <c r="CE33" s="190">
        <v>58</v>
      </c>
      <c r="CF33" s="190">
        <v>7</v>
      </c>
      <c r="CG33" s="190">
        <v>50</v>
      </c>
      <c r="CH33" s="190">
        <v>57</v>
      </c>
      <c r="CI33" s="190">
        <v>7</v>
      </c>
      <c r="CJ33" s="190">
        <v>0</v>
      </c>
      <c r="CK33" s="190">
        <v>0</v>
      </c>
      <c r="CL33" s="190">
        <v>6</v>
      </c>
      <c r="CM33" s="190">
        <v>6</v>
      </c>
      <c r="CN33" s="190">
        <v>15</v>
      </c>
      <c r="CO33" s="190">
        <v>277</v>
      </c>
      <c r="CP33" s="190">
        <v>292</v>
      </c>
      <c r="CQ33" s="190">
        <v>0</v>
      </c>
      <c r="CR33" s="190">
        <v>0</v>
      </c>
      <c r="CS33" s="190">
        <v>0</v>
      </c>
      <c r="CT33" s="190">
        <v>279</v>
      </c>
      <c r="CU33" s="190">
        <v>2795</v>
      </c>
      <c r="CV33" s="190">
        <v>3074</v>
      </c>
      <c r="CW33" s="190">
        <v>19</v>
      </c>
      <c r="CX33" s="190">
        <v>106</v>
      </c>
      <c r="CY33" s="190">
        <v>125</v>
      </c>
      <c r="CZ33" s="190">
        <v>18</v>
      </c>
      <c r="DA33" s="190">
        <v>1</v>
      </c>
      <c r="DB33" s="190">
        <v>0</v>
      </c>
      <c r="DC33" s="190">
        <v>101</v>
      </c>
      <c r="DD33" s="190">
        <v>0</v>
      </c>
      <c r="DE33" s="190">
        <v>0</v>
      </c>
      <c r="DF33" s="190">
        <v>19</v>
      </c>
      <c r="DG33" s="190">
        <v>101</v>
      </c>
      <c r="DH33" s="190">
        <v>120</v>
      </c>
      <c r="DI33" s="190">
        <v>0</v>
      </c>
      <c r="DJ33" s="190">
        <v>0</v>
      </c>
      <c r="DK33" s="190">
        <v>0</v>
      </c>
      <c r="DL33" s="190">
        <v>4</v>
      </c>
      <c r="DM33" s="190">
        <v>1</v>
      </c>
      <c r="DN33" s="190">
        <v>0</v>
      </c>
      <c r="DO33" s="190">
        <v>0</v>
      </c>
      <c r="DP33" s="190">
        <v>5</v>
      </c>
      <c r="DQ33" s="190">
        <v>5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318</v>
      </c>
      <c r="C34" s="190">
        <v>92</v>
      </c>
      <c r="D34" s="190">
        <v>352</v>
      </c>
      <c r="E34" s="190">
        <v>205</v>
      </c>
      <c r="F34" s="190">
        <v>1</v>
      </c>
      <c r="G34" s="190">
        <v>49</v>
      </c>
      <c r="H34" s="190">
        <v>50</v>
      </c>
      <c r="I34" s="190">
        <v>0</v>
      </c>
      <c r="J34" s="190">
        <v>138</v>
      </c>
      <c r="K34" s="190">
        <v>138</v>
      </c>
      <c r="L34" s="190">
        <v>0</v>
      </c>
      <c r="M34" s="190">
        <v>56</v>
      </c>
      <c r="N34" s="190">
        <v>56</v>
      </c>
      <c r="O34" s="190">
        <v>0</v>
      </c>
      <c r="P34" s="190">
        <v>82</v>
      </c>
      <c r="Q34" s="190">
        <v>82</v>
      </c>
      <c r="R34" s="190">
        <v>0</v>
      </c>
      <c r="S34" s="190">
        <v>14</v>
      </c>
      <c r="T34" s="190">
        <v>14</v>
      </c>
      <c r="U34" s="190">
        <v>0</v>
      </c>
      <c r="V34" s="190">
        <v>9</v>
      </c>
      <c r="W34" s="190">
        <v>9</v>
      </c>
      <c r="X34" s="190">
        <v>2</v>
      </c>
      <c r="Y34" s="190">
        <v>350</v>
      </c>
      <c r="Z34" s="190">
        <v>352</v>
      </c>
      <c r="AA34" s="190">
        <v>1</v>
      </c>
      <c r="AB34" s="190">
        <v>135</v>
      </c>
      <c r="AC34" s="190">
        <v>136</v>
      </c>
      <c r="AD34" s="190">
        <v>1</v>
      </c>
      <c r="AE34" s="190">
        <v>113</v>
      </c>
      <c r="AF34" s="190">
        <v>114</v>
      </c>
      <c r="AG34" s="190">
        <v>0</v>
      </c>
      <c r="AH34" s="190">
        <v>5</v>
      </c>
      <c r="AI34" s="190">
        <v>5</v>
      </c>
      <c r="AJ34" s="190">
        <v>0</v>
      </c>
      <c r="AK34" s="190">
        <v>17</v>
      </c>
      <c r="AL34" s="190">
        <v>17</v>
      </c>
      <c r="AM34" s="190">
        <v>1</v>
      </c>
      <c r="AN34" s="190">
        <v>215</v>
      </c>
      <c r="AO34" s="190">
        <v>216</v>
      </c>
      <c r="AP34" s="190">
        <v>237</v>
      </c>
      <c r="AQ34" s="190">
        <v>3627</v>
      </c>
      <c r="AR34" s="190">
        <v>3864</v>
      </c>
      <c r="AS34" s="190">
        <v>237</v>
      </c>
      <c r="AT34" s="190">
        <v>3627</v>
      </c>
      <c r="AU34" s="190">
        <v>3864</v>
      </c>
      <c r="AV34" s="190">
        <v>0</v>
      </c>
      <c r="AW34" s="190">
        <v>0</v>
      </c>
      <c r="AX34" s="190">
        <v>0</v>
      </c>
      <c r="AY34" s="190">
        <v>24</v>
      </c>
      <c r="AZ34" s="190">
        <v>330</v>
      </c>
      <c r="BA34" s="190">
        <v>354</v>
      </c>
      <c r="BB34" s="190">
        <v>4</v>
      </c>
      <c r="BC34" s="190">
        <v>0</v>
      </c>
      <c r="BD34" s="190">
        <v>0</v>
      </c>
      <c r="BE34" s="190">
        <v>201</v>
      </c>
      <c r="BF34" s="190">
        <v>0</v>
      </c>
      <c r="BG34" s="190">
        <v>0</v>
      </c>
      <c r="BH34" s="190">
        <v>4</v>
      </c>
      <c r="BI34" s="190">
        <v>201</v>
      </c>
      <c r="BJ34" s="190">
        <v>205</v>
      </c>
      <c r="BK34" s="190">
        <v>8</v>
      </c>
      <c r="BL34" s="190">
        <v>-8</v>
      </c>
      <c r="BM34" s="190">
        <v>0</v>
      </c>
      <c r="BN34" s="190">
        <v>1</v>
      </c>
      <c r="BO34" s="190">
        <v>7</v>
      </c>
      <c r="BP34" s="190">
        <v>8</v>
      </c>
      <c r="BQ34" s="190">
        <v>0</v>
      </c>
      <c r="BR34" s="190">
        <v>51</v>
      </c>
      <c r="BS34" s="190">
        <v>51</v>
      </c>
      <c r="BT34" s="190">
        <v>11</v>
      </c>
      <c r="BU34" s="190">
        <v>79</v>
      </c>
      <c r="BV34" s="190">
        <v>90</v>
      </c>
      <c r="BW34" s="190">
        <v>261</v>
      </c>
      <c r="BX34" s="190">
        <v>3957</v>
      </c>
      <c r="BY34" s="190">
        <v>4218</v>
      </c>
      <c r="BZ34" s="190">
        <v>260</v>
      </c>
      <c r="CA34" s="190">
        <v>3945</v>
      </c>
      <c r="CB34" s="190">
        <v>4205</v>
      </c>
      <c r="CC34" s="190">
        <v>7301</v>
      </c>
      <c r="CD34" s="190">
        <v>2</v>
      </c>
      <c r="CE34" s="190">
        <v>11</v>
      </c>
      <c r="CF34" s="190">
        <v>1</v>
      </c>
      <c r="CG34" s="190">
        <v>11</v>
      </c>
      <c r="CH34" s="190">
        <v>12</v>
      </c>
      <c r="CI34" s="190">
        <v>1</v>
      </c>
      <c r="CJ34" s="190">
        <v>0</v>
      </c>
      <c r="CK34" s="190">
        <v>0</v>
      </c>
      <c r="CL34" s="190">
        <v>1</v>
      </c>
      <c r="CM34" s="190">
        <v>1</v>
      </c>
      <c r="CN34" s="190">
        <v>19</v>
      </c>
      <c r="CO34" s="190">
        <v>360</v>
      </c>
      <c r="CP34" s="190">
        <v>379</v>
      </c>
      <c r="CQ34" s="190">
        <v>0</v>
      </c>
      <c r="CR34" s="190">
        <v>2</v>
      </c>
      <c r="CS34" s="190">
        <v>2</v>
      </c>
      <c r="CT34" s="190">
        <v>242</v>
      </c>
      <c r="CU34" s="190">
        <v>3597</v>
      </c>
      <c r="CV34" s="190">
        <v>3839</v>
      </c>
      <c r="CW34" s="190">
        <v>17</v>
      </c>
      <c r="CX34" s="190">
        <v>146</v>
      </c>
      <c r="CY34" s="190">
        <v>163</v>
      </c>
      <c r="CZ34" s="190">
        <v>17</v>
      </c>
      <c r="DA34" s="190">
        <v>0</v>
      </c>
      <c r="DB34" s="190">
        <v>0</v>
      </c>
      <c r="DC34" s="190">
        <v>145</v>
      </c>
      <c r="DD34" s="190">
        <v>1</v>
      </c>
      <c r="DE34" s="190">
        <v>0</v>
      </c>
      <c r="DF34" s="190">
        <v>17</v>
      </c>
      <c r="DG34" s="190">
        <v>146</v>
      </c>
      <c r="DH34" s="190">
        <v>163</v>
      </c>
      <c r="DI34" s="190">
        <v>0</v>
      </c>
      <c r="DJ34" s="190">
        <v>0</v>
      </c>
      <c r="DK34" s="190">
        <v>0</v>
      </c>
      <c r="DL34" s="190">
        <v>0</v>
      </c>
      <c r="DM34" s="190">
        <v>0</v>
      </c>
      <c r="DN34" s="190">
        <v>0</v>
      </c>
      <c r="DO34" s="190">
        <v>0</v>
      </c>
      <c r="DP34" s="190">
        <v>0</v>
      </c>
      <c r="DQ34" s="190">
        <v>0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6153</v>
      </c>
      <c r="C35" s="190">
        <v>1447</v>
      </c>
      <c r="D35" s="190">
        <v>5854</v>
      </c>
      <c r="E35" s="190">
        <v>4096</v>
      </c>
      <c r="F35" s="190">
        <v>1</v>
      </c>
      <c r="G35" s="190">
        <v>33</v>
      </c>
      <c r="H35" s="190">
        <v>34</v>
      </c>
      <c r="I35" s="190">
        <v>68</v>
      </c>
      <c r="J35" s="190">
        <v>1447</v>
      </c>
      <c r="K35" s="190">
        <v>1515</v>
      </c>
      <c r="L35" s="190">
        <v>30</v>
      </c>
      <c r="M35" s="190">
        <v>813</v>
      </c>
      <c r="N35" s="190">
        <v>843</v>
      </c>
      <c r="O35" s="190">
        <v>38</v>
      </c>
      <c r="P35" s="190">
        <v>634</v>
      </c>
      <c r="Q35" s="190">
        <v>672</v>
      </c>
      <c r="R35" s="190">
        <v>1</v>
      </c>
      <c r="S35" s="190">
        <v>85</v>
      </c>
      <c r="T35" s="190">
        <v>86</v>
      </c>
      <c r="U35" s="190">
        <v>37</v>
      </c>
      <c r="V35" s="190">
        <v>206</v>
      </c>
      <c r="W35" s="190">
        <v>243</v>
      </c>
      <c r="X35" s="190">
        <v>92</v>
      </c>
      <c r="Y35" s="190">
        <v>4727</v>
      </c>
      <c r="Z35" s="190">
        <v>4819</v>
      </c>
      <c r="AA35" s="190">
        <v>50</v>
      </c>
      <c r="AB35" s="190">
        <v>1831</v>
      </c>
      <c r="AC35" s="190">
        <v>1881</v>
      </c>
      <c r="AD35" s="190">
        <v>49</v>
      </c>
      <c r="AE35" s="190">
        <v>1818</v>
      </c>
      <c r="AF35" s="190">
        <v>1867</v>
      </c>
      <c r="AG35" s="190">
        <v>0</v>
      </c>
      <c r="AH35" s="190">
        <v>11</v>
      </c>
      <c r="AI35" s="190">
        <v>11</v>
      </c>
      <c r="AJ35" s="190">
        <v>1</v>
      </c>
      <c r="AK35" s="190">
        <v>2</v>
      </c>
      <c r="AL35" s="190">
        <v>3</v>
      </c>
      <c r="AM35" s="190">
        <v>42</v>
      </c>
      <c r="AN35" s="190">
        <v>2896</v>
      </c>
      <c r="AO35" s="190">
        <v>2938</v>
      </c>
      <c r="AP35" s="190">
        <v>9520</v>
      </c>
      <c r="AQ35" s="190">
        <v>99218</v>
      </c>
      <c r="AR35" s="190">
        <v>108738</v>
      </c>
      <c r="AS35" s="190">
        <v>9641</v>
      </c>
      <c r="AT35" s="190">
        <v>98996</v>
      </c>
      <c r="AU35" s="190">
        <v>108637</v>
      </c>
      <c r="AV35" s="190">
        <v>-121</v>
      </c>
      <c r="AW35" s="190">
        <v>222</v>
      </c>
      <c r="AX35" s="190">
        <v>101</v>
      </c>
      <c r="AY35" s="190">
        <v>358</v>
      </c>
      <c r="AZ35" s="190">
        <v>7828</v>
      </c>
      <c r="BA35" s="190">
        <v>8186</v>
      </c>
      <c r="BB35" s="190">
        <v>208</v>
      </c>
      <c r="BC35" s="190">
        <v>7</v>
      </c>
      <c r="BD35" s="190">
        <v>0</v>
      </c>
      <c r="BE35" s="190">
        <v>3750</v>
      </c>
      <c r="BF35" s="190">
        <v>79</v>
      </c>
      <c r="BG35" s="190">
        <v>52</v>
      </c>
      <c r="BH35" s="190">
        <v>215</v>
      </c>
      <c r="BI35" s="190">
        <v>3881</v>
      </c>
      <c r="BJ35" s="190">
        <v>4096</v>
      </c>
      <c r="BK35" s="190">
        <v>-117</v>
      </c>
      <c r="BL35" s="190">
        <v>117</v>
      </c>
      <c r="BM35" s="190">
        <v>0</v>
      </c>
      <c r="BN35" s="190">
        <v>8</v>
      </c>
      <c r="BO35" s="190">
        <v>98</v>
      </c>
      <c r="BP35" s="190">
        <v>106</v>
      </c>
      <c r="BQ35" s="190">
        <v>38</v>
      </c>
      <c r="BR35" s="190">
        <v>920</v>
      </c>
      <c r="BS35" s="190">
        <v>958</v>
      </c>
      <c r="BT35" s="190">
        <v>214</v>
      </c>
      <c r="BU35" s="190">
        <v>2812</v>
      </c>
      <c r="BV35" s="190">
        <v>3026</v>
      </c>
      <c r="BW35" s="190">
        <v>9878</v>
      </c>
      <c r="BX35" s="190">
        <v>107046</v>
      </c>
      <c r="BY35" s="190">
        <v>116924</v>
      </c>
      <c r="BZ35" s="190">
        <v>9671</v>
      </c>
      <c r="CA35" s="190">
        <v>103931</v>
      </c>
      <c r="CB35" s="190">
        <v>113602</v>
      </c>
      <c r="CC35" s="190">
        <v>237946</v>
      </c>
      <c r="CD35" s="190">
        <v>275</v>
      </c>
      <c r="CE35" s="190">
        <v>2941</v>
      </c>
      <c r="CF35" s="190">
        <v>203</v>
      </c>
      <c r="CG35" s="190">
        <v>2019</v>
      </c>
      <c r="CH35" s="190">
        <v>2222</v>
      </c>
      <c r="CI35" s="190">
        <v>1500</v>
      </c>
      <c r="CJ35" s="190">
        <v>15</v>
      </c>
      <c r="CK35" s="190">
        <v>4</v>
      </c>
      <c r="CL35" s="190">
        <v>1096</v>
      </c>
      <c r="CM35" s="190">
        <v>1100</v>
      </c>
      <c r="CN35" s="190">
        <v>497</v>
      </c>
      <c r="CO35" s="190">
        <v>8499</v>
      </c>
      <c r="CP35" s="190">
        <v>8996</v>
      </c>
      <c r="CQ35" s="190">
        <v>0</v>
      </c>
      <c r="CR35" s="190">
        <v>0</v>
      </c>
      <c r="CS35" s="190">
        <v>0</v>
      </c>
      <c r="CT35" s="190">
        <v>9381</v>
      </c>
      <c r="CU35" s="190">
        <v>98547</v>
      </c>
      <c r="CV35" s="190">
        <v>107928</v>
      </c>
      <c r="CW35" s="190">
        <v>682</v>
      </c>
      <c r="CX35" s="190">
        <v>5912</v>
      </c>
      <c r="CY35" s="190">
        <v>6594</v>
      </c>
      <c r="CZ35" s="190">
        <v>659</v>
      </c>
      <c r="DA35" s="190">
        <v>12</v>
      </c>
      <c r="DB35" s="190">
        <v>0</v>
      </c>
      <c r="DC35" s="190">
        <v>4716</v>
      </c>
      <c r="DD35" s="190">
        <v>117</v>
      </c>
      <c r="DE35" s="190">
        <v>34</v>
      </c>
      <c r="DF35" s="190">
        <v>671</v>
      </c>
      <c r="DG35" s="190">
        <v>4867</v>
      </c>
      <c r="DH35" s="190">
        <v>5538</v>
      </c>
      <c r="DI35" s="190">
        <v>11</v>
      </c>
      <c r="DJ35" s="190">
        <v>0</v>
      </c>
      <c r="DK35" s="190">
        <v>0</v>
      </c>
      <c r="DL35" s="190">
        <v>1004</v>
      </c>
      <c r="DM35" s="190">
        <v>28</v>
      </c>
      <c r="DN35" s="190">
        <v>13</v>
      </c>
      <c r="DO35" s="190">
        <v>11</v>
      </c>
      <c r="DP35" s="190">
        <v>1045</v>
      </c>
      <c r="DQ35" s="190">
        <v>1056</v>
      </c>
      <c r="DR35" s="190">
        <v>0</v>
      </c>
      <c r="DS35" s="190">
        <v>1</v>
      </c>
      <c r="DT35" s="191">
        <v>1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586</v>
      </c>
      <c r="C36" s="190">
        <v>229</v>
      </c>
      <c r="D36" s="190">
        <v>514</v>
      </c>
      <c r="E36" s="190">
        <v>277</v>
      </c>
      <c r="F36" s="190">
        <v>0</v>
      </c>
      <c r="G36" s="190">
        <v>0</v>
      </c>
      <c r="H36" s="190">
        <v>0</v>
      </c>
      <c r="I36" s="190">
        <v>0</v>
      </c>
      <c r="J36" s="190">
        <v>211</v>
      </c>
      <c r="K36" s="190">
        <v>211</v>
      </c>
      <c r="L36" s="190">
        <v>0</v>
      </c>
      <c r="M36" s="190">
        <v>58</v>
      </c>
      <c r="N36" s="190">
        <v>58</v>
      </c>
      <c r="O36" s="190">
        <v>0</v>
      </c>
      <c r="P36" s="190">
        <v>153</v>
      </c>
      <c r="Q36" s="190">
        <v>153</v>
      </c>
      <c r="R36" s="190">
        <v>0</v>
      </c>
      <c r="S36" s="190">
        <v>14</v>
      </c>
      <c r="T36" s="190">
        <v>14</v>
      </c>
      <c r="U36" s="190">
        <v>0</v>
      </c>
      <c r="V36" s="190">
        <v>26</v>
      </c>
      <c r="W36" s="190">
        <v>26</v>
      </c>
      <c r="X36" s="190">
        <v>4</v>
      </c>
      <c r="Y36" s="190">
        <v>323</v>
      </c>
      <c r="Z36" s="190">
        <v>327</v>
      </c>
      <c r="AA36" s="190">
        <v>4</v>
      </c>
      <c r="AB36" s="190">
        <v>179</v>
      </c>
      <c r="AC36" s="190">
        <v>183</v>
      </c>
      <c r="AD36" s="190">
        <v>3</v>
      </c>
      <c r="AE36" s="190">
        <v>164</v>
      </c>
      <c r="AF36" s="190">
        <v>167</v>
      </c>
      <c r="AG36" s="190">
        <v>0</v>
      </c>
      <c r="AH36" s="190">
        <v>6</v>
      </c>
      <c r="AI36" s="190">
        <v>6</v>
      </c>
      <c r="AJ36" s="190">
        <v>1</v>
      </c>
      <c r="AK36" s="190">
        <v>9</v>
      </c>
      <c r="AL36" s="190">
        <v>10</v>
      </c>
      <c r="AM36" s="190">
        <v>0</v>
      </c>
      <c r="AN36" s="190">
        <v>144</v>
      </c>
      <c r="AO36" s="190">
        <v>144</v>
      </c>
      <c r="AP36" s="190">
        <v>642</v>
      </c>
      <c r="AQ36" s="190">
        <v>7596</v>
      </c>
      <c r="AR36" s="190">
        <v>8238</v>
      </c>
      <c r="AS36" s="190">
        <v>629</v>
      </c>
      <c r="AT36" s="190">
        <v>7393</v>
      </c>
      <c r="AU36" s="190">
        <v>8022</v>
      </c>
      <c r="AV36" s="190">
        <v>13</v>
      </c>
      <c r="AW36" s="190">
        <v>203</v>
      </c>
      <c r="AX36" s="190">
        <v>216</v>
      </c>
      <c r="AY36" s="190">
        <v>23</v>
      </c>
      <c r="AZ36" s="190">
        <v>537</v>
      </c>
      <c r="BA36" s="190">
        <v>560</v>
      </c>
      <c r="BB36" s="190">
        <v>11</v>
      </c>
      <c r="BC36" s="190">
        <v>0</v>
      </c>
      <c r="BD36" s="190">
        <v>0</v>
      </c>
      <c r="BE36" s="190">
        <v>261</v>
      </c>
      <c r="BF36" s="190">
        <v>2</v>
      </c>
      <c r="BG36" s="190">
        <v>3</v>
      </c>
      <c r="BH36" s="190">
        <v>11</v>
      </c>
      <c r="BI36" s="190">
        <v>266</v>
      </c>
      <c r="BJ36" s="190">
        <v>277</v>
      </c>
      <c r="BK36" s="190">
        <v>-24</v>
      </c>
      <c r="BL36" s="190">
        <v>24</v>
      </c>
      <c r="BM36" s="190">
        <v>0</v>
      </c>
      <c r="BN36" s="190">
        <v>4</v>
      </c>
      <c r="BO36" s="190">
        <v>38</v>
      </c>
      <c r="BP36" s="190">
        <v>42</v>
      </c>
      <c r="BQ36" s="190">
        <v>8</v>
      </c>
      <c r="BR36" s="190">
        <v>66</v>
      </c>
      <c r="BS36" s="190">
        <v>74</v>
      </c>
      <c r="BT36" s="190">
        <v>24</v>
      </c>
      <c r="BU36" s="190">
        <v>143</v>
      </c>
      <c r="BV36" s="190">
        <v>167</v>
      </c>
      <c r="BW36" s="190">
        <v>665</v>
      </c>
      <c r="BX36" s="190">
        <v>8133</v>
      </c>
      <c r="BY36" s="190">
        <v>8798</v>
      </c>
      <c r="BZ36" s="190">
        <v>654</v>
      </c>
      <c r="CA36" s="190">
        <v>8059</v>
      </c>
      <c r="CB36" s="190">
        <v>8713</v>
      </c>
      <c r="CC36" s="190">
        <v>16037</v>
      </c>
      <c r="CD36" s="190">
        <v>3</v>
      </c>
      <c r="CE36" s="190">
        <v>65</v>
      </c>
      <c r="CF36" s="190">
        <v>9</v>
      </c>
      <c r="CG36" s="190">
        <v>38</v>
      </c>
      <c r="CH36" s="190">
        <v>47</v>
      </c>
      <c r="CI36" s="190">
        <v>52</v>
      </c>
      <c r="CJ36" s="190">
        <v>7</v>
      </c>
      <c r="CK36" s="190">
        <v>2</v>
      </c>
      <c r="CL36" s="190">
        <v>36</v>
      </c>
      <c r="CM36" s="190">
        <v>38</v>
      </c>
      <c r="CN36" s="190">
        <v>43</v>
      </c>
      <c r="CO36" s="190">
        <v>806</v>
      </c>
      <c r="CP36" s="190">
        <v>849</v>
      </c>
      <c r="CQ36" s="190">
        <v>0</v>
      </c>
      <c r="CR36" s="190">
        <v>0</v>
      </c>
      <c r="CS36" s="190">
        <v>0</v>
      </c>
      <c r="CT36" s="190">
        <v>622</v>
      </c>
      <c r="CU36" s="190">
        <v>7327</v>
      </c>
      <c r="CV36" s="190">
        <v>7949</v>
      </c>
      <c r="CW36" s="190">
        <v>32</v>
      </c>
      <c r="CX36" s="190">
        <v>280</v>
      </c>
      <c r="CY36" s="190">
        <v>312</v>
      </c>
      <c r="CZ36" s="190">
        <v>30</v>
      </c>
      <c r="DA36" s="190">
        <v>2</v>
      </c>
      <c r="DB36" s="190">
        <v>0</v>
      </c>
      <c r="DC36" s="190">
        <v>269</v>
      </c>
      <c r="DD36" s="190">
        <v>1</v>
      </c>
      <c r="DE36" s="190">
        <v>0</v>
      </c>
      <c r="DF36" s="190">
        <v>32</v>
      </c>
      <c r="DG36" s="190">
        <v>270</v>
      </c>
      <c r="DH36" s="190">
        <v>302</v>
      </c>
      <c r="DI36" s="190">
        <v>0</v>
      </c>
      <c r="DJ36" s="190">
        <v>0</v>
      </c>
      <c r="DK36" s="190">
        <v>0</v>
      </c>
      <c r="DL36" s="190">
        <v>10</v>
      </c>
      <c r="DM36" s="190">
        <v>0</v>
      </c>
      <c r="DN36" s="190">
        <v>0</v>
      </c>
      <c r="DO36" s="190">
        <v>0</v>
      </c>
      <c r="DP36" s="190">
        <v>10</v>
      </c>
      <c r="DQ36" s="190">
        <v>10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83</v>
      </c>
      <c r="C37" s="190">
        <v>14</v>
      </c>
      <c r="D37" s="190">
        <v>75</v>
      </c>
      <c r="E37" s="190">
        <v>49</v>
      </c>
      <c r="F37" s="190">
        <v>0</v>
      </c>
      <c r="G37" s="190">
        <v>2</v>
      </c>
      <c r="H37" s="190">
        <v>2</v>
      </c>
      <c r="I37" s="190">
        <v>0</v>
      </c>
      <c r="J37" s="190">
        <v>20</v>
      </c>
      <c r="K37" s="190">
        <v>20</v>
      </c>
      <c r="L37" s="190">
        <v>0</v>
      </c>
      <c r="M37" s="190">
        <v>9</v>
      </c>
      <c r="N37" s="190">
        <v>9</v>
      </c>
      <c r="O37" s="190">
        <v>0</v>
      </c>
      <c r="P37" s="190">
        <v>11</v>
      </c>
      <c r="Q37" s="190">
        <v>11</v>
      </c>
      <c r="R37" s="190">
        <v>0</v>
      </c>
      <c r="S37" s="190">
        <v>0</v>
      </c>
      <c r="T37" s="190">
        <v>0</v>
      </c>
      <c r="U37" s="190">
        <v>0</v>
      </c>
      <c r="V37" s="190">
        <v>6</v>
      </c>
      <c r="W37" s="190">
        <v>6</v>
      </c>
      <c r="X37" s="190">
        <v>1</v>
      </c>
      <c r="Y37" s="190">
        <v>74</v>
      </c>
      <c r="Z37" s="190">
        <v>75</v>
      </c>
      <c r="AA37" s="190">
        <v>0</v>
      </c>
      <c r="AB37" s="190">
        <v>28</v>
      </c>
      <c r="AC37" s="190">
        <v>28</v>
      </c>
      <c r="AD37" s="190">
        <v>0</v>
      </c>
      <c r="AE37" s="190">
        <v>22</v>
      </c>
      <c r="AF37" s="190">
        <v>22</v>
      </c>
      <c r="AG37" s="190">
        <v>0</v>
      </c>
      <c r="AH37" s="190">
        <v>4</v>
      </c>
      <c r="AI37" s="190">
        <v>4</v>
      </c>
      <c r="AJ37" s="190">
        <v>0</v>
      </c>
      <c r="AK37" s="190">
        <v>2</v>
      </c>
      <c r="AL37" s="190">
        <v>2</v>
      </c>
      <c r="AM37" s="190">
        <v>1</v>
      </c>
      <c r="AN37" s="190">
        <v>46</v>
      </c>
      <c r="AO37" s="190">
        <v>47</v>
      </c>
      <c r="AP37" s="190">
        <v>80</v>
      </c>
      <c r="AQ37" s="190">
        <v>1016</v>
      </c>
      <c r="AR37" s="190">
        <v>1096</v>
      </c>
      <c r="AS37" s="190">
        <v>80</v>
      </c>
      <c r="AT37" s="190">
        <v>1016</v>
      </c>
      <c r="AU37" s="190">
        <v>1096</v>
      </c>
      <c r="AV37" s="190">
        <v>0</v>
      </c>
      <c r="AW37" s="190">
        <v>0</v>
      </c>
      <c r="AX37" s="190">
        <v>0</v>
      </c>
      <c r="AY37" s="190">
        <v>5</v>
      </c>
      <c r="AZ37" s="190">
        <v>82</v>
      </c>
      <c r="BA37" s="190">
        <v>87</v>
      </c>
      <c r="BB37" s="190">
        <v>1</v>
      </c>
      <c r="BC37" s="190">
        <v>0</v>
      </c>
      <c r="BD37" s="190">
        <v>0</v>
      </c>
      <c r="BE37" s="190">
        <v>48</v>
      </c>
      <c r="BF37" s="190">
        <v>0</v>
      </c>
      <c r="BG37" s="190">
        <v>0</v>
      </c>
      <c r="BH37" s="190">
        <v>1</v>
      </c>
      <c r="BI37" s="190">
        <v>48</v>
      </c>
      <c r="BJ37" s="190">
        <v>49</v>
      </c>
      <c r="BK37" s="190">
        <v>1</v>
      </c>
      <c r="BL37" s="190">
        <v>-1</v>
      </c>
      <c r="BM37" s="190">
        <v>0</v>
      </c>
      <c r="BN37" s="190">
        <v>1</v>
      </c>
      <c r="BO37" s="190">
        <v>2</v>
      </c>
      <c r="BP37" s="190">
        <v>3</v>
      </c>
      <c r="BQ37" s="190">
        <v>0</v>
      </c>
      <c r="BR37" s="190">
        <v>16</v>
      </c>
      <c r="BS37" s="190">
        <v>16</v>
      </c>
      <c r="BT37" s="190">
        <v>2</v>
      </c>
      <c r="BU37" s="190">
        <v>17</v>
      </c>
      <c r="BV37" s="190">
        <v>19</v>
      </c>
      <c r="BW37" s="190">
        <v>85</v>
      </c>
      <c r="BX37" s="190">
        <v>1098</v>
      </c>
      <c r="BY37" s="190">
        <v>1183</v>
      </c>
      <c r="BZ37" s="190">
        <v>85</v>
      </c>
      <c r="CA37" s="190">
        <v>1097</v>
      </c>
      <c r="CB37" s="190">
        <v>1182</v>
      </c>
      <c r="CC37" s="190">
        <v>2110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2</v>
      </c>
      <c r="CO37" s="190">
        <v>70</v>
      </c>
      <c r="CP37" s="190">
        <v>72</v>
      </c>
      <c r="CQ37" s="190">
        <v>0</v>
      </c>
      <c r="CR37" s="190">
        <v>0</v>
      </c>
      <c r="CS37" s="190">
        <v>0</v>
      </c>
      <c r="CT37" s="190">
        <v>83</v>
      </c>
      <c r="CU37" s="190">
        <v>1028</v>
      </c>
      <c r="CV37" s="190">
        <v>1111</v>
      </c>
      <c r="CW37" s="190">
        <v>4</v>
      </c>
      <c r="CX37" s="190">
        <v>40</v>
      </c>
      <c r="CY37" s="190">
        <v>44</v>
      </c>
      <c r="CZ37" s="190">
        <v>4</v>
      </c>
      <c r="DA37" s="190">
        <v>0</v>
      </c>
      <c r="DB37" s="190">
        <v>0</v>
      </c>
      <c r="DC37" s="190">
        <v>40</v>
      </c>
      <c r="DD37" s="190">
        <v>0</v>
      </c>
      <c r="DE37" s="190">
        <v>0</v>
      </c>
      <c r="DF37" s="190">
        <v>4</v>
      </c>
      <c r="DG37" s="190">
        <v>40</v>
      </c>
      <c r="DH37" s="190">
        <v>44</v>
      </c>
      <c r="DI37" s="190">
        <v>0</v>
      </c>
      <c r="DJ37" s="190">
        <v>0</v>
      </c>
      <c r="DK37" s="190">
        <v>0</v>
      </c>
      <c r="DL37" s="190">
        <v>0</v>
      </c>
      <c r="DM37" s="190">
        <v>0</v>
      </c>
      <c r="DN37" s="190">
        <v>0</v>
      </c>
      <c r="DO37" s="190">
        <v>0</v>
      </c>
      <c r="DP37" s="190">
        <v>0</v>
      </c>
      <c r="DQ37" s="190">
        <v>0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8762</v>
      </c>
      <c r="C38" s="190">
        <v>2232</v>
      </c>
      <c r="D38" s="190">
        <v>8587</v>
      </c>
      <c r="E38" s="190">
        <v>5236</v>
      </c>
      <c r="F38" s="190">
        <v>2</v>
      </c>
      <c r="G38" s="190">
        <v>18</v>
      </c>
      <c r="H38" s="190">
        <v>20</v>
      </c>
      <c r="I38" s="190">
        <v>3</v>
      </c>
      <c r="J38" s="190">
        <v>3040</v>
      </c>
      <c r="K38" s="190">
        <v>3043</v>
      </c>
      <c r="L38" s="190">
        <v>3</v>
      </c>
      <c r="M38" s="190">
        <v>1227</v>
      </c>
      <c r="N38" s="190">
        <v>1230</v>
      </c>
      <c r="O38" s="190">
        <v>0</v>
      </c>
      <c r="P38" s="190">
        <v>1813</v>
      </c>
      <c r="Q38" s="190">
        <v>1813</v>
      </c>
      <c r="R38" s="190">
        <v>0</v>
      </c>
      <c r="S38" s="190">
        <v>19</v>
      </c>
      <c r="T38" s="190">
        <v>19</v>
      </c>
      <c r="U38" s="190">
        <v>0</v>
      </c>
      <c r="V38" s="190">
        <v>308</v>
      </c>
      <c r="W38" s="190">
        <v>308</v>
      </c>
      <c r="X38" s="190">
        <v>233</v>
      </c>
      <c r="Y38" s="190">
        <v>8354</v>
      </c>
      <c r="Z38" s="190">
        <v>8587</v>
      </c>
      <c r="AA38" s="190">
        <v>166</v>
      </c>
      <c r="AB38" s="190">
        <v>3603</v>
      </c>
      <c r="AC38" s="190">
        <v>3769</v>
      </c>
      <c r="AD38" s="190">
        <v>161</v>
      </c>
      <c r="AE38" s="190">
        <v>3441</v>
      </c>
      <c r="AF38" s="190">
        <v>3602</v>
      </c>
      <c r="AG38" s="190">
        <v>1</v>
      </c>
      <c r="AH38" s="190">
        <v>95</v>
      </c>
      <c r="AI38" s="190">
        <v>96</v>
      </c>
      <c r="AJ38" s="190">
        <v>4</v>
      </c>
      <c r="AK38" s="190">
        <v>67</v>
      </c>
      <c r="AL38" s="190">
        <v>71</v>
      </c>
      <c r="AM38" s="190">
        <v>67</v>
      </c>
      <c r="AN38" s="190">
        <v>4751</v>
      </c>
      <c r="AO38" s="190">
        <v>4818</v>
      </c>
      <c r="AP38" s="190">
        <v>14124</v>
      </c>
      <c r="AQ38" s="190">
        <v>100684</v>
      </c>
      <c r="AR38" s="190">
        <v>114808</v>
      </c>
      <c r="AS38" s="190">
        <v>14124</v>
      </c>
      <c r="AT38" s="190">
        <v>100684</v>
      </c>
      <c r="AU38" s="190">
        <v>114808</v>
      </c>
      <c r="AV38" s="190">
        <v>0</v>
      </c>
      <c r="AW38" s="190">
        <v>0</v>
      </c>
      <c r="AX38" s="190">
        <v>0</v>
      </c>
      <c r="AY38" s="190">
        <v>443</v>
      </c>
      <c r="AZ38" s="190">
        <v>8539</v>
      </c>
      <c r="BA38" s="190">
        <v>8982</v>
      </c>
      <c r="BB38" s="190">
        <v>248</v>
      </c>
      <c r="BC38" s="190">
        <v>7</v>
      </c>
      <c r="BD38" s="190">
        <v>0</v>
      </c>
      <c r="BE38" s="190">
        <v>4953</v>
      </c>
      <c r="BF38" s="190">
        <v>24</v>
      </c>
      <c r="BG38" s="190">
        <v>4</v>
      </c>
      <c r="BH38" s="190">
        <v>255</v>
      </c>
      <c r="BI38" s="190">
        <v>4981</v>
      </c>
      <c r="BJ38" s="190">
        <v>5236</v>
      </c>
      <c r="BK38" s="190">
        <v>-198</v>
      </c>
      <c r="BL38" s="190">
        <v>198</v>
      </c>
      <c r="BM38" s="190">
        <v>0</v>
      </c>
      <c r="BN38" s="190">
        <v>27</v>
      </c>
      <c r="BO38" s="190">
        <v>243</v>
      </c>
      <c r="BP38" s="190">
        <v>270</v>
      </c>
      <c r="BQ38" s="190">
        <v>97</v>
      </c>
      <c r="BR38" s="190">
        <v>1454</v>
      </c>
      <c r="BS38" s="190">
        <v>1551</v>
      </c>
      <c r="BT38" s="190">
        <v>262</v>
      </c>
      <c r="BU38" s="190">
        <v>1663</v>
      </c>
      <c r="BV38" s="190">
        <v>1925</v>
      </c>
      <c r="BW38" s="190">
        <v>14567</v>
      </c>
      <c r="BX38" s="190">
        <v>109223</v>
      </c>
      <c r="BY38" s="190">
        <v>123790</v>
      </c>
      <c r="BZ38" s="190">
        <v>14462</v>
      </c>
      <c r="CA38" s="190">
        <v>108283</v>
      </c>
      <c r="CB38" s="190">
        <v>122745</v>
      </c>
      <c r="CC38" s="190">
        <v>271780</v>
      </c>
      <c r="CD38" s="190">
        <v>108</v>
      </c>
      <c r="CE38" s="190">
        <v>886</v>
      </c>
      <c r="CF38" s="190">
        <v>97</v>
      </c>
      <c r="CG38" s="190">
        <v>769</v>
      </c>
      <c r="CH38" s="190">
        <v>866</v>
      </c>
      <c r="CI38" s="190">
        <v>204</v>
      </c>
      <c r="CJ38" s="190">
        <v>30</v>
      </c>
      <c r="CK38" s="190">
        <v>8</v>
      </c>
      <c r="CL38" s="190">
        <v>171</v>
      </c>
      <c r="CM38" s="190">
        <v>179</v>
      </c>
      <c r="CN38" s="190">
        <v>762</v>
      </c>
      <c r="CO38" s="190">
        <v>9486</v>
      </c>
      <c r="CP38" s="190">
        <v>10248</v>
      </c>
      <c r="CQ38" s="190">
        <v>0</v>
      </c>
      <c r="CR38" s="190">
        <v>103</v>
      </c>
      <c r="CS38" s="190">
        <v>103</v>
      </c>
      <c r="CT38" s="190">
        <v>13805</v>
      </c>
      <c r="CU38" s="190">
        <v>99737</v>
      </c>
      <c r="CV38" s="190">
        <v>113542</v>
      </c>
      <c r="CW38" s="190">
        <v>927</v>
      </c>
      <c r="CX38" s="190">
        <v>4304</v>
      </c>
      <c r="CY38" s="190">
        <v>5231</v>
      </c>
      <c r="CZ38" s="190">
        <v>921</v>
      </c>
      <c r="DA38" s="190">
        <v>4</v>
      </c>
      <c r="DB38" s="190">
        <v>0</v>
      </c>
      <c r="DC38" s="190">
        <v>4232</v>
      </c>
      <c r="DD38" s="190">
        <v>28</v>
      </c>
      <c r="DE38" s="190">
        <v>1</v>
      </c>
      <c r="DF38" s="190">
        <v>925</v>
      </c>
      <c r="DG38" s="190">
        <v>4261</v>
      </c>
      <c r="DH38" s="190">
        <v>5186</v>
      </c>
      <c r="DI38" s="190">
        <v>2</v>
      </c>
      <c r="DJ38" s="190">
        <v>0</v>
      </c>
      <c r="DK38" s="190">
        <v>0</v>
      </c>
      <c r="DL38" s="190">
        <v>43</v>
      </c>
      <c r="DM38" s="190">
        <v>0</v>
      </c>
      <c r="DN38" s="190">
        <v>0</v>
      </c>
      <c r="DO38" s="190">
        <v>2</v>
      </c>
      <c r="DP38" s="190">
        <v>43</v>
      </c>
      <c r="DQ38" s="190">
        <v>45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7298</v>
      </c>
      <c r="C39" s="190">
        <v>2010</v>
      </c>
      <c r="D39" s="190">
        <v>5851</v>
      </c>
      <c r="E39" s="190">
        <v>3661</v>
      </c>
      <c r="F39" s="190">
        <v>3</v>
      </c>
      <c r="G39" s="190">
        <v>23</v>
      </c>
      <c r="H39" s="190">
        <v>26</v>
      </c>
      <c r="I39" s="190">
        <v>2</v>
      </c>
      <c r="J39" s="190">
        <v>2005</v>
      </c>
      <c r="K39" s="190">
        <v>2007</v>
      </c>
      <c r="L39" s="190">
        <v>1</v>
      </c>
      <c r="M39" s="190">
        <v>626</v>
      </c>
      <c r="N39" s="190">
        <v>627</v>
      </c>
      <c r="O39" s="190">
        <v>1</v>
      </c>
      <c r="P39" s="190">
        <v>1379</v>
      </c>
      <c r="Q39" s="190">
        <v>1380</v>
      </c>
      <c r="R39" s="190">
        <v>0</v>
      </c>
      <c r="S39" s="190">
        <v>51</v>
      </c>
      <c r="T39" s="190">
        <v>51</v>
      </c>
      <c r="U39" s="190">
        <v>0</v>
      </c>
      <c r="V39" s="190">
        <v>183</v>
      </c>
      <c r="W39" s="190">
        <v>183</v>
      </c>
      <c r="X39" s="190">
        <v>245</v>
      </c>
      <c r="Y39" s="190">
        <v>5606</v>
      </c>
      <c r="Z39" s="190">
        <v>5851</v>
      </c>
      <c r="AA39" s="190">
        <v>116</v>
      </c>
      <c r="AB39" s="190">
        <v>1715</v>
      </c>
      <c r="AC39" s="190">
        <v>1831</v>
      </c>
      <c r="AD39" s="190">
        <v>115</v>
      </c>
      <c r="AE39" s="190">
        <v>1709</v>
      </c>
      <c r="AF39" s="190">
        <v>1824</v>
      </c>
      <c r="AG39" s="190">
        <v>1</v>
      </c>
      <c r="AH39" s="190">
        <v>5</v>
      </c>
      <c r="AI39" s="190">
        <v>6</v>
      </c>
      <c r="AJ39" s="190">
        <v>0</v>
      </c>
      <c r="AK39" s="190">
        <v>1</v>
      </c>
      <c r="AL39" s="190">
        <v>1</v>
      </c>
      <c r="AM39" s="190">
        <v>129</v>
      </c>
      <c r="AN39" s="190">
        <v>3891</v>
      </c>
      <c r="AO39" s="190">
        <v>4020</v>
      </c>
      <c r="AP39" s="190">
        <v>13428</v>
      </c>
      <c r="AQ39" s="190">
        <v>78011</v>
      </c>
      <c r="AR39" s="190">
        <v>91439</v>
      </c>
      <c r="AS39" s="190">
        <v>13331</v>
      </c>
      <c r="AT39" s="190">
        <v>77560</v>
      </c>
      <c r="AU39" s="190">
        <v>90891</v>
      </c>
      <c r="AV39" s="190">
        <v>97</v>
      </c>
      <c r="AW39" s="190">
        <v>451</v>
      </c>
      <c r="AX39" s="190">
        <v>548</v>
      </c>
      <c r="AY39" s="190">
        <v>641</v>
      </c>
      <c r="AZ39" s="190">
        <v>7346</v>
      </c>
      <c r="BA39" s="190">
        <v>7987</v>
      </c>
      <c r="BB39" s="190">
        <v>368</v>
      </c>
      <c r="BC39" s="190">
        <v>19</v>
      </c>
      <c r="BD39" s="190">
        <v>0</v>
      </c>
      <c r="BE39" s="190">
        <v>3217</v>
      </c>
      <c r="BF39" s="190">
        <v>33</v>
      </c>
      <c r="BG39" s="190">
        <v>24</v>
      </c>
      <c r="BH39" s="190">
        <v>387</v>
      </c>
      <c r="BI39" s="190">
        <v>3274</v>
      </c>
      <c r="BJ39" s="190">
        <v>3661</v>
      </c>
      <c r="BK39" s="190">
        <v>-327</v>
      </c>
      <c r="BL39" s="190">
        <v>327</v>
      </c>
      <c r="BM39" s="190">
        <v>0</v>
      </c>
      <c r="BN39" s="190">
        <v>22</v>
      </c>
      <c r="BO39" s="190">
        <v>103</v>
      </c>
      <c r="BP39" s="190">
        <v>125</v>
      </c>
      <c r="BQ39" s="190">
        <v>53</v>
      </c>
      <c r="BR39" s="190">
        <v>668</v>
      </c>
      <c r="BS39" s="190">
        <v>721</v>
      </c>
      <c r="BT39" s="190">
        <v>506</v>
      </c>
      <c r="BU39" s="190">
        <v>2974</v>
      </c>
      <c r="BV39" s="190">
        <v>3480</v>
      </c>
      <c r="BW39" s="190">
        <v>14069</v>
      </c>
      <c r="BX39" s="190">
        <v>85357</v>
      </c>
      <c r="BY39" s="190">
        <v>99426</v>
      </c>
      <c r="BZ39" s="190">
        <v>13483</v>
      </c>
      <c r="CA39" s="190">
        <v>83239</v>
      </c>
      <c r="CB39" s="190">
        <v>96722</v>
      </c>
      <c r="CC39" s="190">
        <v>208081</v>
      </c>
      <c r="CD39" s="190">
        <v>126</v>
      </c>
      <c r="CE39" s="190">
        <v>2675</v>
      </c>
      <c r="CF39" s="190">
        <v>577</v>
      </c>
      <c r="CG39" s="190">
        <v>1536</v>
      </c>
      <c r="CH39" s="190">
        <v>2113</v>
      </c>
      <c r="CI39" s="190">
        <v>782</v>
      </c>
      <c r="CJ39" s="190">
        <v>19</v>
      </c>
      <c r="CK39" s="190">
        <v>9</v>
      </c>
      <c r="CL39" s="190">
        <v>582</v>
      </c>
      <c r="CM39" s="190">
        <v>591</v>
      </c>
      <c r="CN39" s="190">
        <v>896</v>
      </c>
      <c r="CO39" s="190">
        <v>8391</v>
      </c>
      <c r="CP39" s="190">
        <v>9287</v>
      </c>
      <c r="CQ39" s="190">
        <v>0</v>
      </c>
      <c r="CR39" s="190">
        <v>0</v>
      </c>
      <c r="CS39" s="190">
        <v>0</v>
      </c>
      <c r="CT39" s="190">
        <v>13173</v>
      </c>
      <c r="CU39" s="190">
        <v>76966</v>
      </c>
      <c r="CV39" s="190">
        <v>90139</v>
      </c>
      <c r="CW39" s="190">
        <v>957</v>
      </c>
      <c r="CX39" s="190">
        <v>4215</v>
      </c>
      <c r="CY39" s="190">
        <v>5172</v>
      </c>
      <c r="CZ39" s="190">
        <v>885</v>
      </c>
      <c r="DA39" s="190">
        <v>43</v>
      </c>
      <c r="DB39" s="190">
        <v>0</v>
      </c>
      <c r="DC39" s="190">
        <v>3834</v>
      </c>
      <c r="DD39" s="190">
        <v>74</v>
      </c>
      <c r="DE39" s="190">
        <v>16</v>
      </c>
      <c r="DF39" s="190">
        <v>928</v>
      </c>
      <c r="DG39" s="190">
        <v>3924</v>
      </c>
      <c r="DH39" s="190">
        <v>4852</v>
      </c>
      <c r="DI39" s="190">
        <v>27</v>
      </c>
      <c r="DJ39" s="190">
        <v>2</v>
      </c>
      <c r="DK39" s="190">
        <v>0</v>
      </c>
      <c r="DL39" s="190">
        <v>280</v>
      </c>
      <c r="DM39" s="190">
        <v>11</v>
      </c>
      <c r="DN39" s="190">
        <v>0</v>
      </c>
      <c r="DO39" s="190">
        <v>29</v>
      </c>
      <c r="DP39" s="190">
        <v>291</v>
      </c>
      <c r="DQ39" s="190">
        <v>320</v>
      </c>
      <c r="DR39" s="190">
        <v>0</v>
      </c>
      <c r="DS39" s="190">
        <v>1</v>
      </c>
      <c r="DT39" s="191">
        <v>1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157</v>
      </c>
      <c r="C40" s="190">
        <v>31</v>
      </c>
      <c r="D40" s="190">
        <v>154</v>
      </c>
      <c r="E40" s="190">
        <v>96</v>
      </c>
      <c r="F40" s="190">
        <v>0</v>
      </c>
      <c r="G40" s="190">
        <v>1</v>
      </c>
      <c r="H40" s="190">
        <v>1</v>
      </c>
      <c r="I40" s="190">
        <v>0</v>
      </c>
      <c r="J40" s="190">
        <v>44</v>
      </c>
      <c r="K40" s="190">
        <v>44</v>
      </c>
      <c r="L40" s="190">
        <v>0</v>
      </c>
      <c r="M40" s="190">
        <v>18</v>
      </c>
      <c r="N40" s="190">
        <v>18</v>
      </c>
      <c r="O40" s="190">
        <v>0</v>
      </c>
      <c r="P40" s="190">
        <v>26</v>
      </c>
      <c r="Q40" s="190">
        <v>26</v>
      </c>
      <c r="R40" s="190">
        <v>0</v>
      </c>
      <c r="S40" s="190">
        <v>3</v>
      </c>
      <c r="T40" s="190">
        <v>3</v>
      </c>
      <c r="U40" s="190">
        <v>0</v>
      </c>
      <c r="V40" s="190">
        <v>14</v>
      </c>
      <c r="W40" s="190">
        <v>14</v>
      </c>
      <c r="X40" s="190">
        <v>2</v>
      </c>
      <c r="Y40" s="190">
        <v>152</v>
      </c>
      <c r="Z40" s="190">
        <v>154</v>
      </c>
      <c r="AA40" s="190">
        <v>2</v>
      </c>
      <c r="AB40" s="190">
        <v>70</v>
      </c>
      <c r="AC40" s="190">
        <v>72</v>
      </c>
      <c r="AD40" s="190">
        <v>2</v>
      </c>
      <c r="AE40" s="190">
        <v>66</v>
      </c>
      <c r="AF40" s="190">
        <v>68</v>
      </c>
      <c r="AG40" s="190">
        <v>0</v>
      </c>
      <c r="AH40" s="190">
        <v>3</v>
      </c>
      <c r="AI40" s="190">
        <v>3</v>
      </c>
      <c r="AJ40" s="190">
        <v>0</v>
      </c>
      <c r="AK40" s="190">
        <v>1</v>
      </c>
      <c r="AL40" s="190">
        <v>1</v>
      </c>
      <c r="AM40" s="190">
        <v>0</v>
      </c>
      <c r="AN40" s="190">
        <v>82</v>
      </c>
      <c r="AO40" s="190">
        <v>82</v>
      </c>
      <c r="AP40" s="190">
        <v>253</v>
      </c>
      <c r="AQ40" s="190">
        <v>1951</v>
      </c>
      <c r="AR40" s="190">
        <v>2204</v>
      </c>
      <c r="AS40" s="190">
        <v>254</v>
      </c>
      <c r="AT40" s="190">
        <v>1951</v>
      </c>
      <c r="AU40" s="190">
        <v>2205</v>
      </c>
      <c r="AV40" s="190">
        <v>-1</v>
      </c>
      <c r="AW40" s="190">
        <v>0</v>
      </c>
      <c r="AX40" s="190">
        <v>-1</v>
      </c>
      <c r="AY40" s="190">
        <v>14</v>
      </c>
      <c r="AZ40" s="190">
        <v>163</v>
      </c>
      <c r="BA40" s="190">
        <v>177</v>
      </c>
      <c r="BB40" s="190">
        <v>3</v>
      </c>
      <c r="BC40" s="190">
        <v>0</v>
      </c>
      <c r="BD40" s="190">
        <v>0</v>
      </c>
      <c r="BE40" s="190">
        <v>91</v>
      </c>
      <c r="BF40" s="190">
        <v>1</v>
      </c>
      <c r="BG40" s="190">
        <v>1</v>
      </c>
      <c r="BH40" s="190">
        <v>3</v>
      </c>
      <c r="BI40" s="190">
        <v>93</v>
      </c>
      <c r="BJ40" s="190">
        <v>96</v>
      </c>
      <c r="BK40" s="190">
        <v>1</v>
      </c>
      <c r="BL40" s="190">
        <v>-1</v>
      </c>
      <c r="BM40" s="190">
        <v>0</v>
      </c>
      <c r="BN40" s="190">
        <v>2</v>
      </c>
      <c r="BO40" s="190">
        <v>18</v>
      </c>
      <c r="BP40" s="190">
        <v>20</v>
      </c>
      <c r="BQ40" s="190">
        <v>0</v>
      </c>
      <c r="BR40" s="190">
        <v>7</v>
      </c>
      <c r="BS40" s="190">
        <v>7</v>
      </c>
      <c r="BT40" s="190">
        <v>8</v>
      </c>
      <c r="BU40" s="190">
        <v>46</v>
      </c>
      <c r="BV40" s="190">
        <v>54</v>
      </c>
      <c r="BW40" s="190">
        <v>267</v>
      </c>
      <c r="BX40" s="190">
        <v>2114</v>
      </c>
      <c r="BY40" s="190">
        <v>2381</v>
      </c>
      <c r="BZ40" s="190">
        <v>266</v>
      </c>
      <c r="CA40" s="190">
        <v>2094</v>
      </c>
      <c r="CB40" s="190">
        <v>2360</v>
      </c>
      <c r="CC40" s="190">
        <v>5265</v>
      </c>
      <c r="CD40" s="190">
        <v>3</v>
      </c>
      <c r="CE40" s="190">
        <v>18</v>
      </c>
      <c r="CF40" s="190">
        <v>1</v>
      </c>
      <c r="CG40" s="190">
        <v>18</v>
      </c>
      <c r="CH40" s="190">
        <v>19</v>
      </c>
      <c r="CI40" s="190">
        <v>2</v>
      </c>
      <c r="CJ40" s="190">
        <v>0</v>
      </c>
      <c r="CK40" s="190">
        <v>0</v>
      </c>
      <c r="CL40" s="190">
        <v>2</v>
      </c>
      <c r="CM40" s="190">
        <v>2</v>
      </c>
      <c r="CN40" s="190">
        <v>16</v>
      </c>
      <c r="CO40" s="190">
        <v>217</v>
      </c>
      <c r="CP40" s="190">
        <v>233</v>
      </c>
      <c r="CQ40" s="190">
        <v>0</v>
      </c>
      <c r="CR40" s="190">
        <v>1</v>
      </c>
      <c r="CS40" s="190">
        <v>1</v>
      </c>
      <c r="CT40" s="190">
        <v>251</v>
      </c>
      <c r="CU40" s="190">
        <v>1897</v>
      </c>
      <c r="CV40" s="190">
        <v>2148</v>
      </c>
      <c r="CW40" s="190">
        <v>17</v>
      </c>
      <c r="CX40" s="190">
        <v>84</v>
      </c>
      <c r="CY40" s="190">
        <v>101</v>
      </c>
      <c r="CZ40" s="190">
        <v>17</v>
      </c>
      <c r="DA40" s="190">
        <v>0</v>
      </c>
      <c r="DB40" s="190">
        <v>0</v>
      </c>
      <c r="DC40" s="190">
        <v>76</v>
      </c>
      <c r="DD40" s="190">
        <v>0</v>
      </c>
      <c r="DE40" s="190">
        <v>0</v>
      </c>
      <c r="DF40" s="190">
        <v>17</v>
      </c>
      <c r="DG40" s="190">
        <v>76</v>
      </c>
      <c r="DH40" s="190">
        <v>93</v>
      </c>
      <c r="DI40" s="190">
        <v>0</v>
      </c>
      <c r="DJ40" s="190">
        <v>0</v>
      </c>
      <c r="DK40" s="190">
        <v>0</v>
      </c>
      <c r="DL40" s="190">
        <v>8</v>
      </c>
      <c r="DM40" s="190">
        <v>0</v>
      </c>
      <c r="DN40" s="190">
        <v>0</v>
      </c>
      <c r="DO40" s="190">
        <v>0</v>
      </c>
      <c r="DP40" s="190">
        <v>8</v>
      </c>
      <c r="DQ40" s="190">
        <v>8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11014</v>
      </c>
      <c r="C41" s="190">
        <v>2928</v>
      </c>
      <c r="D41" s="190">
        <v>10747</v>
      </c>
      <c r="E41" s="190">
        <v>7800</v>
      </c>
      <c r="F41" s="190">
        <v>6</v>
      </c>
      <c r="G41" s="190">
        <v>36</v>
      </c>
      <c r="H41" s="190">
        <v>42</v>
      </c>
      <c r="I41" s="190">
        <v>2</v>
      </c>
      <c r="J41" s="190">
        <v>2692</v>
      </c>
      <c r="K41" s="190">
        <v>2694</v>
      </c>
      <c r="L41" s="190">
        <v>2</v>
      </c>
      <c r="M41" s="190">
        <v>1183</v>
      </c>
      <c r="N41" s="190">
        <v>1185</v>
      </c>
      <c r="O41" s="190">
        <v>0</v>
      </c>
      <c r="P41" s="190">
        <v>1509</v>
      </c>
      <c r="Q41" s="190">
        <v>1509</v>
      </c>
      <c r="R41" s="190">
        <v>0</v>
      </c>
      <c r="S41" s="190">
        <v>24</v>
      </c>
      <c r="T41" s="190">
        <v>24</v>
      </c>
      <c r="U41" s="190">
        <v>0</v>
      </c>
      <c r="V41" s="190">
        <v>253</v>
      </c>
      <c r="W41" s="190">
        <v>253</v>
      </c>
      <c r="X41" s="190">
        <v>334</v>
      </c>
      <c r="Y41" s="190">
        <v>10412</v>
      </c>
      <c r="Z41" s="190">
        <v>10746</v>
      </c>
      <c r="AA41" s="190">
        <v>250</v>
      </c>
      <c r="AB41" s="190">
        <v>5177</v>
      </c>
      <c r="AC41" s="190">
        <v>5427</v>
      </c>
      <c r="AD41" s="190">
        <v>230</v>
      </c>
      <c r="AE41" s="190">
        <v>4961</v>
      </c>
      <c r="AF41" s="190">
        <v>5191</v>
      </c>
      <c r="AG41" s="190">
        <v>11</v>
      </c>
      <c r="AH41" s="190">
        <v>123</v>
      </c>
      <c r="AI41" s="190">
        <v>134</v>
      </c>
      <c r="AJ41" s="190">
        <v>9</v>
      </c>
      <c r="AK41" s="190">
        <v>93</v>
      </c>
      <c r="AL41" s="190">
        <v>102</v>
      </c>
      <c r="AM41" s="190">
        <v>84</v>
      </c>
      <c r="AN41" s="190">
        <v>5235</v>
      </c>
      <c r="AO41" s="190">
        <v>5319</v>
      </c>
      <c r="AP41" s="190">
        <v>22481</v>
      </c>
      <c r="AQ41" s="190">
        <v>134326</v>
      </c>
      <c r="AR41" s="190">
        <v>156807</v>
      </c>
      <c r="AS41" s="190">
        <v>22482</v>
      </c>
      <c r="AT41" s="190">
        <v>134328</v>
      </c>
      <c r="AU41" s="190">
        <v>156810</v>
      </c>
      <c r="AV41" s="190">
        <v>-1</v>
      </c>
      <c r="AW41" s="190">
        <v>-2</v>
      </c>
      <c r="AX41" s="190">
        <v>-3</v>
      </c>
      <c r="AY41" s="190">
        <v>1004</v>
      </c>
      <c r="AZ41" s="190">
        <v>11478</v>
      </c>
      <c r="BA41" s="190">
        <v>12482</v>
      </c>
      <c r="BB41" s="190">
        <v>382</v>
      </c>
      <c r="BC41" s="190">
        <v>4</v>
      </c>
      <c r="BD41" s="190">
        <v>0</v>
      </c>
      <c r="BE41" s="190">
        <v>7358</v>
      </c>
      <c r="BF41" s="190">
        <v>46</v>
      </c>
      <c r="BG41" s="190">
        <v>10</v>
      </c>
      <c r="BH41" s="190">
        <v>386</v>
      </c>
      <c r="BI41" s="190">
        <v>7414</v>
      </c>
      <c r="BJ41" s="190">
        <v>7800</v>
      </c>
      <c r="BK41" s="190">
        <v>-89</v>
      </c>
      <c r="BL41" s="190">
        <v>89</v>
      </c>
      <c r="BM41" s="190">
        <v>0</v>
      </c>
      <c r="BN41" s="190">
        <v>68</v>
      </c>
      <c r="BO41" s="190">
        <v>244</v>
      </c>
      <c r="BP41" s="190">
        <v>312</v>
      </c>
      <c r="BQ41" s="190">
        <v>91</v>
      </c>
      <c r="BR41" s="190">
        <v>1121</v>
      </c>
      <c r="BS41" s="190">
        <v>1212</v>
      </c>
      <c r="BT41" s="190">
        <v>548</v>
      </c>
      <c r="BU41" s="190">
        <v>2610</v>
      </c>
      <c r="BV41" s="190">
        <v>3158</v>
      </c>
      <c r="BW41" s="190">
        <v>23485</v>
      </c>
      <c r="BX41" s="190">
        <v>145804</v>
      </c>
      <c r="BY41" s="190">
        <v>169289</v>
      </c>
      <c r="BZ41" s="190">
        <v>23333</v>
      </c>
      <c r="CA41" s="190">
        <v>144574</v>
      </c>
      <c r="CB41" s="190">
        <v>167907</v>
      </c>
      <c r="CC41" s="190">
        <v>366529</v>
      </c>
      <c r="CD41" s="190">
        <v>116</v>
      </c>
      <c r="CE41" s="190">
        <v>1122</v>
      </c>
      <c r="CF41" s="190">
        <v>143</v>
      </c>
      <c r="CG41" s="190">
        <v>907</v>
      </c>
      <c r="CH41" s="190">
        <v>1050</v>
      </c>
      <c r="CI41" s="190">
        <v>389</v>
      </c>
      <c r="CJ41" s="190">
        <v>65</v>
      </c>
      <c r="CK41" s="190">
        <v>9</v>
      </c>
      <c r="CL41" s="190">
        <v>323</v>
      </c>
      <c r="CM41" s="190">
        <v>332</v>
      </c>
      <c r="CN41" s="190">
        <v>1490</v>
      </c>
      <c r="CO41" s="190">
        <v>12715</v>
      </c>
      <c r="CP41" s="190">
        <v>14205</v>
      </c>
      <c r="CQ41" s="190">
        <v>0</v>
      </c>
      <c r="CR41" s="190">
        <v>28</v>
      </c>
      <c r="CS41" s="190">
        <v>28</v>
      </c>
      <c r="CT41" s="190">
        <v>21995</v>
      </c>
      <c r="CU41" s="190">
        <v>133089</v>
      </c>
      <c r="CV41" s="190">
        <v>155084</v>
      </c>
      <c r="CW41" s="190">
        <v>1384</v>
      </c>
      <c r="CX41" s="190">
        <v>5761</v>
      </c>
      <c r="CY41" s="190">
        <v>7145</v>
      </c>
      <c r="CZ41" s="190">
        <v>1374</v>
      </c>
      <c r="DA41" s="190">
        <v>7</v>
      </c>
      <c r="DB41" s="190">
        <v>1</v>
      </c>
      <c r="DC41" s="190">
        <v>5669</v>
      </c>
      <c r="DD41" s="190">
        <v>30</v>
      </c>
      <c r="DE41" s="190">
        <v>6</v>
      </c>
      <c r="DF41" s="190">
        <v>1382</v>
      </c>
      <c r="DG41" s="190">
        <v>5705</v>
      </c>
      <c r="DH41" s="190">
        <v>7087</v>
      </c>
      <c r="DI41" s="190">
        <v>2</v>
      </c>
      <c r="DJ41" s="190">
        <v>0</v>
      </c>
      <c r="DK41" s="190">
        <v>0</v>
      </c>
      <c r="DL41" s="190">
        <v>55</v>
      </c>
      <c r="DM41" s="190">
        <v>1</v>
      </c>
      <c r="DN41" s="190">
        <v>0</v>
      </c>
      <c r="DO41" s="190">
        <v>2</v>
      </c>
      <c r="DP41" s="190">
        <v>56</v>
      </c>
      <c r="DQ41" s="190">
        <v>58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9753</v>
      </c>
      <c r="C42" s="190">
        <v>3281</v>
      </c>
      <c r="D42" s="190">
        <v>9562</v>
      </c>
      <c r="E42" s="190">
        <v>5362</v>
      </c>
      <c r="F42" s="190">
        <v>5</v>
      </c>
      <c r="G42" s="190">
        <v>96</v>
      </c>
      <c r="H42" s="190">
        <v>101</v>
      </c>
      <c r="I42" s="190">
        <v>9</v>
      </c>
      <c r="J42" s="190">
        <v>3765</v>
      </c>
      <c r="K42" s="190">
        <v>3774</v>
      </c>
      <c r="L42" s="190">
        <v>9</v>
      </c>
      <c r="M42" s="190">
        <v>3758</v>
      </c>
      <c r="N42" s="190">
        <v>3767</v>
      </c>
      <c r="O42" s="190">
        <v>0</v>
      </c>
      <c r="P42" s="190">
        <v>7</v>
      </c>
      <c r="Q42" s="190">
        <v>7</v>
      </c>
      <c r="R42" s="190">
        <v>2</v>
      </c>
      <c r="S42" s="190">
        <v>380</v>
      </c>
      <c r="T42" s="190">
        <v>382</v>
      </c>
      <c r="U42" s="190">
        <v>0</v>
      </c>
      <c r="V42" s="190">
        <v>426</v>
      </c>
      <c r="W42" s="190">
        <v>426</v>
      </c>
      <c r="X42" s="190">
        <v>154</v>
      </c>
      <c r="Y42" s="190">
        <v>5917</v>
      </c>
      <c r="Z42" s="190">
        <v>6071</v>
      </c>
      <c r="AA42" s="190">
        <v>76</v>
      </c>
      <c r="AB42" s="190">
        <v>2220</v>
      </c>
      <c r="AC42" s="190">
        <v>2296</v>
      </c>
      <c r="AD42" s="190">
        <v>74</v>
      </c>
      <c r="AE42" s="190">
        <v>2153</v>
      </c>
      <c r="AF42" s="190">
        <v>2227</v>
      </c>
      <c r="AG42" s="190">
        <v>2</v>
      </c>
      <c r="AH42" s="190">
        <v>47</v>
      </c>
      <c r="AI42" s="190">
        <v>49</v>
      </c>
      <c r="AJ42" s="190">
        <v>0</v>
      </c>
      <c r="AK42" s="190">
        <v>20</v>
      </c>
      <c r="AL42" s="190">
        <v>20</v>
      </c>
      <c r="AM42" s="190">
        <v>78</v>
      </c>
      <c r="AN42" s="190">
        <v>3697</v>
      </c>
      <c r="AO42" s="190">
        <v>3775</v>
      </c>
      <c r="AP42" s="190">
        <v>11722</v>
      </c>
      <c r="AQ42" s="190">
        <v>112178</v>
      </c>
      <c r="AR42" s="190">
        <v>123900</v>
      </c>
      <c r="AS42" s="190">
        <v>11652</v>
      </c>
      <c r="AT42" s="190">
        <v>111460</v>
      </c>
      <c r="AU42" s="190">
        <v>123112</v>
      </c>
      <c r="AV42" s="190">
        <v>70</v>
      </c>
      <c r="AW42" s="190">
        <v>718</v>
      </c>
      <c r="AX42" s="190">
        <v>788</v>
      </c>
      <c r="AY42" s="190">
        <v>611</v>
      </c>
      <c r="AZ42" s="190">
        <v>9560</v>
      </c>
      <c r="BA42" s="190">
        <v>10171</v>
      </c>
      <c r="BB42" s="190">
        <v>238</v>
      </c>
      <c r="BC42" s="190">
        <v>6</v>
      </c>
      <c r="BD42" s="190">
        <v>0</v>
      </c>
      <c r="BE42" s="190">
        <v>5018</v>
      </c>
      <c r="BF42" s="190">
        <v>62</v>
      </c>
      <c r="BG42" s="190">
        <v>38</v>
      </c>
      <c r="BH42" s="190">
        <v>244</v>
      </c>
      <c r="BI42" s="190">
        <v>5118</v>
      </c>
      <c r="BJ42" s="190">
        <v>5362</v>
      </c>
      <c r="BK42" s="190">
        <v>-147</v>
      </c>
      <c r="BL42" s="190">
        <v>147</v>
      </c>
      <c r="BM42" s="190">
        <v>0</v>
      </c>
      <c r="BN42" s="190">
        <v>17</v>
      </c>
      <c r="BO42" s="190">
        <v>128</v>
      </c>
      <c r="BP42" s="190">
        <v>145</v>
      </c>
      <c r="BQ42" s="190">
        <v>14</v>
      </c>
      <c r="BR42" s="190">
        <v>342</v>
      </c>
      <c r="BS42" s="190">
        <v>356</v>
      </c>
      <c r="BT42" s="190">
        <v>483</v>
      </c>
      <c r="BU42" s="190">
        <v>3825</v>
      </c>
      <c r="BV42" s="190">
        <v>4308</v>
      </c>
      <c r="BW42" s="190">
        <v>12333</v>
      </c>
      <c r="BX42" s="190">
        <v>121738</v>
      </c>
      <c r="BY42" s="190">
        <v>134071</v>
      </c>
      <c r="BZ42" s="190">
        <v>12016</v>
      </c>
      <c r="CA42" s="190">
        <v>119311</v>
      </c>
      <c r="CB42" s="190">
        <v>131327</v>
      </c>
      <c r="CC42" s="190">
        <v>269824</v>
      </c>
      <c r="CD42" s="190">
        <v>241</v>
      </c>
      <c r="CE42" s="190">
        <v>2443</v>
      </c>
      <c r="CF42" s="190">
        <v>307</v>
      </c>
      <c r="CG42" s="190">
        <v>1675</v>
      </c>
      <c r="CH42" s="190">
        <v>1982</v>
      </c>
      <c r="CI42" s="190">
        <v>935</v>
      </c>
      <c r="CJ42" s="190">
        <v>39</v>
      </c>
      <c r="CK42" s="190">
        <v>10</v>
      </c>
      <c r="CL42" s="190">
        <v>752</v>
      </c>
      <c r="CM42" s="190">
        <v>762</v>
      </c>
      <c r="CN42" s="190">
        <v>833</v>
      </c>
      <c r="CO42" s="190">
        <v>10943</v>
      </c>
      <c r="CP42" s="190">
        <v>11776</v>
      </c>
      <c r="CQ42" s="190">
        <v>0</v>
      </c>
      <c r="CR42" s="190">
        <v>7</v>
      </c>
      <c r="CS42" s="190">
        <v>7</v>
      </c>
      <c r="CT42" s="190">
        <v>11500</v>
      </c>
      <c r="CU42" s="190">
        <v>110795</v>
      </c>
      <c r="CV42" s="190">
        <v>122295</v>
      </c>
      <c r="CW42" s="190">
        <v>877</v>
      </c>
      <c r="CX42" s="190">
        <v>5530</v>
      </c>
      <c r="CY42" s="190">
        <v>6407</v>
      </c>
      <c r="CZ42" s="190">
        <v>809</v>
      </c>
      <c r="DA42" s="190">
        <v>18</v>
      </c>
      <c r="DB42" s="190">
        <v>0</v>
      </c>
      <c r="DC42" s="190">
        <v>4861</v>
      </c>
      <c r="DD42" s="190">
        <v>84</v>
      </c>
      <c r="DE42" s="190">
        <v>18</v>
      </c>
      <c r="DF42" s="190">
        <v>827</v>
      </c>
      <c r="DG42" s="190">
        <v>4963</v>
      </c>
      <c r="DH42" s="190">
        <v>5790</v>
      </c>
      <c r="DI42" s="190">
        <v>50</v>
      </c>
      <c r="DJ42" s="190">
        <v>0</v>
      </c>
      <c r="DK42" s="190">
        <v>0</v>
      </c>
      <c r="DL42" s="190">
        <v>549</v>
      </c>
      <c r="DM42" s="190">
        <v>12</v>
      </c>
      <c r="DN42" s="190">
        <v>6</v>
      </c>
      <c r="DO42" s="190">
        <v>50</v>
      </c>
      <c r="DP42" s="190">
        <v>567</v>
      </c>
      <c r="DQ42" s="190">
        <v>617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2498</v>
      </c>
      <c r="C43" s="190">
        <v>721</v>
      </c>
      <c r="D43" s="190">
        <v>2190</v>
      </c>
      <c r="E43" s="190">
        <v>1442</v>
      </c>
      <c r="F43" s="190">
        <v>0</v>
      </c>
      <c r="G43" s="190">
        <v>23</v>
      </c>
      <c r="H43" s="190">
        <v>23</v>
      </c>
      <c r="I43" s="190">
        <v>1</v>
      </c>
      <c r="J43" s="190">
        <v>647</v>
      </c>
      <c r="K43" s="190">
        <v>648</v>
      </c>
      <c r="L43" s="190">
        <v>0</v>
      </c>
      <c r="M43" s="190">
        <v>204</v>
      </c>
      <c r="N43" s="190">
        <v>204</v>
      </c>
      <c r="O43" s="190">
        <v>1</v>
      </c>
      <c r="P43" s="190">
        <v>443</v>
      </c>
      <c r="Q43" s="190">
        <v>444</v>
      </c>
      <c r="R43" s="190">
        <v>0</v>
      </c>
      <c r="S43" s="190">
        <v>38</v>
      </c>
      <c r="T43" s="190">
        <v>38</v>
      </c>
      <c r="U43" s="190">
        <v>0</v>
      </c>
      <c r="V43" s="190">
        <v>100</v>
      </c>
      <c r="W43" s="190">
        <v>100</v>
      </c>
      <c r="X43" s="190">
        <v>49</v>
      </c>
      <c r="Y43" s="190">
        <v>1606</v>
      </c>
      <c r="Z43" s="190">
        <v>1655</v>
      </c>
      <c r="AA43" s="190">
        <v>29</v>
      </c>
      <c r="AB43" s="190">
        <v>679</v>
      </c>
      <c r="AC43" s="190">
        <v>708</v>
      </c>
      <c r="AD43" s="190">
        <v>29</v>
      </c>
      <c r="AE43" s="190">
        <v>645</v>
      </c>
      <c r="AF43" s="190">
        <v>674</v>
      </c>
      <c r="AG43" s="190">
        <v>0</v>
      </c>
      <c r="AH43" s="190">
        <v>16</v>
      </c>
      <c r="AI43" s="190">
        <v>16</v>
      </c>
      <c r="AJ43" s="190">
        <v>0</v>
      </c>
      <c r="AK43" s="190">
        <v>18</v>
      </c>
      <c r="AL43" s="190">
        <v>18</v>
      </c>
      <c r="AM43" s="190">
        <v>20</v>
      </c>
      <c r="AN43" s="190">
        <v>927</v>
      </c>
      <c r="AO43" s="190">
        <v>947</v>
      </c>
      <c r="AP43" s="190">
        <v>2044</v>
      </c>
      <c r="AQ43" s="190">
        <v>29272</v>
      </c>
      <c r="AR43" s="190">
        <v>31316</v>
      </c>
      <c r="AS43" s="190">
        <v>2017</v>
      </c>
      <c r="AT43" s="190">
        <v>29153</v>
      </c>
      <c r="AU43" s="190">
        <v>31170</v>
      </c>
      <c r="AV43" s="190">
        <v>27</v>
      </c>
      <c r="AW43" s="190">
        <v>119</v>
      </c>
      <c r="AX43" s="190">
        <v>146</v>
      </c>
      <c r="AY43" s="190">
        <v>56</v>
      </c>
      <c r="AZ43" s="190">
        <v>2498</v>
      </c>
      <c r="BA43" s="190">
        <v>2554</v>
      </c>
      <c r="BB43" s="190">
        <v>48</v>
      </c>
      <c r="BC43" s="190">
        <v>2</v>
      </c>
      <c r="BD43" s="190">
        <v>1</v>
      </c>
      <c r="BE43" s="190">
        <v>1320</v>
      </c>
      <c r="BF43" s="190">
        <v>26</v>
      </c>
      <c r="BG43" s="190">
        <v>45</v>
      </c>
      <c r="BH43" s="190">
        <v>51</v>
      </c>
      <c r="BI43" s="190">
        <v>1391</v>
      </c>
      <c r="BJ43" s="190">
        <v>1442</v>
      </c>
      <c r="BK43" s="190">
        <v>-69</v>
      </c>
      <c r="BL43" s="190">
        <v>69</v>
      </c>
      <c r="BM43" s="190">
        <v>0</v>
      </c>
      <c r="BN43" s="190">
        <v>2</v>
      </c>
      <c r="BO43" s="190">
        <v>54</v>
      </c>
      <c r="BP43" s="190">
        <v>56</v>
      </c>
      <c r="BQ43" s="190">
        <v>15</v>
      </c>
      <c r="BR43" s="190">
        <v>264</v>
      </c>
      <c r="BS43" s="190">
        <v>279</v>
      </c>
      <c r="BT43" s="190">
        <v>57</v>
      </c>
      <c r="BU43" s="190">
        <v>720</v>
      </c>
      <c r="BV43" s="190">
        <v>777</v>
      </c>
      <c r="BW43" s="190">
        <v>2100</v>
      </c>
      <c r="BX43" s="190">
        <v>31770</v>
      </c>
      <c r="BY43" s="190">
        <v>33870</v>
      </c>
      <c r="BZ43" s="190">
        <v>1981</v>
      </c>
      <c r="CA43" s="190">
        <v>30142</v>
      </c>
      <c r="CB43" s="190">
        <v>32123</v>
      </c>
      <c r="CC43" s="190">
        <v>49866</v>
      </c>
      <c r="CD43" s="190">
        <v>99</v>
      </c>
      <c r="CE43" s="190">
        <v>1109</v>
      </c>
      <c r="CF43" s="190">
        <v>111</v>
      </c>
      <c r="CG43" s="190">
        <v>763</v>
      </c>
      <c r="CH43" s="190">
        <v>874</v>
      </c>
      <c r="CI43" s="190">
        <v>1145</v>
      </c>
      <c r="CJ43" s="190">
        <v>54</v>
      </c>
      <c r="CK43" s="190">
        <v>8</v>
      </c>
      <c r="CL43" s="190">
        <v>865</v>
      </c>
      <c r="CM43" s="190">
        <v>873</v>
      </c>
      <c r="CN43" s="190">
        <v>145</v>
      </c>
      <c r="CO43" s="190">
        <v>2492</v>
      </c>
      <c r="CP43" s="190">
        <v>2637</v>
      </c>
      <c r="CQ43" s="190">
        <v>0</v>
      </c>
      <c r="CR43" s="190">
        <v>0</v>
      </c>
      <c r="CS43" s="190">
        <v>0</v>
      </c>
      <c r="CT43" s="190">
        <v>1955</v>
      </c>
      <c r="CU43" s="190">
        <v>29278</v>
      </c>
      <c r="CV43" s="190">
        <v>31233</v>
      </c>
      <c r="CW43" s="190">
        <v>124</v>
      </c>
      <c r="CX43" s="190">
        <v>1168</v>
      </c>
      <c r="CY43" s="190">
        <v>1292</v>
      </c>
      <c r="CZ43" s="190">
        <v>119</v>
      </c>
      <c r="DA43" s="190">
        <v>3</v>
      </c>
      <c r="DB43" s="190">
        <v>1</v>
      </c>
      <c r="DC43" s="190">
        <v>1081</v>
      </c>
      <c r="DD43" s="190">
        <v>42</v>
      </c>
      <c r="DE43" s="190">
        <v>26</v>
      </c>
      <c r="DF43" s="190">
        <v>123</v>
      </c>
      <c r="DG43" s="190">
        <v>1149</v>
      </c>
      <c r="DH43" s="190">
        <v>1272</v>
      </c>
      <c r="DI43" s="190">
        <v>1</v>
      </c>
      <c r="DJ43" s="190">
        <v>0</v>
      </c>
      <c r="DK43" s="190">
        <v>0</v>
      </c>
      <c r="DL43" s="190">
        <v>17</v>
      </c>
      <c r="DM43" s="190">
        <v>2</v>
      </c>
      <c r="DN43" s="190">
        <v>0</v>
      </c>
      <c r="DO43" s="190">
        <v>1</v>
      </c>
      <c r="DP43" s="190">
        <v>19</v>
      </c>
      <c r="DQ43" s="190">
        <v>20</v>
      </c>
      <c r="DR43" s="190">
        <v>0</v>
      </c>
      <c r="DS43" s="190">
        <v>0</v>
      </c>
      <c r="DT43" s="191">
        <v>0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2736</v>
      </c>
      <c r="C44" s="190">
        <v>914</v>
      </c>
      <c r="D44" s="190">
        <v>2644</v>
      </c>
      <c r="E44" s="190">
        <v>1775</v>
      </c>
      <c r="F44" s="190">
        <v>3</v>
      </c>
      <c r="G44" s="190">
        <v>35</v>
      </c>
      <c r="H44" s="190">
        <v>38</v>
      </c>
      <c r="I44" s="190">
        <v>1</v>
      </c>
      <c r="J44" s="190">
        <v>745</v>
      </c>
      <c r="K44" s="190">
        <v>746</v>
      </c>
      <c r="L44" s="190">
        <v>1</v>
      </c>
      <c r="M44" s="190">
        <v>399</v>
      </c>
      <c r="N44" s="190">
        <v>400</v>
      </c>
      <c r="O44" s="190">
        <v>0</v>
      </c>
      <c r="P44" s="190">
        <v>346</v>
      </c>
      <c r="Q44" s="190">
        <v>346</v>
      </c>
      <c r="R44" s="190">
        <v>0</v>
      </c>
      <c r="S44" s="190">
        <v>13</v>
      </c>
      <c r="T44" s="190">
        <v>13</v>
      </c>
      <c r="U44" s="190">
        <v>0</v>
      </c>
      <c r="V44" s="190">
        <v>123</v>
      </c>
      <c r="W44" s="190">
        <v>123</v>
      </c>
      <c r="X44" s="190">
        <v>83</v>
      </c>
      <c r="Y44" s="190">
        <v>2560</v>
      </c>
      <c r="Z44" s="190">
        <v>2643</v>
      </c>
      <c r="AA44" s="190">
        <v>53</v>
      </c>
      <c r="AB44" s="190">
        <v>1101</v>
      </c>
      <c r="AC44" s="190">
        <v>1154</v>
      </c>
      <c r="AD44" s="190">
        <v>48</v>
      </c>
      <c r="AE44" s="190">
        <v>1025</v>
      </c>
      <c r="AF44" s="190">
        <v>1073</v>
      </c>
      <c r="AG44" s="190">
        <v>3</v>
      </c>
      <c r="AH44" s="190">
        <v>40</v>
      </c>
      <c r="AI44" s="190">
        <v>43</v>
      </c>
      <c r="AJ44" s="190">
        <v>2</v>
      </c>
      <c r="AK44" s="190">
        <v>36</v>
      </c>
      <c r="AL44" s="190">
        <v>38</v>
      </c>
      <c r="AM44" s="190">
        <v>30</v>
      </c>
      <c r="AN44" s="190">
        <v>1459</v>
      </c>
      <c r="AO44" s="190">
        <v>1489</v>
      </c>
      <c r="AP44" s="190">
        <v>6588</v>
      </c>
      <c r="AQ44" s="190">
        <v>39658</v>
      </c>
      <c r="AR44" s="190">
        <v>46246</v>
      </c>
      <c r="AS44" s="190">
        <v>6588</v>
      </c>
      <c r="AT44" s="190">
        <v>39659</v>
      </c>
      <c r="AU44" s="190">
        <v>46247</v>
      </c>
      <c r="AV44" s="190">
        <v>0</v>
      </c>
      <c r="AW44" s="190">
        <v>-1</v>
      </c>
      <c r="AX44" s="190">
        <v>-1</v>
      </c>
      <c r="AY44" s="190">
        <v>178</v>
      </c>
      <c r="AZ44" s="190">
        <v>2993</v>
      </c>
      <c r="BA44" s="190">
        <v>3171</v>
      </c>
      <c r="BB44" s="190">
        <v>113</v>
      </c>
      <c r="BC44" s="190">
        <v>4</v>
      </c>
      <c r="BD44" s="190">
        <v>0</v>
      </c>
      <c r="BE44" s="190">
        <v>1631</v>
      </c>
      <c r="BF44" s="190">
        <v>19</v>
      </c>
      <c r="BG44" s="190">
        <v>8</v>
      </c>
      <c r="BH44" s="190">
        <v>117</v>
      </c>
      <c r="BI44" s="190">
        <v>1658</v>
      </c>
      <c r="BJ44" s="190">
        <v>1775</v>
      </c>
      <c r="BK44" s="190">
        <v>-98</v>
      </c>
      <c r="BL44" s="190">
        <v>98</v>
      </c>
      <c r="BM44" s="190">
        <v>0</v>
      </c>
      <c r="BN44" s="190">
        <v>15</v>
      </c>
      <c r="BO44" s="190">
        <v>111</v>
      </c>
      <c r="BP44" s="190">
        <v>126</v>
      </c>
      <c r="BQ44" s="190">
        <v>48</v>
      </c>
      <c r="BR44" s="190">
        <v>472</v>
      </c>
      <c r="BS44" s="190">
        <v>520</v>
      </c>
      <c r="BT44" s="190">
        <v>96</v>
      </c>
      <c r="BU44" s="190">
        <v>654</v>
      </c>
      <c r="BV44" s="190">
        <v>750</v>
      </c>
      <c r="BW44" s="190">
        <v>6766</v>
      </c>
      <c r="BX44" s="190">
        <v>42651</v>
      </c>
      <c r="BY44" s="190">
        <v>49417</v>
      </c>
      <c r="BZ44" s="190">
        <v>6709</v>
      </c>
      <c r="CA44" s="190">
        <v>42070</v>
      </c>
      <c r="CB44" s="190">
        <v>48779</v>
      </c>
      <c r="CC44" s="190">
        <v>108912</v>
      </c>
      <c r="CD44" s="190">
        <v>39</v>
      </c>
      <c r="CE44" s="190">
        <v>553</v>
      </c>
      <c r="CF44" s="190">
        <v>57</v>
      </c>
      <c r="CG44" s="190">
        <v>427</v>
      </c>
      <c r="CH44" s="190">
        <v>484</v>
      </c>
      <c r="CI44" s="190">
        <v>199</v>
      </c>
      <c r="CJ44" s="190">
        <v>19</v>
      </c>
      <c r="CK44" s="190">
        <v>0</v>
      </c>
      <c r="CL44" s="190">
        <v>154</v>
      </c>
      <c r="CM44" s="190">
        <v>154</v>
      </c>
      <c r="CN44" s="190">
        <v>340</v>
      </c>
      <c r="CO44" s="190">
        <v>3358</v>
      </c>
      <c r="CP44" s="190">
        <v>3698</v>
      </c>
      <c r="CQ44" s="190">
        <v>0</v>
      </c>
      <c r="CR44" s="190">
        <v>4</v>
      </c>
      <c r="CS44" s="190">
        <v>4</v>
      </c>
      <c r="CT44" s="190">
        <v>6426</v>
      </c>
      <c r="CU44" s="190">
        <v>39293</v>
      </c>
      <c r="CV44" s="190">
        <v>45719</v>
      </c>
      <c r="CW44" s="190">
        <v>349</v>
      </c>
      <c r="CX44" s="190">
        <v>1780</v>
      </c>
      <c r="CY44" s="190">
        <v>2129</v>
      </c>
      <c r="CZ44" s="190">
        <v>347</v>
      </c>
      <c r="DA44" s="190">
        <v>2</v>
      </c>
      <c r="DB44" s="190">
        <v>0</v>
      </c>
      <c r="DC44" s="190">
        <v>1723</v>
      </c>
      <c r="DD44" s="190">
        <v>20</v>
      </c>
      <c r="DE44" s="190">
        <v>6</v>
      </c>
      <c r="DF44" s="190">
        <v>349</v>
      </c>
      <c r="DG44" s="190">
        <v>1749</v>
      </c>
      <c r="DH44" s="190">
        <v>2098</v>
      </c>
      <c r="DI44" s="190">
        <v>0</v>
      </c>
      <c r="DJ44" s="190">
        <v>0</v>
      </c>
      <c r="DK44" s="190">
        <v>0</v>
      </c>
      <c r="DL44" s="190">
        <v>30</v>
      </c>
      <c r="DM44" s="190">
        <v>1</v>
      </c>
      <c r="DN44" s="190">
        <v>0</v>
      </c>
      <c r="DO44" s="190">
        <v>0</v>
      </c>
      <c r="DP44" s="190">
        <v>31</v>
      </c>
      <c r="DQ44" s="190">
        <v>31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615</v>
      </c>
      <c r="C45" s="190">
        <v>131</v>
      </c>
      <c r="D45" s="190">
        <v>611</v>
      </c>
      <c r="E45" s="190">
        <v>362</v>
      </c>
      <c r="F45" s="190">
        <v>1</v>
      </c>
      <c r="G45" s="190">
        <v>8</v>
      </c>
      <c r="H45" s="190">
        <v>9</v>
      </c>
      <c r="I45" s="190">
        <v>0</v>
      </c>
      <c r="J45" s="190">
        <v>167</v>
      </c>
      <c r="K45" s="190">
        <v>167</v>
      </c>
      <c r="L45" s="190">
        <v>0</v>
      </c>
      <c r="M45" s="190">
        <v>43</v>
      </c>
      <c r="N45" s="190">
        <v>43</v>
      </c>
      <c r="O45" s="190">
        <v>0</v>
      </c>
      <c r="P45" s="190">
        <v>124</v>
      </c>
      <c r="Q45" s="190">
        <v>124</v>
      </c>
      <c r="R45" s="190">
        <v>0</v>
      </c>
      <c r="S45" s="190">
        <v>12</v>
      </c>
      <c r="T45" s="190">
        <v>12</v>
      </c>
      <c r="U45" s="190">
        <v>0</v>
      </c>
      <c r="V45" s="190">
        <v>82</v>
      </c>
      <c r="W45" s="190">
        <v>82</v>
      </c>
      <c r="X45" s="190">
        <v>8</v>
      </c>
      <c r="Y45" s="190">
        <v>310</v>
      </c>
      <c r="Z45" s="190">
        <v>318</v>
      </c>
      <c r="AA45" s="190">
        <v>3</v>
      </c>
      <c r="AB45" s="190">
        <v>217</v>
      </c>
      <c r="AC45" s="190">
        <v>220</v>
      </c>
      <c r="AD45" s="190">
        <v>3</v>
      </c>
      <c r="AE45" s="190">
        <v>214</v>
      </c>
      <c r="AF45" s="190">
        <v>217</v>
      </c>
      <c r="AG45" s="190">
        <v>0</v>
      </c>
      <c r="AH45" s="190">
        <v>3</v>
      </c>
      <c r="AI45" s="190">
        <v>3</v>
      </c>
      <c r="AJ45" s="190">
        <v>0</v>
      </c>
      <c r="AK45" s="190">
        <v>0</v>
      </c>
      <c r="AL45" s="190">
        <v>0</v>
      </c>
      <c r="AM45" s="190">
        <v>5</v>
      </c>
      <c r="AN45" s="190">
        <v>93</v>
      </c>
      <c r="AO45" s="190">
        <v>98</v>
      </c>
      <c r="AP45" s="190">
        <v>836</v>
      </c>
      <c r="AQ45" s="190">
        <v>8056</v>
      </c>
      <c r="AR45" s="190">
        <v>8892</v>
      </c>
      <c r="AS45" s="190">
        <v>836</v>
      </c>
      <c r="AT45" s="190">
        <v>8056</v>
      </c>
      <c r="AU45" s="190">
        <v>8892</v>
      </c>
      <c r="AV45" s="190">
        <v>0</v>
      </c>
      <c r="AW45" s="190">
        <v>0</v>
      </c>
      <c r="AX45" s="190">
        <v>0</v>
      </c>
      <c r="AY45" s="190">
        <v>44</v>
      </c>
      <c r="AZ45" s="190">
        <v>704</v>
      </c>
      <c r="BA45" s="190">
        <v>748</v>
      </c>
      <c r="BB45" s="190">
        <v>15</v>
      </c>
      <c r="BC45" s="190">
        <v>0</v>
      </c>
      <c r="BD45" s="190">
        <v>0</v>
      </c>
      <c r="BE45" s="190">
        <v>344</v>
      </c>
      <c r="BF45" s="190">
        <v>1</v>
      </c>
      <c r="BG45" s="190">
        <v>2</v>
      </c>
      <c r="BH45" s="190">
        <v>15</v>
      </c>
      <c r="BI45" s="190">
        <v>347</v>
      </c>
      <c r="BJ45" s="190">
        <v>362</v>
      </c>
      <c r="BK45" s="190">
        <v>-22</v>
      </c>
      <c r="BL45" s="190">
        <v>22</v>
      </c>
      <c r="BM45" s="190">
        <v>0</v>
      </c>
      <c r="BN45" s="190">
        <v>3</v>
      </c>
      <c r="BO45" s="190">
        <v>11</v>
      </c>
      <c r="BP45" s="190">
        <v>14</v>
      </c>
      <c r="BQ45" s="190">
        <v>6</v>
      </c>
      <c r="BR45" s="190">
        <v>125</v>
      </c>
      <c r="BS45" s="190">
        <v>131</v>
      </c>
      <c r="BT45" s="190">
        <v>42</v>
      </c>
      <c r="BU45" s="190">
        <v>199</v>
      </c>
      <c r="BV45" s="190">
        <v>241</v>
      </c>
      <c r="BW45" s="190">
        <v>880</v>
      </c>
      <c r="BX45" s="190">
        <v>8760</v>
      </c>
      <c r="BY45" s="190">
        <v>9640</v>
      </c>
      <c r="BZ45" s="190">
        <v>875</v>
      </c>
      <c r="CA45" s="190">
        <v>8720</v>
      </c>
      <c r="CB45" s="190">
        <v>9595</v>
      </c>
      <c r="CC45" s="190">
        <v>17248</v>
      </c>
      <c r="CD45" s="190">
        <v>0</v>
      </c>
      <c r="CE45" s="190">
        <v>42</v>
      </c>
      <c r="CF45" s="190">
        <v>5</v>
      </c>
      <c r="CG45" s="190">
        <v>31</v>
      </c>
      <c r="CH45" s="190">
        <v>36</v>
      </c>
      <c r="CI45" s="190">
        <v>7</v>
      </c>
      <c r="CJ45" s="190">
        <v>4</v>
      </c>
      <c r="CK45" s="190">
        <v>0</v>
      </c>
      <c r="CL45" s="190">
        <v>9</v>
      </c>
      <c r="CM45" s="190">
        <v>9</v>
      </c>
      <c r="CN45" s="190">
        <v>66</v>
      </c>
      <c r="CO45" s="190">
        <v>787</v>
      </c>
      <c r="CP45" s="190">
        <v>853</v>
      </c>
      <c r="CQ45" s="190">
        <v>0</v>
      </c>
      <c r="CR45" s="190">
        <v>0</v>
      </c>
      <c r="CS45" s="190">
        <v>0</v>
      </c>
      <c r="CT45" s="190">
        <v>814</v>
      </c>
      <c r="CU45" s="190">
        <v>7973</v>
      </c>
      <c r="CV45" s="190">
        <v>8787</v>
      </c>
      <c r="CW45" s="190">
        <v>52</v>
      </c>
      <c r="CX45" s="190">
        <v>417</v>
      </c>
      <c r="CY45" s="190">
        <v>469</v>
      </c>
      <c r="CZ45" s="190">
        <v>51</v>
      </c>
      <c r="DA45" s="190">
        <v>0</v>
      </c>
      <c r="DB45" s="190">
        <v>0</v>
      </c>
      <c r="DC45" s="190">
        <v>382</v>
      </c>
      <c r="DD45" s="190">
        <v>2</v>
      </c>
      <c r="DE45" s="190">
        <v>0</v>
      </c>
      <c r="DF45" s="190">
        <v>51</v>
      </c>
      <c r="DG45" s="190">
        <v>384</v>
      </c>
      <c r="DH45" s="190">
        <v>435</v>
      </c>
      <c r="DI45" s="190">
        <v>1</v>
      </c>
      <c r="DJ45" s="190">
        <v>0</v>
      </c>
      <c r="DK45" s="190">
        <v>0</v>
      </c>
      <c r="DL45" s="190">
        <v>33</v>
      </c>
      <c r="DM45" s="190">
        <v>0</v>
      </c>
      <c r="DN45" s="190">
        <v>0</v>
      </c>
      <c r="DO45" s="190">
        <v>1</v>
      </c>
      <c r="DP45" s="190">
        <v>33</v>
      </c>
      <c r="DQ45" s="190">
        <v>34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 ht="15.75">
      <c r="A46" s="189" t="s">
        <v>367</v>
      </c>
      <c r="B46" s="190">
        <v>923</v>
      </c>
      <c r="C46" s="190">
        <v>184</v>
      </c>
      <c r="D46" s="190">
        <v>886</v>
      </c>
      <c r="E46" s="190">
        <v>487</v>
      </c>
      <c r="F46" s="190">
        <v>0</v>
      </c>
      <c r="G46" s="190">
        <v>7</v>
      </c>
      <c r="H46" s="190">
        <v>7</v>
      </c>
      <c r="I46" s="190">
        <v>0</v>
      </c>
      <c r="J46" s="190">
        <v>333</v>
      </c>
      <c r="K46" s="190">
        <v>333</v>
      </c>
      <c r="L46" s="190">
        <v>0</v>
      </c>
      <c r="M46" s="190">
        <v>333</v>
      </c>
      <c r="N46" s="190">
        <v>333</v>
      </c>
      <c r="O46" s="190">
        <v>0</v>
      </c>
      <c r="P46" s="190">
        <v>0</v>
      </c>
      <c r="Q46" s="190">
        <v>0</v>
      </c>
      <c r="R46" s="190">
        <v>0</v>
      </c>
      <c r="S46" s="190">
        <v>26</v>
      </c>
      <c r="T46" s="190">
        <v>26</v>
      </c>
      <c r="U46" s="190">
        <v>0</v>
      </c>
      <c r="V46" s="190">
        <v>66</v>
      </c>
      <c r="W46" s="190">
        <v>66</v>
      </c>
      <c r="X46" s="190">
        <v>14</v>
      </c>
      <c r="Y46" s="190">
        <v>810</v>
      </c>
      <c r="Z46" s="190">
        <v>824</v>
      </c>
      <c r="AA46" s="190">
        <v>6</v>
      </c>
      <c r="AB46" s="190">
        <v>283</v>
      </c>
      <c r="AC46" s="190">
        <v>289</v>
      </c>
      <c r="AD46" s="190">
        <v>5</v>
      </c>
      <c r="AE46" s="190">
        <v>256</v>
      </c>
      <c r="AF46" s="190">
        <v>261</v>
      </c>
      <c r="AG46" s="190">
        <v>0</v>
      </c>
      <c r="AH46" s="190">
        <v>16</v>
      </c>
      <c r="AI46" s="190">
        <v>16</v>
      </c>
      <c r="AJ46" s="190">
        <v>1</v>
      </c>
      <c r="AK46" s="190">
        <v>11</v>
      </c>
      <c r="AL46" s="190">
        <v>12</v>
      </c>
      <c r="AM46" s="190">
        <v>8</v>
      </c>
      <c r="AN46" s="190">
        <v>527</v>
      </c>
      <c r="AO46" s="190">
        <v>535</v>
      </c>
      <c r="AP46" s="190">
        <v>674</v>
      </c>
      <c r="AQ46" s="190">
        <v>12126</v>
      </c>
      <c r="AR46" s="190">
        <v>12800</v>
      </c>
      <c r="AS46" s="190">
        <v>688</v>
      </c>
      <c r="AT46" s="190">
        <v>12160</v>
      </c>
      <c r="AU46" s="190">
        <v>12848</v>
      </c>
      <c r="AV46" s="190">
        <v>-14</v>
      </c>
      <c r="AW46" s="190">
        <v>-34</v>
      </c>
      <c r="AX46" s="190">
        <v>-48</v>
      </c>
      <c r="AY46" s="190">
        <v>39</v>
      </c>
      <c r="AZ46" s="190">
        <v>964</v>
      </c>
      <c r="BA46" s="190">
        <v>1003</v>
      </c>
      <c r="BB46" s="190">
        <v>4</v>
      </c>
      <c r="BC46" s="190">
        <v>0</v>
      </c>
      <c r="BD46" s="190">
        <v>0</v>
      </c>
      <c r="BE46" s="190">
        <v>459</v>
      </c>
      <c r="BF46" s="190">
        <v>16</v>
      </c>
      <c r="BG46" s="190">
        <v>8</v>
      </c>
      <c r="BH46" s="190">
        <v>4</v>
      </c>
      <c r="BI46" s="190">
        <v>483</v>
      </c>
      <c r="BJ46" s="190">
        <v>487</v>
      </c>
      <c r="BK46" s="190">
        <v>-11</v>
      </c>
      <c r="BL46" s="190">
        <v>11</v>
      </c>
      <c r="BM46" s="190">
        <v>0</v>
      </c>
      <c r="BN46" s="190">
        <v>22</v>
      </c>
      <c r="BO46" s="190">
        <v>23</v>
      </c>
      <c r="BP46" s="190">
        <v>45</v>
      </c>
      <c r="BQ46" s="190">
        <v>0</v>
      </c>
      <c r="BR46" s="190">
        <v>141</v>
      </c>
      <c r="BS46" s="190">
        <v>141</v>
      </c>
      <c r="BT46" s="190">
        <v>24</v>
      </c>
      <c r="BU46" s="190">
        <v>306</v>
      </c>
      <c r="BV46" s="190">
        <v>330</v>
      </c>
      <c r="BW46" s="190">
        <v>713</v>
      </c>
      <c r="BX46" s="190">
        <v>13090</v>
      </c>
      <c r="BY46" s="190">
        <v>13803</v>
      </c>
      <c r="BZ46" s="190">
        <v>694</v>
      </c>
      <c r="CA46" s="190">
        <v>12552</v>
      </c>
      <c r="CB46" s="190">
        <v>13246</v>
      </c>
      <c r="CC46" s="190">
        <v>26038</v>
      </c>
      <c r="CD46" s="190">
        <v>33</v>
      </c>
      <c r="CE46" s="190">
        <v>506</v>
      </c>
      <c r="CF46" s="190">
        <v>19</v>
      </c>
      <c r="CG46" s="190">
        <v>396</v>
      </c>
      <c r="CH46" s="190">
        <v>415</v>
      </c>
      <c r="CI46" s="190">
        <v>175</v>
      </c>
      <c r="CJ46" s="190">
        <v>10</v>
      </c>
      <c r="CK46" s="190">
        <v>0</v>
      </c>
      <c r="CL46" s="190">
        <v>142</v>
      </c>
      <c r="CM46" s="190">
        <v>142</v>
      </c>
      <c r="CN46" s="190">
        <v>33</v>
      </c>
      <c r="CO46" s="190">
        <v>1025</v>
      </c>
      <c r="CP46" s="190">
        <v>1058</v>
      </c>
      <c r="CQ46" s="190">
        <v>0</v>
      </c>
      <c r="CR46" s="190">
        <v>0</v>
      </c>
      <c r="CS46" s="190">
        <v>0</v>
      </c>
      <c r="CT46" s="190">
        <v>680</v>
      </c>
      <c r="CU46" s="190">
        <v>12065</v>
      </c>
      <c r="CV46" s="190">
        <v>12745</v>
      </c>
      <c r="CW46" s="190">
        <v>53</v>
      </c>
      <c r="CX46" s="190">
        <v>567</v>
      </c>
      <c r="CY46" s="190">
        <v>620</v>
      </c>
      <c r="CZ46" s="190">
        <v>53</v>
      </c>
      <c r="DA46" s="190">
        <v>0</v>
      </c>
      <c r="DB46" s="190">
        <v>0</v>
      </c>
      <c r="DC46" s="190">
        <v>523</v>
      </c>
      <c r="DD46" s="190">
        <v>20</v>
      </c>
      <c r="DE46" s="190">
        <v>4</v>
      </c>
      <c r="DF46" s="190">
        <v>53</v>
      </c>
      <c r="DG46" s="190">
        <v>547</v>
      </c>
      <c r="DH46" s="190">
        <v>600</v>
      </c>
      <c r="DI46" s="190">
        <v>0</v>
      </c>
      <c r="DJ46" s="190">
        <v>0</v>
      </c>
      <c r="DK46" s="190">
        <v>0</v>
      </c>
      <c r="DL46" s="190">
        <v>20</v>
      </c>
      <c r="DM46" s="190">
        <v>0</v>
      </c>
      <c r="DN46" s="190">
        <v>0</v>
      </c>
      <c r="DO46" s="190">
        <v>0</v>
      </c>
      <c r="DP46" s="190">
        <v>20</v>
      </c>
      <c r="DQ46" s="190">
        <v>20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1248</v>
      </c>
      <c r="C47" s="190">
        <v>368</v>
      </c>
      <c r="D47" s="190">
        <v>1086</v>
      </c>
      <c r="E47" s="190">
        <v>728</v>
      </c>
      <c r="F47" s="190">
        <v>2</v>
      </c>
      <c r="G47" s="190">
        <v>6</v>
      </c>
      <c r="H47" s="190">
        <v>8</v>
      </c>
      <c r="I47" s="190">
        <v>0</v>
      </c>
      <c r="J47" s="190">
        <v>296</v>
      </c>
      <c r="K47" s="190">
        <v>296</v>
      </c>
      <c r="L47" s="190">
        <v>0</v>
      </c>
      <c r="M47" s="190">
        <v>122</v>
      </c>
      <c r="N47" s="190">
        <v>122</v>
      </c>
      <c r="O47" s="190">
        <v>0</v>
      </c>
      <c r="P47" s="190">
        <v>174</v>
      </c>
      <c r="Q47" s="190">
        <v>174</v>
      </c>
      <c r="R47" s="190">
        <v>0</v>
      </c>
      <c r="S47" s="190">
        <v>27</v>
      </c>
      <c r="T47" s="190">
        <v>27</v>
      </c>
      <c r="U47" s="190">
        <v>0</v>
      </c>
      <c r="V47" s="190">
        <v>62</v>
      </c>
      <c r="W47" s="190">
        <v>62</v>
      </c>
      <c r="X47" s="190">
        <v>13</v>
      </c>
      <c r="Y47" s="190">
        <v>443</v>
      </c>
      <c r="Z47" s="190">
        <v>456</v>
      </c>
      <c r="AA47" s="190">
        <v>6</v>
      </c>
      <c r="AB47" s="190">
        <v>289</v>
      </c>
      <c r="AC47" s="190">
        <v>295</v>
      </c>
      <c r="AD47" s="190">
        <v>6</v>
      </c>
      <c r="AE47" s="190">
        <v>270</v>
      </c>
      <c r="AF47" s="190">
        <v>276</v>
      </c>
      <c r="AG47" s="190">
        <v>0</v>
      </c>
      <c r="AH47" s="190">
        <v>10</v>
      </c>
      <c r="AI47" s="190">
        <v>10</v>
      </c>
      <c r="AJ47" s="190">
        <v>0</v>
      </c>
      <c r="AK47" s="190">
        <v>9</v>
      </c>
      <c r="AL47" s="190">
        <v>9</v>
      </c>
      <c r="AM47" s="190">
        <v>7</v>
      </c>
      <c r="AN47" s="190">
        <v>154</v>
      </c>
      <c r="AO47" s="190">
        <v>161</v>
      </c>
      <c r="AP47" s="190">
        <v>2556</v>
      </c>
      <c r="AQ47" s="190">
        <v>15059</v>
      </c>
      <c r="AR47" s="190">
        <v>17615</v>
      </c>
      <c r="AS47" s="190">
        <v>2399</v>
      </c>
      <c r="AT47" s="190">
        <v>15232</v>
      </c>
      <c r="AU47" s="190">
        <v>17631</v>
      </c>
      <c r="AV47" s="190">
        <v>157</v>
      </c>
      <c r="AW47" s="190">
        <v>-173</v>
      </c>
      <c r="AX47" s="190">
        <v>-16</v>
      </c>
      <c r="AY47" s="190">
        <v>-115</v>
      </c>
      <c r="AZ47" s="190">
        <v>1447</v>
      </c>
      <c r="BA47" s="190">
        <v>1332</v>
      </c>
      <c r="BB47" s="190">
        <v>39</v>
      </c>
      <c r="BC47" s="190">
        <v>0</v>
      </c>
      <c r="BD47" s="190">
        <v>0</v>
      </c>
      <c r="BE47" s="190">
        <v>672</v>
      </c>
      <c r="BF47" s="190">
        <v>9</v>
      </c>
      <c r="BG47" s="190">
        <v>8</v>
      </c>
      <c r="BH47" s="190">
        <v>39</v>
      </c>
      <c r="BI47" s="190">
        <v>689</v>
      </c>
      <c r="BJ47" s="190">
        <v>728</v>
      </c>
      <c r="BK47" s="190">
        <v>-218</v>
      </c>
      <c r="BL47" s="190">
        <v>218</v>
      </c>
      <c r="BM47" s="190">
        <v>0</v>
      </c>
      <c r="BN47" s="190">
        <v>1</v>
      </c>
      <c r="BO47" s="190">
        <v>26</v>
      </c>
      <c r="BP47" s="190">
        <v>27</v>
      </c>
      <c r="BQ47" s="190">
        <v>5</v>
      </c>
      <c r="BR47" s="190">
        <v>156</v>
      </c>
      <c r="BS47" s="190">
        <v>161</v>
      </c>
      <c r="BT47" s="190">
        <v>58</v>
      </c>
      <c r="BU47" s="190">
        <v>358</v>
      </c>
      <c r="BV47" s="190">
        <v>416</v>
      </c>
      <c r="BW47" s="190">
        <v>2441</v>
      </c>
      <c r="BX47" s="190">
        <v>16506</v>
      </c>
      <c r="BY47" s="190">
        <v>18947</v>
      </c>
      <c r="BZ47" s="190">
        <v>2422</v>
      </c>
      <c r="CA47" s="190">
        <v>16310</v>
      </c>
      <c r="CB47" s="190">
        <v>18732</v>
      </c>
      <c r="CC47" s="190">
        <v>39453</v>
      </c>
      <c r="CD47" s="190">
        <v>21</v>
      </c>
      <c r="CE47" s="190">
        <v>143</v>
      </c>
      <c r="CF47" s="190">
        <v>19</v>
      </c>
      <c r="CG47" s="190">
        <v>133</v>
      </c>
      <c r="CH47" s="190">
        <v>152</v>
      </c>
      <c r="CI47" s="190">
        <v>0</v>
      </c>
      <c r="CJ47" s="190">
        <v>74</v>
      </c>
      <c r="CK47" s="190">
        <v>0</v>
      </c>
      <c r="CL47" s="190">
        <v>63</v>
      </c>
      <c r="CM47" s="190">
        <v>63</v>
      </c>
      <c r="CN47" s="190">
        <v>162</v>
      </c>
      <c r="CO47" s="190">
        <v>1744</v>
      </c>
      <c r="CP47" s="190">
        <v>1906</v>
      </c>
      <c r="CQ47" s="190">
        <v>0</v>
      </c>
      <c r="CR47" s="190">
        <v>0</v>
      </c>
      <c r="CS47" s="190">
        <v>0</v>
      </c>
      <c r="CT47" s="190">
        <v>2279</v>
      </c>
      <c r="CU47" s="190">
        <v>14762</v>
      </c>
      <c r="CV47" s="190">
        <v>17041</v>
      </c>
      <c r="CW47" s="190">
        <v>114</v>
      </c>
      <c r="CX47" s="190">
        <v>683</v>
      </c>
      <c r="CY47" s="190">
        <v>797</v>
      </c>
      <c r="CZ47" s="190">
        <v>112</v>
      </c>
      <c r="DA47" s="190">
        <v>1</v>
      </c>
      <c r="DB47" s="190">
        <v>0</v>
      </c>
      <c r="DC47" s="190">
        <v>653</v>
      </c>
      <c r="DD47" s="190">
        <v>7</v>
      </c>
      <c r="DE47" s="190">
        <v>2</v>
      </c>
      <c r="DF47" s="190">
        <v>113</v>
      </c>
      <c r="DG47" s="190">
        <v>662</v>
      </c>
      <c r="DH47" s="190">
        <v>775</v>
      </c>
      <c r="DI47" s="190">
        <v>1</v>
      </c>
      <c r="DJ47" s="190">
        <v>0</v>
      </c>
      <c r="DK47" s="190">
        <v>0</v>
      </c>
      <c r="DL47" s="190">
        <v>21</v>
      </c>
      <c r="DM47" s="190">
        <v>0</v>
      </c>
      <c r="DN47" s="190">
        <v>0</v>
      </c>
      <c r="DO47" s="190">
        <v>1</v>
      </c>
      <c r="DP47" s="190">
        <v>21</v>
      </c>
      <c r="DQ47" s="190">
        <v>22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2650</v>
      </c>
      <c r="C48" s="190">
        <v>539</v>
      </c>
      <c r="D48" s="190">
        <v>2459</v>
      </c>
      <c r="E48" s="190">
        <v>1482</v>
      </c>
      <c r="F48" s="190">
        <v>1</v>
      </c>
      <c r="G48" s="190">
        <v>14</v>
      </c>
      <c r="H48" s="190">
        <v>15</v>
      </c>
      <c r="I48" s="190">
        <v>0</v>
      </c>
      <c r="J48" s="190">
        <v>717</v>
      </c>
      <c r="K48" s="190">
        <v>717</v>
      </c>
      <c r="L48" s="190">
        <v>0</v>
      </c>
      <c r="M48" s="190">
        <v>246</v>
      </c>
      <c r="N48" s="190">
        <v>246</v>
      </c>
      <c r="O48" s="190">
        <v>0</v>
      </c>
      <c r="P48" s="190">
        <v>471</v>
      </c>
      <c r="Q48" s="190">
        <v>471</v>
      </c>
      <c r="R48" s="190">
        <v>0</v>
      </c>
      <c r="S48" s="190">
        <v>16</v>
      </c>
      <c r="T48" s="190">
        <v>16</v>
      </c>
      <c r="U48" s="190">
        <v>0</v>
      </c>
      <c r="V48" s="190">
        <v>260</v>
      </c>
      <c r="W48" s="190">
        <v>260</v>
      </c>
      <c r="X48" s="190">
        <v>45</v>
      </c>
      <c r="Y48" s="190">
        <v>1556</v>
      </c>
      <c r="Z48" s="190">
        <v>1601</v>
      </c>
      <c r="AA48" s="190">
        <v>19</v>
      </c>
      <c r="AB48" s="190">
        <v>536</v>
      </c>
      <c r="AC48" s="190">
        <v>555</v>
      </c>
      <c r="AD48" s="190">
        <v>17</v>
      </c>
      <c r="AE48" s="190">
        <v>518</v>
      </c>
      <c r="AF48" s="190">
        <v>535</v>
      </c>
      <c r="AG48" s="190">
        <v>2</v>
      </c>
      <c r="AH48" s="190">
        <v>14</v>
      </c>
      <c r="AI48" s="190">
        <v>16</v>
      </c>
      <c r="AJ48" s="190">
        <v>0</v>
      </c>
      <c r="AK48" s="190">
        <v>4</v>
      </c>
      <c r="AL48" s="190">
        <v>4</v>
      </c>
      <c r="AM48" s="190">
        <v>26</v>
      </c>
      <c r="AN48" s="190">
        <v>1020</v>
      </c>
      <c r="AO48" s="190">
        <v>1046</v>
      </c>
      <c r="AP48" s="190">
        <v>3675</v>
      </c>
      <c r="AQ48" s="190">
        <v>41304</v>
      </c>
      <c r="AR48" s="190">
        <v>44979</v>
      </c>
      <c r="AS48" s="190">
        <v>3856</v>
      </c>
      <c r="AT48" s="190">
        <v>41009</v>
      </c>
      <c r="AU48" s="190">
        <v>44865</v>
      </c>
      <c r="AV48" s="190">
        <v>-181</v>
      </c>
      <c r="AW48" s="190">
        <v>295</v>
      </c>
      <c r="AX48" s="190">
        <v>114</v>
      </c>
      <c r="AY48" s="190">
        <v>364</v>
      </c>
      <c r="AZ48" s="190">
        <v>2892</v>
      </c>
      <c r="BA48" s="190">
        <v>3256</v>
      </c>
      <c r="BB48" s="190">
        <v>119</v>
      </c>
      <c r="BC48" s="190">
        <v>1</v>
      </c>
      <c r="BD48" s="190">
        <v>0</v>
      </c>
      <c r="BE48" s="190">
        <v>1286</v>
      </c>
      <c r="BF48" s="190">
        <v>34</v>
      </c>
      <c r="BG48" s="190">
        <v>42</v>
      </c>
      <c r="BH48" s="190">
        <v>120</v>
      </c>
      <c r="BI48" s="190">
        <v>1362</v>
      </c>
      <c r="BJ48" s="190">
        <v>1482</v>
      </c>
      <c r="BK48" s="190">
        <v>92</v>
      </c>
      <c r="BL48" s="190">
        <v>-92</v>
      </c>
      <c r="BM48" s="190">
        <v>0</v>
      </c>
      <c r="BN48" s="190">
        <v>12</v>
      </c>
      <c r="BO48" s="190">
        <v>50</v>
      </c>
      <c r="BP48" s="190">
        <v>62</v>
      </c>
      <c r="BQ48" s="190">
        <v>16</v>
      </c>
      <c r="BR48" s="190">
        <v>121</v>
      </c>
      <c r="BS48" s="190">
        <v>137</v>
      </c>
      <c r="BT48" s="190">
        <v>124</v>
      </c>
      <c r="BU48" s="190">
        <v>1451</v>
      </c>
      <c r="BV48" s="190">
        <v>1575</v>
      </c>
      <c r="BW48" s="190">
        <v>4039</v>
      </c>
      <c r="BX48" s="190">
        <v>44196</v>
      </c>
      <c r="BY48" s="190">
        <v>48235</v>
      </c>
      <c r="BZ48" s="190">
        <v>3945</v>
      </c>
      <c r="CA48" s="190">
        <v>42748</v>
      </c>
      <c r="CB48" s="190">
        <v>46693</v>
      </c>
      <c r="CC48" s="190">
        <v>91894</v>
      </c>
      <c r="CD48" s="190">
        <v>99</v>
      </c>
      <c r="CE48" s="190">
        <v>1090</v>
      </c>
      <c r="CF48" s="190">
        <v>92</v>
      </c>
      <c r="CG48" s="190">
        <v>824</v>
      </c>
      <c r="CH48" s="190">
        <v>916</v>
      </c>
      <c r="CI48" s="190">
        <v>858</v>
      </c>
      <c r="CJ48" s="190">
        <v>16</v>
      </c>
      <c r="CK48" s="190">
        <v>2</v>
      </c>
      <c r="CL48" s="190">
        <v>624</v>
      </c>
      <c r="CM48" s="190">
        <v>626</v>
      </c>
      <c r="CN48" s="190">
        <v>206</v>
      </c>
      <c r="CO48" s="190">
        <v>3622</v>
      </c>
      <c r="CP48" s="190">
        <v>3828</v>
      </c>
      <c r="CQ48" s="190">
        <v>0</v>
      </c>
      <c r="CR48" s="190">
        <v>0</v>
      </c>
      <c r="CS48" s="190">
        <v>0</v>
      </c>
      <c r="CT48" s="190">
        <v>3833</v>
      </c>
      <c r="CU48" s="190">
        <v>40574</v>
      </c>
      <c r="CV48" s="190">
        <v>44407</v>
      </c>
      <c r="CW48" s="190">
        <v>288</v>
      </c>
      <c r="CX48" s="190">
        <v>2702</v>
      </c>
      <c r="CY48" s="190">
        <v>2990</v>
      </c>
      <c r="CZ48" s="190">
        <v>273</v>
      </c>
      <c r="DA48" s="190">
        <v>6</v>
      </c>
      <c r="DB48" s="190">
        <v>0</v>
      </c>
      <c r="DC48" s="190">
        <v>2325</v>
      </c>
      <c r="DD48" s="190">
        <v>50</v>
      </c>
      <c r="DE48" s="190">
        <v>20</v>
      </c>
      <c r="DF48" s="190">
        <v>279</v>
      </c>
      <c r="DG48" s="190">
        <v>2395</v>
      </c>
      <c r="DH48" s="190">
        <v>2674</v>
      </c>
      <c r="DI48" s="190">
        <v>9</v>
      </c>
      <c r="DJ48" s="190">
        <v>0</v>
      </c>
      <c r="DK48" s="190">
        <v>0</v>
      </c>
      <c r="DL48" s="190">
        <v>292</v>
      </c>
      <c r="DM48" s="190">
        <v>8</v>
      </c>
      <c r="DN48" s="190">
        <v>7</v>
      </c>
      <c r="DO48" s="190">
        <v>9</v>
      </c>
      <c r="DP48" s="190">
        <v>307</v>
      </c>
      <c r="DQ48" s="190">
        <v>316</v>
      </c>
      <c r="DR48" s="190">
        <v>0</v>
      </c>
      <c r="DS48" s="190">
        <v>0</v>
      </c>
      <c r="DT48" s="191">
        <v>0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776</v>
      </c>
      <c r="C49" s="190">
        <v>238</v>
      </c>
      <c r="D49" s="190">
        <v>724</v>
      </c>
      <c r="E49" s="190">
        <v>497</v>
      </c>
      <c r="F49" s="190">
        <v>1</v>
      </c>
      <c r="G49" s="190">
        <v>14</v>
      </c>
      <c r="H49" s="190">
        <v>15</v>
      </c>
      <c r="I49" s="190">
        <v>0</v>
      </c>
      <c r="J49" s="190">
        <v>182</v>
      </c>
      <c r="K49" s="190">
        <v>182</v>
      </c>
      <c r="L49" s="190">
        <v>0</v>
      </c>
      <c r="M49" s="190">
        <v>51</v>
      </c>
      <c r="N49" s="190">
        <v>51</v>
      </c>
      <c r="O49" s="190">
        <v>0</v>
      </c>
      <c r="P49" s="190">
        <v>131</v>
      </c>
      <c r="Q49" s="190">
        <v>131</v>
      </c>
      <c r="R49" s="190">
        <v>0</v>
      </c>
      <c r="S49" s="190">
        <v>22</v>
      </c>
      <c r="T49" s="190">
        <v>22</v>
      </c>
      <c r="U49" s="190">
        <v>0</v>
      </c>
      <c r="V49" s="190">
        <v>45</v>
      </c>
      <c r="W49" s="190">
        <v>45</v>
      </c>
      <c r="X49" s="190">
        <v>5</v>
      </c>
      <c r="Y49" s="190">
        <v>471</v>
      </c>
      <c r="Z49" s="190">
        <v>476</v>
      </c>
      <c r="AA49" s="190">
        <v>4</v>
      </c>
      <c r="AB49" s="190">
        <v>213</v>
      </c>
      <c r="AC49" s="190">
        <v>217</v>
      </c>
      <c r="AD49" s="190">
        <v>4</v>
      </c>
      <c r="AE49" s="190">
        <v>211</v>
      </c>
      <c r="AF49" s="190">
        <v>215</v>
      </c>
      <c r="AG49" s="190">
        <v>0</v>
      </c>
      <c r="AH49" s="190">
        <v>1</v>
      </c>
      <c r="AI49" s="190">
        <v>1</v>
      </c>
      <c r="AJ49" s="190">
        <v>0</v>
      </c>
      <c r="AK49" s="190">
        <v>1</v>
      </c>
      <c r="AL49" s="190">
        <v>1</v>
      </c>
      <c r="AM49" s="190">
        <v>1</v>
      </c>
      <c r="AN49" s="190">
        <v>258</v>
      </c>
      <c r="AO49" s="190">
        <v>259</v>
      </c>
      <c r="AP49" s="190">
        <v>1060</v>
      </c>
      <c r="AQ49" s="190">
        <v>12693</v>
      </c>
      <c r="AR49" s="190">
        <v>13753</v>
      </c>
      <c r="AS49" s="190">
        <v>1050</v>
      </c>
      <c r="AT49" s="190">
        <v>12664</v>
      </c>
      <c r="AU49" s="190">
        <v>13714</v>
      </c>
      <c r="AV49" s="190">
        <v>10</v>
      </c>
      <c r="AW49" s="190">
        <v>29</v>
      </c>
      <c r="AX49" s="190">
        <v>39</v>
      </c>
      <c r="AY49" s="190">
        <v>44</v>
      </c>
      <c r="AZ49" s="190">
        <v>1064</v>
      </c>
      <c r="BA49" s="190">
        <v>1108</v>
      </c>
      <c r="BB49" s="190">
        <v>11</v>
      </c>
      <c r="BC49" s="190">
        <v>0</v>
      </c>
      <c r="BD49" s="190">
        <v>0</v>
      </c>
      <c r="BE49" s="190">
        <v>484</v>
      </c>
      <c r="BF49" s="190">
        <v>2</v>
      </c>
      <c r="BG49" s="190">
        <v>0</v>
      </c>
      <c r="BH49" s="190">
        <v>11</v>
      </c>
      <c r="BI49" s="190">
        <v>486</v>
      </c>
      <c r="BJ49" s="190">
        <v>497</v>
      </c>
      <c r="BK49" s="190">
        <v>-18</v>
      </c>
      <c r="BL49" s="190">
        <v>18</v>
      </c>
      <c r="BM49" s="190">
        <v>0</v>
      </c>
      <c r="BN49" s="190">
        <v>1</v>
      </c>
      <c r="BO49" s="190">
        <v>24</v>
      </c>
      <c r="BP49" s="190">
        <v>25</v>
      </c>
      <c r="BQ49" s="190">
        <v>0</v>
      </c>
      <c r="BR49" s="190">
        <v>2</v>
      </c>
      <c r="BS49" s="190">
        <v>2</v>
      </c>
      <c r="BT49" s="190">
        <v>50</v>
      </c>
      <c r="BU49" s="190">
        <v>534</v>
      </c>
      <c r="BV49" s="190">
        <v>584</v>
      </c>
      <c r="BW49" s="190">
        <v>1104</v>
      </c>
      <c r="BX49" s="190">
        <v>13757</v>
      </c>
      <c r="BY49" s="190">
        <v>14861</v>
      </c>
      <c r="BZ49" s="190">
        <v>1100</v>
      </c>
      <c r="CA49" s="190">
        <v>13702</v>
      </c>
      <c r="CB49" s="190">
        <v>14802</v>
      </c>
      <c r="CC49" s="190">
        <v>26695</v>
      </c>
      <c r="CD49" s="190">
        <v>4</v>
      </c>
      <c r="CE49" s="190">
        <v>57</v>
      </c>
      <c r="CF49" s="190">
        <v>4</v>
      </c>
      <c r="CG49" s="190">
        <v>47</v>
      </c>
      <c r="CH49" s="190">
        <v>51</v>
      </c>
      <c r="CI49" s="190">
        <v>0</v>
      </c>
      <c r="CJ49" s="190">
        <v>11</v>
      </c>
      <c r="CK49" s="190">
        <v>0</v>
      </c>
      <c r="CL49" s="190">
        <v>8</v>
      </c>
      <c r="CM49" s="190">
        <v>8</v>
      </c>
      <c r="CN49" s="190">
        <v>83</v>
      </c>
      <c r="CO49" s="190">
        <v>1297</v>
      </c>
      <c r="CP49" s="190">
        <v>1380</v>
      </c>
      <c r="CQ49" s="190">
        <v>0</v>
      </c>
      <c r="CR49" s="190">
        <v>0</v>
      </c>
      <c r="CS49" s="190">
        <v>0</v>
      </c>
      <c r="CT49" s="190">
        <v>1021</v>
      </c>
      <c r="CU49" s="190">
        <v>12460</v>
      </c>
      <c r="CV49" s="190">
        <v>13481</v>
      </c>
      <c r="CW49" s="190">
        <v>53</v>
      </c>
      <c r="CX49" s="190">
        <v>588</v>
      </c>
      <c r="CY49" s="190">
        <v>641</v>
      </c>
      <c r="CZ49" s="190">
        <v>51</v>
      </c>
      <c r="DA49" s="190">
        <v>1</v>
      </c>
      <c r="DB49" s="190">
        <v>0</v>
      </c>
      <c r="DC49" s="190">
        <v>566</v>
      </c>
      <c r="DD49" s="190">
        <v>0</v>
      </c>
      <c r="DE49" s="190">
        <v>0</v>
      </c>
      <c r="DF49" s="190">
        <v>52</v>
      </c>
      <c r="DG49" s="190">
        <v>566</v>
      </c>
      <c r="DH49" s="190">
        <v>618</v>
      </c>
      <c r="DI49" s="190">
        <v>1</v>
      </c>
      <c r="DJ49" s="190">
        <v>0</v>
      </c>
      <c r="DK49" s="190">
        <v>0</v>
      </c>
      <c r="DL49" s="190">
        <v>22</v>
      </c>
      <c r="DM49" s="190">
        <v>0</v>
      </c>
      <c r="DN49" s="190">
        <v>0</v>
      </c>
      <c r="DO49" s="190">
        <v>1</v>
      </c>
      <c r="DP49" s="190">
        <v>22</v>
      </c>
      <c r="DQ49" s="190">
        <v>23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929</v>
      </c>
      <c r="C50" s="190">
        <v>184</v>
      </c>
      <c r="D50" s="190">
        <v>907</v>
      </c>
      <c r="E50" s="190">
        <v>529</v>
      </c>
      <c r="F50" s="190">
        <v>1</v>
      </c>
      <c r="G50" s="190">
        <v>22</v>
      </c>
      <c r="H50" s="190">
        <v>23</v>
      </c>
      <c r="I50" s="190">
        <v>0</v>
      </c>
      <c r="J50" s="190">
        <v>354</v>
      </c>
      <c r="K50" s="190">
        <v>354</v>
      </c>
      <c r="L50" s="190">
        <v>0</v>
      </c>
      <c r="M50" s="190">
        <v>118</v>
      </c>
      <c r="N50" s="190">
        <v>118</v>
      </c>
      <c r="O50" s="190">
        <v>0</v>
      </c>
      <c r="P50" s="190">
        <v>236</v>
      </c>
      <c r="Q50" s="190">
        <v>236</v>
      </c>
      <c r="R50" s="190">
        <v>0</v>
      </c>
      <c r="S50" s="190">
        <v>4</v>
      </c>
      <c r="T50" s="190">
        <v>4</v>
      </c>
      <c r="U50" s="190">
        <v>0</v>
      </c>
      <c r="V50" s="190">
        <v>24</v>
      </c>
      <c r="W50" s="190">
        <v>24</v>
      </c>
      <c r="X50" s="190">
        <v>17</v>
      </c>
      <c r="Y50" s="190">
        <v>890</v>
      </c>
      <c r="Z50" s="190">
        <v>907</v>
      </c>
      <c r="AA50" s="190">
        <v>12</v>
      </c>
      <c r="AB50" s="190">
        <v>381</v>
      </c>
      <c r="AC50" s="190">
        <v>393</v>
      </c>
      <c r="AD50" s="190">
        <v>12</v>
      </c>
      <c r="AE50" s="190">
        <v>372</v>
      </c>
      <c r="AF50" s="190">
        <v>384</v>
      </c>
      <c r="AG50" s="190">
        <v>0</v>
      </c>
      <c r="AH50" s="190">
        <v>7</v>
      </c>
      <c r="AI50" s="190">
        <v>7</v>
      </c>
      <c r="AJ50" s="190">
        <v>0</v>
      </c>
      <c r="AK50" s="190">
        <v>2</v>
      </c>
      <c r="AL50" s="190">
        <v>2</v>
      </c>
      <c r="AM50" s="190">
        <v>5</v>
      </c>
      <c r="AN50" s="190">
        <v>509</v>
      </c>
      <c r="AO50" s="190">
        <v>514</v>
      </c>
      <c r="AP50" s="190">
        <v>1153</v>
      </c>
      <c r="AQ50" s="190">
        <v>10457</v>
      </c>
      <c r="AR50" s="190">
        <v>11610</v>
      </c>
      <c r="AS50" s="190">
        <v>1153</v>
      </c>
      <c r="AT50" s="190">
        <v>10457</v>
      </c>
      <c r="AU50" s="190">
        <v>11610</v>
      </c>
      <c r="AV50" s="190">
        <v>0</v>
      </c>
      <c r="AW50" s="190">
        <v>0</v>
      </c>
      <c r="AX50" s="190">
        <v>0</v>
      </c>
      <c r="AY50" s="190">
        <v>62</v>
      </c>
      <c r="AZ50" s="190">
        <v>956</v>
      </c>
      <c r="BA50" s="190">
        <v>1018</v>
      </c>
      <c r="BB50" s="190">
        <v>20</v>
      </c>
      <c r="BC50" s="190">
        <v>0</v>
      </c>
      <c r="BD50" s="190">
        <v>0</v>
      </c>
      <c r="BE50" s="190">
        <v>509</v>
      </c>
      <c r="BF50" s="190">
        <v>0</v>
      </c>
      <c r="BG50" s="190">
        <v>0</v>
      </c>
      <c r="BH50" s="190">
        <v>20</v>
      </c>
      <c r="BI50" s="190">
        <v>509</v>
      </c>
      <c r="BJ50" s="190">
        <v>529</v>
      </c>
      <c r="BK50" s="190">
        <v>-1</v>
      </c>
      <c r="BL50" s="190">
        <v>1</v>
      </c>
      <c r="BM50" s="190">
        <v>0</v>
      </c>
      <c r="BN50" s="190">
        <v>8</v>
      </c>
      <c r="BO50" s="190">
        <v>40</v>
      </c>
      <c r="BP50" s="190">
        <v>48</v>
      </c>
      <c r="BQ50" s="190">
        <v>6</v>
      </c>
      <c r="BR50" s="190">
        <v>167</v>
      </c>
      <c r="BS50" s="190">
        <v>173</v>
      </c>
      <c r="BT50" s="190">
        <v>29</v>
      </c>
      <c r="BU50" s="190">
        <v>239</v>
      </c>
      <c r="BV50" s="190">
        <v>268</v>
      </c>
      <c r="BW50" s="190">
        <v>1215</v>
      </c>
      <c r="BX50" s="190">
        <v>11413</v>
      </c>
      <c r="BY50" s="190">
        <v>12628</v>
      </c>
      <c r="BZ50" s="190">
        <v>1211</v>
      </c>
      <c r="CA50" s="190">
        <v>11372</v>
      </c>
      <c r="CB50" s="190">
        <v>12583</v>
      </c>
      <c r="CC50" s="190">
        <v>23428</v>
      </c>
      <c r="CD50" s="190">
        <v>2</v>
      </c>
      <c r="CE50" s="190">
        <v>27</v>
      </c>
      <c r="CF50" s="190">
        <v>4</v>
      </c>
      <c r="CG50" s="190">
        <v>23</v>
      </c>
      <c r="CH50" s="190">
        <v>27</v>
      </c>
      <c r="CI50" s="190">
        <v>20</v>
      </c>
      <c r="CJ50" s="190">
        <v>0</v>
      </c>
      <c r="CK50" s="190">
        <v>0</v>
      </c>
      <c r="CL50" s="190">
        <v>18</v>
      </c>
      <c r="CM50" s="190">
        <v>18</v>
      </c>
      <c r="CN50" s="190">
        <v>102</v>
      </c>
      <c r="CO50" s="190">
        <v>1040</v>
      </c>
      <c r="CP50" s="190">
        <v>1142</v>
      </c>
      <c r="CQ50" s="190">
        <v>0</v>
      </c>
      <c r="CR50" s="190">
        <v>15</v>
      </c>
      <c r="CS50" s="190">
        <v>15</v>
      </c>
      <c r="CT50" s="190">
        <v>1113</v>
      </c>
      <c r="CU50" s="190">
        <v>10373</v>
      </c>
      <c r="CV50" s="190">
        <v>11486</v>
      </c>
      <c r="CW50" s="190">
        <v>57</v>
      </c>
      <c r="CX50" s="190">
        <v>365</v>
      </c>
      <c r="CY50" s="190">
        <v>422</v>
      </c>
      <c r="CZ50" s="190">
        <v>57</v>
      </c>
      <c r="DA50" s="190">
        <v>0</v>
      </c>
      <c r="DB50" s="190">
        <v>0</v>
      </c>
      <c r="DC50" s="190">
        <v>357</v>
      </c>
      <c r="DD50" s="190">
        <v>1</v>
      </c>
      <c r="DE50" s="190">
        <v>0</v>
      </c>
      <c r="DF50" s="190">
        <v>57</v>
      </c>
      <c r="DG50" s="190">
        <v>358</v>
      </c>
      <c r="DH50" s="190">
        <v>415</v>
      </c>
      <c r="DI50" s="190">
        <v>0</v>
      </c>
      <c r="DJ50" s="190">
        <v>0</v>
      </c>
      <c r="DK50" s="190">
        <v>0</v>
      </c>
      <c r="DL50" s="190">
        <v>7</v>
      </c>
      <c r="DM50" s="190">
        <v>0</v>
      </c>
      <c r="DN50" s="190">
        <v>0</v>
      </c>
      <c r="DO50" s="190">
        <v>0</v>
      </c>
      <c r="DP50" s="190">
        <v>7</v>
      </c>
      <c r="DQ50" s="190">
        <v>7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5</v>
      </c>
      <c r="C51" s="190">
        <v>1</v>
      </c>
      <c r="D51" s="190">
        <v>5</v>
      </c>
      <c r="E51" s="190">
        <v>5</v>
      </c>
      <c r="F51" s="190">
        <v>0</v>
      </c>
      <c r="G51" s="190">
        <v>0</v>
      </c>
      <c r="H51" s="190">
        <v>0</v>
      </c>
      <c r="I51" s="190">
        <v>0</v>
      </c>
      <c r="J51" s="190">
        <v>0</v>
      </c>
      <c r="K51" s="190">
        <v>0</v>
      </c>
      <c r="L51" s="190">
        <v>0</v>
      </c>
      <c r="M51" s="190">
        <v>0</v>
      </c>
      <c r="N51" s="190">
        <v>0</v>
      </c>
      <c r="O51" s="190">
        <v>0</v>
      </c>
      <c r="P51" s="190">
        <v>0</v>
      </c>
      <c r="Q51" s="190">
        <v>0</v>
      </c>
      <c r="R51" s="190">
        <v>0</v>
      </c>
      <c r="S51" s="190">
        <v>0</v>
      </c>
      <c r="T51" s="190">
        <v>0</v>
      </c>
      <c r="U51" s="190">
        <v>0</v>
      </c>
      <c r="V51" s="190">
        <v>0</v>
      </c>
      <c r="W51" s="190">
        <v>0</v>
      </c>
      <c r="X51" s="190">
        <v>2</v>
      </c>
      <c r="Y51" s="190">
        <v>3</v>
      </c>
      <c r="Z51" s="190">
        <v>5</v>
      </c>
      <c r="AA51" s="190">
        <v>1</v>
      </c>
      <c r="AB51" s="190">
        <v>3</v>
      </c>
      <c r="AC51" s="190">
        <v>4</v>
      </c>
      <c r="AD51" s="190">
        <v>1</v>
      </c>
      <c r="AE51" s="190">
        <v>3</v>
      </c>
      <c r="AF51" s="190">
        <v>4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1</v>
      </c>
      <c r="AN51" s="190">
        <v>0</v>
      </c>
      <c r="AO51" s="190">
        <v>1</v>
      </c>
      <c r="AP51" s="190">
        <v>9</v>
      </c>
      <c r="AQ51" s="190">
        <v>148</v>
      </c>
      <c r="AR51" s="190">
        <v>157</v>
      </c>
      <c r="AS51" s="190">
        <v>9</v>
      </c>
      <c r="AT51" s="190">
        <v>148</v>
      </c>
      <c r="AU51" s="190">
        <v>157</v>
      </c>
      <c r="AV51" s="190">
        <v>0</v>
      </c>
      <c r="AW51" s="190">
        <v>0</v>
      </c>
      <c r="AX51" s="190">
        <v>0</v>
      </c>
      <c r="AY51" s="190">
        <v>2</v>
      </c>
      <c r="AZ51" s="190">
        <v>6</v>
      </c>
      <c r="BA51" s="190">
        <v>8</v>
      </c>
      <c r="BB51" s="190">
        <v>2</v>
      </c>
      <c r="BC51" s="190">
        <v>0</v>
      </c>
      <c r="BD51" s="190">
        <v>0</v>
      </c>
      <c r="BE51" s="190">
        <v>3</v>
      </c>
      <c r="BF51" s="190">
        <v>0</v>
      </c>
      <c r="BG51" s="190">
        <v>0</v>
      </c>
      <c r="BH51" s="190">
        <v>2</v>
      </c>
      <c r="BI51" s="190">
        <v>3</v>
      </c>
      <c r="BJ51" s="190">
        <v>5</v>
      </c>
      <c r="BK51" s="190">
        <v>0</v>
      </c>
      <c r="BL51" s="190">
        <v>0</v>
      </c>
      <c r="BM51" s="190">
        <v>0</v>
      </c>
      <c r="BN51" s="190">
        <v>0</v>
      </c>
      <c r="BO51" s="190">
        <v>1</v>
      </c>
      <c r="BP51" s="190">
        <v>1</v>
      </c>
      <c r="BQ51" s="190">
        <v>0</v>
      </c>
      <c r="BR51" s="190">
        <v>0</v>
      </c>
      <c r="BS51" s="190">
        <v>0</v>
      </c>
      <c r="BT51" s="190">
        <v>0</v>
      </c>
      <c r="BU51" s="190">
        <v>2</v>
      </c>
      <c r="BV51" s="190">
        <v>2</v>
      </c>
      <c r="BW51" s="190">
        <v>11</v>
      </c>
      <c r="BX51" s="190">
        <v>154</v>
      </c>
      <c r="BY51" s="190">
        <v>165</v>
      </c>
      <c r="BZ51" s="190">
        <v>11</v>
      </c>
      <c r="CA51" s="190">
        <v>154</v>
      </c>
      <c r="CB51" s="190">
        <v>165</v>
      </c>
      <c r="CC51" s="190">
        <v>277</v>
      </c>
      <c r="CD51" s="190">
        <v>0</v>
      </c>
      <c r="CE51" s="190">
        <v>0</v>
      </c>
      <c r="CF51" s="190">
        <v>0</v>
      </c>
      <c r="CG51" s="190">
        <v>0</v>
      </c>
      <c r="CH51" s="190">
        <v>0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1</v>
      </c>
      <c r="CO51" s="190">
        <v>11</v>
      </c>
      <c r="CP51" s="190">
        <v>12</v>
      </c>
      <c r="CQ51" s="190">
        <v>0</v>
      </c>
      <c r="CR51" s="190">
        <v>0</v>
      </c>
      <c r="CS51" s="190">
        <v>0</v>
      </c>
      <c r="CT51" s="190">
        <v>10</v>
      </c>
      <c r="CU51" s="190">
        <v>143</v>
      </c>
      <c r="CV51" s="190">
        <v>153</v>
      </c>
      <c r="CW51" s="190">
        <v>1</v>
      </c>
      <c r="CX51" s="190">
        <v>7</v>
      </c>
      <c r="CY51" s="190">
        <v>8</v>
      </c>
      <c r="CZ51" s="190">
        <v>1</v>
      </c>
      <c r="DA51" s="190">
        <v>0</v>
      </c>
      <c r="DB51" s="190">
        <v>0</v>
      </c>
      <c r="DC51" s="190">
        <v>7</v>
      </c>
      <c r="DD51" s="190">
        <v>0</v>
      </c>
      <c r="DE51" s="190">
        <v>0</v>
      </c>
      <c r="DF51" s="190">
        <v>1</v>
      </c>
      <c r="DG51" s="190">
        <v>7</v>
      </c>
      <c r="DH51" s="190">
        <v>8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218</v>
      </c>
      <c r="C52" s="190">
        <v>75</v>
      </c>
      <c r="D52" s="190">
        <v>214</v>
      </c>
      <c r="E52" s="190">
        <v>104</v>
      </c>
      <c r="F52" s="190">
        <v>0</v>
      </c>
      <c r="G52" s="190">
        <v>1</v>
      </c>
      <c r="H52" s="190">
        <v>1</v>
      </c>
      <c r="I52" s="190">
        <v>0</v>
      </c>
      <c r="J52" s="190">
        <v>99</v>
      </c>
      <c r="K52" s="190">
        <v>99</v>
      </c>
      <c r="L52" s="190">
        <v>0</v>
      </c>
      <c r="M52" s="190">
        <v>45</v>
      </c>
      <c r="N52" s="190">
        <v>45</v>
      </c>
      <c r="O52" s="190">
        <v>0</v>
      </c>
      <c r="P52" s="190">
        <v>54</v>
      </c>
      <c r="Q52" s="190">
        <v>54</v>
      </c>
      <c r="R52" s="190">
        <v>0</v>
      </c>
      <c r="S52" s="190">
        <v>2</v>
      </c>
      <c r="T52" s="190">
        <v>2</v>
      </c>
      <c r="U52" s="190">
        <v>0</v>
      </c>
      <c r="V52" s="190">
        <v>11</v>
      </c>
      <c r="W52" s="190">
        <v>11</v>
      </c>
      <c r="X52" s="190">
        <v>7</v>
      </c>
      <c r="Y52" s="190">
        <v>207</v>
      </c>
      <c r="Z52" s="190">
        <v>214</v>
      </c>
      <c r="AA52" s="190">
        <v>6</v>
      </c>
      <c r="AB52" s="190">
        <v>78</v>
      </c>
      <c r="AC52" s="190">
        <v>84</v>
      </c>
      <c r="AD52" s="190">
        <v>6</v>
      </c>
      <c r="AE52" s="190">
        <v>63</v>
      </c>
      <c r="AF52" s="190">
        <v>69</v>
      </c>
      <c r="AG52" s="190">
        <v>0</v>
      </c>
      <c r="AH52" s="190">
        <v>6</v>
      </c>
      <c r="AI52" s="190">
        <v>6</v>
      </c>
      <c r="AJ52" s="190">
        <v>0</v>
      </c>
      <c r="AK52" s="190">
        <v>9</v>
      </c>
      <c r="AL52" s="190">
        <v>9</v>
      </c>
      <c r="AM52" s="190">
        <v>1</v>
      </c>
      <c r="AN52" s="190">
        <v>129</v>
      </c>
      <c r="AO52" s="190">
        <v>130</v>
      </c>
      <c r="AP52" s="190">
        <v>351</v>
      </c>
      <c r="AQ52" s="190">
        <v>2586</v>
      </c>
      <c r="AR52" s="190">
        <v>2937</v>
      </c>
      <c r="AS52" s="190">
        <v>351</v>
      </c>
      <c r="AT52" s="190">
        <v>2586</v>
      </c>
      <c r="AU52" s="190">
        <v>2937</v>
      </c>
      <c r="AV52" s="190">
        <v>0</v>
      </c>
      <c r="AW52" s="190">
        <v>0</v>
      </c>
      <c r="AX52" s="190">
        <v>0</v>
      </c>
      <c r="AY52" s="190">
        <v>30</v>
      </c>
      <c r="AZ52" s="190">
        <v>214</v>
      </c>
      <c r="BA52" s="190">
        <v>244</v>
      </c>
      <c r="BB52" s="190">
        <v>7</v>
      </c>
      <c r="BC52" s="190">
        <v>0</v>
      </c>
      <c r="BD52" s="190">
        <v>0</v>
      </c>
      <c r="BE52" s="190">
        <v>97</v>
      </c>
      <c r="BF52" s="190">
        <v>0</v>
      </c>
      <c r="BG52" s="190">
        <v>0</v>
      </c>
      <c r="BH52" s="190">
        <v>7</v>
      </c>
      <c r="BI52" s="190">
        <v>97</v>
      </c>
      <c r="BJ52" s="190">
        <v>104</v>
      </c>
      <c r="BK52" s="190">
        <v>7</v>
      </c>
      <c r="BL52" s="190">
        <v>-7</v>
      </c>
      <c r="BM52" s="190">
        <v>0</v>
      </c>
      <c r="BN52" s="190">
        <v>2</v>
      </c>
      <c r="BO52" s="190">
        <v>6</v>
      </c>
      <c r="BP52" s="190">
        <v>8</v>
      </c>
      <c r="BQ52" s="190">
        <v>1</v>
      </c>
      <c r="BR52" s="190">
        <v>23</v>
      </c>
      <c r="BS52" s="190">
        <v>24</v>
      </c>
      <c r="BT52" s="190">
        <v>13</v>
      </c>
      <c r="BU52" s="190">
        <v>95</v>
      </c>
      <c r="BV52" s="190">
        <v>108</v>
      </c>
      <c r="BW52" s="190">
        <v>381</v>
      </c>
      <c r="BX52" s="190">
        <v>2800</v>
      </c>
      <c r="BY52" s="190">
        <v>3181</v>
      </c>
      <c r="BZ52" s="190">
        <v>380</v>
      </c>
      <c r="CA52" s="190">
        <v>2789</v>
      </c>
      <c r="CB52" s="190">
        <v>3169</v>
      </c>
      <c r="CC52" s="190">
        <v>6600</v>
      </c>
      <c r="CD52" s="190">
        <v>0</v>
      </c>
      <c r="CE52" s="190">
        <v>12</v>
      </c>
      <c r="CF52" s="190">
        <v>1</v>
      </c>
      <c r="CG52" s="190">
        <v>9</v>
      </c>
      <c r="CH52" s="190">
        <v>10</v>
      </c>
      <c r="CI52" s="190">
        <v>3</v>
      </c>
      <c r="CJ52" s="190">
        <v>0</v>
      </c>
      <c r="CK52" s="190">
        <v>0</v>
      </c>
      <c r="CL52" s="190">
        <v>2</v>
      </c>
      <c r="CM52" s="190">
        <v>2</v>
      </c>
      <c r="CN52" s="190">
        <v>33</v>
      </c>
      <c r="CO52" s="190">
        <v>225</v>
      </c>
      <c r="CP52" s="190">
        <v>258</v>
      </c>
      <c r="CQ52" s="190">
        <v>0</v>
      </c>
      <c r="CR52" s="190">
        <v>2</v>
      </c>
      <c r="CS52" s="190">
        <v>2</v>
      </c>
      <c r="CT52" s="190">
        <v>348</v>
      </c>
      <c r="CU52" s="190">
        <v>2575</v>
      </c>
      <c r="CV52" s="190">
        <v>2923</v>
      </c>
      <c r="CW52" s="190">
        <v>12</v>
      </c>
      <c r="CX52" s="190">
        <v>129</v>
      </c>
      <c r="CY52" s="190">
        <v>141</v>
      </c>
      <c r="CZ52" s="190">
        <v>11</v>
      </c>
      <c r="DA52" s="190">
        <v>0</v>
      </c>
      <c r="DB52" s="190">
        <v>0</v>
      </c>
      <c r="DC52" s="190">
        <v>129</v>
      </c>
      <c r="DD52" s="190">
        <v>0</v>
      </c>
      <c r="DE52" s="190">
        <v>0</v>
      </c>
      <c r="DF52" s="190">
        <v>11</v>
      </c>
      <c r="DG52" s="190">
        <v>129</v>
      </c>
      <c r="DH52" s="190">
        <v>140</v>
      </c>
      <c r="DI52" s="190">
        <v>1</v>
      </c>
      <c r="DJ52" s="190">
        <v>0</v>
      </c>
      <c r="DK52" s="190">
        <v>0</v>
      </c>
      <c r="DL52" s="190">
        <v>0</v>
      </c>
      <c r="DM52" s="190">
        <v>0</v>
      </c>
      <c r="DN52" s="190">
        <v>0</v>
      </c>
      <c r="DO52" s="190">
        <v>1</v>
      </c>
      <c r="DP52" s="190">
        <v>0</v>
      </c>
      <c r="DQ52" s="190">
        <v>1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1310</v>
      </c>
      <c r="C53" s="190">
        <v>342</v>
      </c>
      <c r="D53" s="190">
        <v>1103</v>
      </c>
      <c r="E53" s="190">
        <v>667</v>
      </c>
      <c r="F53" s="190">
        <v>2</v>
      </c>
      <c r="G53" s="190">
        <v>12</v>
      </c>
      <c r="H53" s="190">
        <v>14</v>
      </c>
      <c r="I53" s="190">
        <v>0</v>
      </c>
      <c r="J53" s="190">
        <v>369</v>
      </c>
      <c r="K53" s="190">
        <v>369</v>
      </c>
      <c r="L53" s="190">
        <v>0</v>
      </c>
      <c r="M53" s="190">
        <v>108</v>
      </c>
      <c r="N53" s="190">
        <v>108</v>
      </c>
      <c r="O53" s="190">
        <v>0</v>
      </c>
      <c r="P53" s="190">
        <v>261</v>
      </c>
      <c r="Q53" s="190">
        <v>261</v>
      </c>
      <c r="R53" s="190">
        <v>0</v>
      </c>
      <c r="S53" s="190">
        <v>29</v>
      </c>
      <c r="T53" s="190">
        <v>29</v>
      </c>
      <c r="U53" s="190">
        <v>0</v>
      </c>
      <c r="V53" s="190">
        <v>67</v>
      </c>
      <c r="W53" s="190">
        <v>67</v>
      </c>
      <c r="X53" s="190">
        <v>14</v>
      </c>
      <c r="Y53" s="190">
        <v>646</v>
      </c>
      <c r="Z53" s="190">
        <v>660</v>
      </c>
      <c r="AA53" s="190">
        <v>9</v>
      </c>
      <c r="AB53" s="190">
        <v>355</v>
      </c>
      <c r="AC53" s="190">
        <v>364</v>
      </c>
      <c r="AD53" s="190">
        <v>9</v>
      </c>
      <c r="AE53" s="190">
        <v>349</v>
      </c>
      <c r="AF53" s="190">
        <v>358</v>
      </c>
      <c r="AG53" s="190">
        <v>0</v>
      </c>
      <c r="AH53" s="190">
        <v>6</v>
      </c>
      <c r="AI53" s="190">
        <v>6</v>
      </c>
      <c r="AJ53" s="190">
        <v>0</v>
      </c>
      <c r="AK53" s="190">
        <v>0</v>
      </c>
      <c r="AL53" s="190">
        <v>0</v>
      </c>
      <c r="AM53" s="190">
        <v>5</v>
      </c>
      <c r="AN53" s="190">
        <v>291</v>
      </c>
      <c r="AO53" s="190">
        <v>296</v>
      </c>
      <c r="AP53" s="190">
        <v>2260</v>
      </c>
      <c r="AQ53" s="190">
        <v>17380</v>
      </c>
      <c r="AR53" s="190">
        <v>19640</v>
      </c>
      <c r="AS53" s="190">
        <v>2362</v>
      </c>
      <c r="AT53" s="190">
        <v>17055</v>
      </c>
      <c r="AU53" s="190">
        <v>19417</v>
      </c>
      <c r="AV53" s="190">
        <v>-102</v>
      </c>
      <c r="AW53" s="190">
        <v>325</v>
      </c>
      <c r="AX53" s="190">
        <v>223</v>
      </c>
      <c r="AY53" s="190">
        <v>191</v>
      </c>
      <c r="AZ53" s="190">
        <v>1321</v>
      </c>
      <c r="BA53" s="190">
        <v>1512</v>
      </c>
      <c r="BB53" s="190">
        <v>48</v>
      </c>
      <c r="BC53" s="190">
        <v>1</v>
      </c>
      <c r="BD53" s="190">
        <v>0</v>
      </c>
      <c r="BE53" s="190">
        <v>612</v>
      </c>
      <c r="BF53" s="190">
        <v>4</v>
      </c>
      <c r="BG53" s="190">
        <v>2</v>
      </c>
      <c r="BH53" s="190">
        <v>49</v>
      </c>
      <c r="BI53" s="190">
        <v>618</v>
      </c>
      <c r="BJ53" s="190">
        <v>667</v>
      </c>
      <c r="BK53" s="190">
        <v>48</v>
      </c>
      <c r="BL53" s="190">
        <v>-48</v>
      </c>
      <c r="BM53" s="190">
        <v>0</v>
      </c>
      <c r="BN53" s="190">
        <v>6</v>
      </c>
      <c r="BO53" s="190">
        <v>64</v>
      </c>
      <c r="BP53" s="190">
        <v>70</v>
      </c>
      <c r="BQ53" s="190">
        <v>5</v>
      </c>
      <c r="BR53" s="190">
        <v>111</v>
      </c>
      <c r="BS53" s="190">
        <v>116</v>
      </c>
      <c r="BT53" s="190">
        <v>83</v>
      </c>
      <c r="BU53" s="190">
        <v>576</v>
      </c>
      <c r="BV53" s="190">
        <v>659</v>
      </c>
      <c r="BW53" s="190">
        <v>2451</v>
      </c>
      <c r="BX53" s="190">
        <v>18701</v>
      </c>
      <c r="BY53" s="190">
        <v>21152</v>
      </c>
      <c r="BZ53" s="190">
        <v>2429</v>
      </c>
      <c r="CA53" s="190">
        <v>18497</v>
      </c>
      <c r="CB53" s="190">
        <v>20926</v>
      </c>
      <c r="CC53" s="190">
        <v>39446</v>
      </c>
      <c r="CD53" s="190">
        <v>195</v>
      </c>
      <c r="CE53" s="190">
        <v>174</v>
      </c>
      <c r="CF53" s="190">
        <v>22</v>
      </c>
      <c r="CG53" s="190">
        <v>147</v>
      </c>
      <c r="CH53" s="190">
        <v>169</v>
      </c>
      <c r="CI53" s="190">
        <v>83</v>
      </c>
      <c r="CJ53" s="190">
        <v>58</v>
      </c>
      <c r="CK53" s="190">
        <v>0</v>
      </c>
      <c r="CL53" s="190">
        <v>57</v>
      </c>
      <c r="CM53" s="190">
        <v>57</v>
      </c>
      <c r="CN53" s="190">
        <v>157</v>
      </c>
      <c r="CO53" s="190">
        <v>1761</v>
      </c>
      <c r="CP53" s="190">
        <v>1918</v>
      </c>
      <c r="CQ53" s="190">
        <v>0</v>
      </c>
      <c r="CR53" s="190">
        <v>0</v>
      </c>
      <c r="CS53" s="190">
        <v>0</v>
      </c>
      <c r="CT53" s="190">
        <v>2294</v>
      </c>
      <c r="CU53" s="190">
        <v>16940</v>
      </c>
      <c r="CV53" s="190">
        <v>19234</v>
      </c>
      <c r="CW53" s="190">
        <v>161</v>
      </c>
      <c r="CX53" s="190">
        <v>858</v>
      </c>
      <c r="CY53" s="190">
        <v>1019</v>
      </c>
      <c r="CZ53" s="190">
        <v>156</v>
      </c>
      <c r="DA53" s="190">
        <v>0</v>
      </c>
      <c r="DB53" s="190">
        <v>0</v>
      </c>
      <c r="DC53" s="190">
        <v>823</v>
      </c>
      <c r="DD53" s="190">
        <v>8</v>
      </c>
      <c r="DE53" s="190">
        <v>1</v>
      </c>
      <c r="DF53" s="190">
        <v>156</v>
      </c>
      <c r="DG53" s="190">
        <v>832</v>
      </c>
      <c r="DH53" s="190">
        <v>988</v>
      </c>
      <c r="DI53" s="190">
        <v>5</v>
      </c>
      <c r="DJ53" s="190">
        <v>0</v>
      </c>
      <c r="DK53" s="190">
        <v>0</v>
      </c>
      <c r="DL53" s="190">
        <v>26</v>
      </c>
      <c r="DM53" s="190">
        <v>0</v>
      </c>
      <c r="DN53" s="190">
        <v>0</v>
      </c>
      <c r="DO53" s="190">
        <v>5</v>
      </c>
      <c r="DP53" s="190">
        <v>26</v>
      </c>
      <c r="DQ53" s="190">
        <v>31</v>
      </c>
      <c r="DR53" s="190">
        <v>0</v>
      </c>
      <c r="DS53" s="190">
        <v>0</v>
      </c>
      <c r="DT53" s="191">
        <v>0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876</v>
      </c>
      <c r="C54" s="190">
        <v>316</v>
      </c>
      <c r="D54" s="190">
        <v>777</v>
      </c>
      <c r="E54" s="190">
        <v>393</v>
      </c>
      <c r="F54" s="190">
        <v>0</v>
      </c>
      <c r="G54" s="190">
        <v>6</v>
      </c>
      <c r="H54" s="190">
        <v>6</v>
      </c>
      <c r="I54" s="190">
        <v>1</v>
      </c>
      <c r="J54" s="190">
        <v>341</v>
      </c>
      <c r="K54" s="190">
        <v>342</v>
      </c>
      <c r="L54" s="190">
        <v>0</v>
      </c>
      <c r="M54" s="190">
        <v>100</v>
      </c>
      <c r="N54" s="190">
        <v>100</v>
      </c>
      <c r="O54" s="190">
        <v>1</v>
      </c>
      <c r="P54" s="190">
        <v>241</v>
      </c>
      <c r="Q54" s="190">
        <v>242</v>
      </c>
      <c r="R54" s="190">
        <v>0</v>
      </c>
      <c r="S54" s="190">
        <v>30</v>
      </c>
      <c r="T54" s="190">
        <v>30</v>
      </c>
      <c r="U54" s="190">
        <v>0</v>
      </c>
      <c r="V54" s="190">
        <v>42</v>
      </c>
      <c r="W54" s="190">
        <v>42</v>
      </c>
      <c r="X54" s="190">
        <v>9</v>
      </c>
      <c r="Y54" s="190">
        <v>768</v>
      </c>
      <c r="Z54" s="190">
        <v>777</v>
      </c>
      <c r="AA54" s="190">
        <v>4</v>
      </c>
      <c r="AB54" s="190">
        <v>356</v>
      </c>
      <c r="AC54" s="190">
        <v>360</v>
      </c>
      <c r="AD54" s="190">
        <v>3</v>
      </c>
      <c r="AE54" s="190">
        <v>319</v>
      </c>
      <c r="AF54" s="190">
        <v>322</v>
      </c>
      <c r="AG54" s="190">
        <v>1</v>
      </c>
      <c r="AH54" s="190">
        <v>26</v>
      </c>
      <c r="AI54" s="190">
        <v>27</v>
      </c>
      <c r="AJ54" s="190">
        <v>0</v>
      </c>
      <c r="AK54" s="190">
        <v>11</v>
      </c>
      <c r="AL54" s="190">
        <v>11</v>
      </c>
      <c r="AM54" s="190">
        <v>5</v>
      </c>
      <c r="AN54" s="190">
        <v>412</v>
      </c>
      <c r="AO54" s="190">
        <v>417</v>
      </c>
      <c r="AP54" s="190">
        <v>1340</v>
      </c>
      <c r="AQ54" s="190">
        <v>15343</v>
      </c>
      <c r="AR54" s="190">
        <v>16683</v>
      </c>
      <c r="AS54" s="190">
        <v>1311</v>
      </c>
      <c r="AT54" s="190">
        <v>14702</v>
      </c>
      <c r="AU54" s="190">
        <v>16013</v>
      </c>
      <c r="AV54" s="190">
        <v>29</v>
      </c>
      <c r="AW54" s="190">
        <v>641</v>
      </c>
      <c r="AX54" s="190">
        <v>670</v>
      </c>
      <c r="AY54" s="190">
        <v>0</v>
      </c>
      <c r="AZ54" s="190">
        <v>745</v>
      </c>
      <c r="BA54" s="190">
        <v>745</v>
      </c>
      <c r="BB54" s="190">
        <v>15</v>
      </c>
      <c r="BC54" s="190">
        <v>2</v>
      </c>
      <c r="BD54" s="190">
        <v>0</v>
      </c>
      <c r="BE54" s="190">
        <v>370</v>
      </c>
      <c r="BF54" s="190">
        <v>4</v>
      </c>
      <c r="BG54" s="190">
        <v>2</v>
      </c>
      <c r="BH54" s="190">
        <v>17</v>
      </c>
      <c r="BI54" s="190">
        <v>376</v>
      </c>
      <c r="BJ54" s="190">
        <v>393</v>
      </c>
      <c r="BK54" s="190">
        <v>-32</v>
      </c>
      <c r="BL54" s="190">
        <v>32</v>
      </c>
      <c r="BM54" s="190">
        <v>0</v>
      </c>
      <c r="BN54" s="190">
        <v>0</v>
      </c>
      <c r="BO54" s="190">
        <v>17</v>
      </c>
      <c r="BP54" s="190">
        <v>17</v>
      </c>
      <c r="BQ54" s="190">
        <v>5</v>
      </c>
      <c r="BR54" s="190">
        <v>145</v>
      </c>
      <c r="BS54" s="190">
        <v>150</v>
      </c>
      <c r="BT54" s="190">
        <v>10</v>
      </c>
      <c r="BU54" s="190">
        <v>175</v>
      </c>
      <c r="BV54" s="190">
        <v>185</v>
      </c>
      <c r="BW54" s="190">
        <v>1340</v>
      </c>
      <c r="BX54" s="190">
        <v>16088</v>
      </c>
      <c r="BY54" s="190">
        <v>17428</v>
      </c>
      <c r="BZ54" s="190">
        <v>1302</v>
      </c>
      <c r="CA54" s="190">
        <v>15810</v>
      </c>
      <c r="CB54" s="190">
        <v>17112</v>
      </c>
      <c r="CC54" s="190">
        <v>30959</v>
      </c>
      <c r="CD54" s="190">
        <v>19</v>
      </c>
      <c r="CE54" s="190">
        <v>300</v>
      </c>
      <c r="CF54" s="190">
        <v>38</v>
      </c>
      <c r="CG54" s="190">
        <v>230</v>
      </c>
      <c r="CH54" s="190">
        <v>268</v>
      </c>
      <c r="CI54" s="190">
        <v>62</v>
      </c>
      <c r="CJ54" s="190">
        <v>3</v>
      </c>
      <c r="CK54" s="190">
        <v>0</v>
      </c>
      <c r="CL54" s="190">
        <v>48</v>
      </c>
      <c r="CM54" s="190">
        <v>48</v>
      </c>
      <c r="CN54" s="190">
        <v>70</v>
      </c>
      <c r="CO54" s="190">
        <v>1425</v>
      </c>
      <c r="CP54" s="190">
        <v>1495</v>
      </c>
      <c r="CQ54" s="190">
        <v>0</v>
      </c>
      <c r="CR54" s="190">
        <v>0</v>
      </c>
      <c r="CS54" s="190">
        <v>0</v>
      </c>
      <c r="CT54" s="190">
        <v>1270</v>
      </c>
      <c r="CU54" s="190">
        <v>14663</v>
      </c>
      <c r="CV54" s="190">
        <v>15933</v>
      </c>
      <c r="CW54" s="190">
        <v>85</v>
      </c>
      <c r="CX54" s="190">
        <v>733</v>
      </c>
      <c r="CY54" s="190">
        <v>818</v>
      </c>
      <c r="CZ54" s="190">
        <v>80</v>
      </c>
      <c r="DA54" s="190">
        <v>3</v>
      </c>
      <c r="DB54" s="190">
        <v>0</v>
      </c>
      <c r="DC54" s="190">
        <v>689</v>
      </c>
      <c r="DD54" s="190">
        <v>18</v>
      </c>
      <c r="DE54" s="190">
        <v>1</v>
      </c>
      <c r="DF54" s="190">
        <v>83</v>
      </c>
      <c r="DG54" s="190">
        <v>708</v>
      </c>
      <c r="DH54" s="190">
        <v>791</v>
      </c>
      <c r="DI54" s="190">
        <v>2</v>
      </c>
      <c r="DJ54" s="190">
        <v>0</v>
      </c>
      <c r="DK54" s="190">
        <v>0</v>
      </c>
      <c r="DL54" s="190">
        <v>23</v>
      </c>
      <c r="DM54" s="190">
        <v>2</v>
      </c>
      <c r="DN54" s="190">
        <v>0</v>
      </c>
      <c r="DO54" s="190">
        <v>2</v>
      </c>
      <c r="DP54" s="190">
        <v>25</v>
      </c>
      <c r="DQ54" s="190">
        <v>27</v>
      </c>
      <c r="DR54" s="190">
        <v>0</v>
      </c>
      <c r="DS54" s="190">
        <v>0</v>
      </c>
      <c r="DT54" s="191">
        <v>0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2586</v>
      </c>
      <c r="C55" s="190">
        <v>528</v>
      </c>
      <c r="D55" s="190">
        <v>2541</v>
      </c>
      <c r="E55" s="190">
        <v>1714</v>
      </c>
      <c r="F55" s="190">
        <v>5</v>
      </c>
      <c r="G55" s="190">
        <v>54</v>
      </c>
      <c r="H55" s="190">
        <v>59</v>
      </c>
      <c r="I55" s="190">
        <v>1</v>
      </c>
      <c r="J55" s="190">
        <v>698</v>
      </c>
      <c r="K55" s="190">
        <v>699</v>
      </c>
      <c r="L55" s="190">
        <v>1</v>
      </c>
      <c r="M55" s="190">
        <v>377</v>
      </c>
      <c r="N55" s="190">
        <v>378</v>
      </c>
      <c r="O55" s="190">
        <v>0</v>
      </c>
      <c r="P55" s="190">
        <v>321</v>
      </c>
      <c r="Q55" s="190">
        <v>321</v>
      </c>
      <c r="R55" s="190">
        <v>0</v>
      </c>
      <c r="S55" s="190">
        <v>8</v>
      </c>
      <c r="T55" s="190">
        <v>8</v>
      </c>
      <c r="U55" s="190">
        <v>0</v>
      </c>
      <c r="V55" s="190">
        <v>128</v>
      </c>
      <c r="W55" s="190">
        <v>128</v>
      </c>
      <c r="X55" s="190">
        <v>56</v>
      </c>
      <c r="Y55" s="190">
        <v>2484</v>
      </c>
      <c r="Z55" s="190">
        <v>2540</v>
      </c>
      <c r="AA55" s="190">
        <v>35</v>
      </c>
      <c r="AB55" s="190">
        <v>1153</v>
      </c>
      <c r="AC55" s="190">
        <v>1188</v>
      </c>
      <c r="AD55" s="190">
        <v>25</v>
      </c>
      <c r="AE55" s="190">
        <v>1101</v>
      </c>
      <c r="AF55" s="190">
        <v>1126</v>
      </c>
      <c r="AG55" s="190">
        <v>5</v>
      </c>
      <c r="AH55" s="190">
        <v>33</v>
      </c>
      <c r="AI55" s="190">
        <v>38</v>
      </c>
      <c r="AJ55" s="190">
        <v>5</v>
      </c>
      <c r="AK55" s="190">
        <v>19</v>
      </c>
      <c r="AL55" s="190">
        <v>24</v>
      </c>
      <c r="AM55" s="190">
        <v>21</v>
      </c>
      <c r="AN55" s="190">
        <v>1331</v>
      </c>
      <c r="AO55" s="190">
        <v>1352</v>
      </c>
      <c r="AP55" s="190">
        <v>5122</v>
      </c>
      <c r="AQ55" s="190">
        <v>32425</v>
      </c>
      <c r="AR55" s="190">
        <v>37547</v>
      </c>
      <c r="AS55" s="190">
        <v>5122</v>
      </c>
      <c r="AT55" s="190">
        <v>32426</v>
      </c>
      <c r="AU55" s="190">
        <v>37548</v>
      </c>
      <c r="AV55" s="190">
        <v>0</v>
      </c>
      <c r="AW55" s="190">
        <v>-1</v>
      </c>
      <c r="AX55" s="190">
        <v>-1</v>
      </c>
      <c r="AY55" s="190">
        <v>167</v>
      </c>
      <c r="AZ55" s="190">
        <v>2733</v>
      </c>
      <c r="BA55" s="190">
        <v>2900</v>
      </c>
      <c r="BB55" s="190">
        <v>72</v>
      </c>
      <c r="BC55" s="190">
        <v>0</v>
      </c>
      <c r="BD55" s="190">
        <v>0</v>
      </c>
      <c r="BE55" s="190">
        <v>1634</v>
      </c>
      <c r="BF55" s="190">
        <v>6</v>
      </c>
      <c r="BG55" s="190">
        <v>2</v>
      </c>
      <c r="BH55" s="190">
        <v>72</v>
      </c>
      <c r="BI55" s="190">
        <v>1642</v>
      </c>
      <c r="BJ55" s="190">
        <v>1714</v>
      </c>
      <c r="BK55" s="190">
        <v>-38</v>
      </c>
      <c r="BL55" s="190">
        <v>38</v>
      </c>
      <c r="BM55" s="190">
        <v>0</v>
      </c>
      <c r="BN55" s="190">
        <v>22</v>
      </c>
      <c r="BO55" s="190">
        <v>123</v>
      </c>
      <c r="BP55" s="190">
        <v>145</v>
      </c>
      <c r="BQ55" s="190">
        <v>32</v>
      </c>
      <c r="BR55" s="190">
        <v>398</v>
      </c>
      <c r="BS55" s="190">
        <v>430</v>
      </c>
      <c r="BT55" s="190">
        <v>79</v>
      </c>
      <c r="BU55" s="190">
        <v>532</v>
      </c>
      <c r="BV55" s="190">
        <v>611</v>
      </c>
      <c r="BW55" s="190">
        <v>5289</v>
      </c>
      <c r="BX55" s="190">
        <v>35158</v>
      </c>
      <c r="BY55" s="190">
        <v>40447</v>
      </c>
      <c r="BZ55" s="190">
        <v>5258</v>
      </c>
      <c r="CA55" s="190">
        <v>34946</v>
      </c>
      <c r="CB55" s="190">
        <v>40204</v>
      </c>
      <c r="CC55" s="190">
        <v>84069</v>
      </c>
      <c r="CD55" s="190">
        <v>20</v>
      </c>
      <c r="CE55" s="190">
        <v>219</v>
      </c>
      <c r="CF55" s="190">
        <v>31</v>
      </c>
      <c r="CG55" s="190">
        <v>181</v>
      </c>
      <c r="CH55" s="190">
        <v>212</v>
      </c>
      <c r="CI55" s="190">
        <v>32</v>
      </c>
      <c r="CJ55" s="190">
        <v>8</v>
      </c>
      <c r="CK55" s="190">
        <v>0</v>
      </c>
      <c r="CL55" s="190">
        <v>31</v>
      </c>
      <c r="CM55" s="190">
        <v>31</v>
      </c>
      <c r="CN55" s="190">
        <v>308</v>
      </c>
      <c r="CO55" s="190">
        <v>2856</v>
      </c>
      <c r="CP55" s="190">
        <v>3164</v>
      </c>
      <c r="CQ55" s="190">
        <v>0</v>
      </c>
      <c r="CR55" s="190">
        <v>0</v>
      </c>
      <c r="CS55" s="190">
        <v>0</v>
      </c>
      <c r="CT55" s="190">
        <v>4981</v>
      </c>
      <c r="CU55" s="190">
        <v>32302</v>
      </c>
      <c r="CV55" s="190">
        <v>37283</v>
      </c>
      <c r="CW55" s="190">
        <v>326</v>
      </c>
      <c r="CX55" s="190">
        <v>1337</v>
      </c>
      <c r="CY55" s="190">
        <v>1663</v>
      </c>
      <c r="CZ55" s="190">
        <v>326</v>
      </c>
      <c r="DA55" s="190">
        <v>0</v>
      </c>
      <c r="DB55" s="190">
        <v>0</v>
      </c>
      <c r="DC55" s="190">
        <v>1313</v>
      </c>
      <c r="DD55" s="190">
        <v>9</v>
      </c>
      <c r="DE55" s="190">
        <v>0</v>
      </c>
      <c r="DF55" s="190">
        <v>326</v>
      </c>
      <c r="DG55" s="190">
        <v>1322</v>
      </c>
      <c r="DH55" s="190">
        <v>1648</v>
      </c>
      <c r="DI55" s="190">
        <v>0</v>
      </c>
      <c r="DJ55" s="190">
        <v>0</v>
      </c>
      <c r="DK55" s="190">
        <v>0</v>
      </c>
      <c r="DL55" s="190">
        <v>15</v>
      </c>
      <c r="DM55" s="190">
        <v>0</v>
      </c>
      <c r="DN55" s="190">
        <v>0</v>
      </c>
      <c r="DO55" s="190">
        <v>0</v>
      </c>
      <c r="DP55" s="190">
        <v>15</v>
      </c>
      <c r="DQ55" s="190">
        <v>15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423</v>
      </c>
      <c r="C56" s="190">
        <v>100</v>
      </c>
      <c r="D56" s="190">
        <v>410</v>
      </c>
      <c r="E56" s="190">
        <v>225</v>
      </c>
      <c r="F56" s="190">
        <v>0</v>
      </c>
      <c r="G56" s="190">
        <v>1</v>
      </c>
      <c r="H56" s="190">
        <v>1</v>
      </c>
      <c r="I56" s="190">
        <v>0</v>
      </c>
      <c r="J56" s="190">
        <v>164</v>
      </c>
      <c r="K56" s="190">
        <v>164</v>
      </c>
      <c r="L56" s="190">
        <v>0</v>
      </c>
      <c r="M56" s="190">
        <v>56</v>
      </c>
      <c r="N56" s="190">
        <v>56</v>
      </c>
      <c r="O56" s="190">
        <v>0</v>
      </c>
      <c r="P56" s="190">
        <v>108</v>
      </c>
      <c r="Q56" s="190">
        <v>108</v>
      </c>
      <c r="R56" s="190">
        <v>0</v>
      </c>
      <c r="S56" s="190">
        <v>2</v>
      </c>
      <c r="T56" s="190">
        <v>2</v>
      </c>
      <c r="U56" s="190">
        <v>0</v>
      </c>
      <c r="V56" s="190">
        <v>21</v>
      </c>
      <c r="W56" s="190">
        <v>21</v>
      </c>
      <c r="X56" s="190">
        <v>17</v>
      </c>
      <c r="Y56" s="190">
        <v>392</v>
      </c>
      <c r="Z56" s="190">
        <v>409</v>
      </c>
      <c r="AA56" s="190">
        <v>15</v>
      </c>
      <c r="AB56" s="190">
        <v>169</v>
      </c>
      <c r="AC56" s="190">
        <v>184</v>
      </c>
      <c r="AD56" s="190">
        <v>12</v>
      </c>
      <c r="AE56" s="190">
        <v>164</v>
      </c>
      <c r="AF56" s="190">
        <v>176</v>
      </c>
      <c r="AG56" s="190">
        <v>1</v>
      </c>
      <c r="AH56" s="190">
        <v>4</v>
      </c>
      <c r="AI56" s="190">
        <v>5</v>
      </c>
      <c r="AJ56" s="190">
        <v>2</v>
      </c>
      <c r="AK56" s="190">
        <v>1</v>
      </c>
      <c r="AL56" s="190">
        <v>3</v>
      </c>
      <c r="AM56" s="190">
        <v>2</v>
      </c>
      <c r="AN56" s="190">
        <v>223</v>
      </c>
      <c r="AO56" s="190">
        <v>225</v>
      </c>
      <c r="AP56" s="190">
        <v>663</v>
      </c>
      <c r="AQ56" s="190">
        <v>4563</v>
      </c>
      <c r="AR56" s="190">
        <v>5226</v>
      </c>
      <c r="AS56" s="190">
        <v>663</v>
      </c>
      <c r="AT56" s="190">
        <v>4563</v>
      </c>
      <c r="AU56" s="190">
        <v>5226</v>
      </c>
      <c r="AV56" s="190">
        <v>0</v>
      </c>
      <c r="AW56" s="190">
        <v>0</v>
      </c>
      <c r="AX56" s="190">
        <v>0</v>
      </c>
      <c r="AY56" s="190">
        <v>53</v>
      </c>
      <c r="AZ56" s="190">
        <v>456</v>
      </c>
      <c r="BA56" s="190">
        <v>509</v>
      </c>
      <c r="BB56" s="190">
        <v>16</v>
      </c>
      <c r="BC56" s="190">
        <v>0</v>
      </c>
      <c r="BD56" s="190">
        <v>0</v>
      </c>
      <c r="BE56" s="190">
        <v>208</v>
      </c>
      <c r="BF56" s="190">
        <v>0</v>
      </c>
      <c r="BG56" s="190">
        <v>1</v>
      </c>
      <c r="BH56" s="190">
        <v>16</v>
      </c>
      <c r="BI56" s="190">
        <v>209</v>
      </c>
      <c r="BJ56" s="190">
        <v>225</v>
      </c>
      <c r="BK56" s="190">
        <v>-6</v>
      </c>
      <c r="BL56" s="190">
        <v>6</v>
      </c>
      <c r="BM56" s="190">
        <v>0</v>
      </c>
      <c r="BN56" s="190">
        <v>6</v>
      </c>
      <c r="BO56" s="190">
        <v>28</v>
      </c>
      <c r="BP56" s="190">
        <v>34</v>
      </c>
      <c r="BQ56" s="190">
        <v>6</v>
      </c>
      <c r="BR56" s="190">
        <v>70</v>
      </c>
      <c r="BS56" s="190">
        <v>76</v>
      </c>
      <c r="BT56" s="190">
        <v>31</v>
      </c>
      <c r="BU56" s="190">
        <v>143</v>
      </c>
      <c r="BV56" s="190">
        <v>174</v>
      </c>
      <c r="BW56" s="190">
        <v>716</v>
      </c>
      <c r="BX56" s="190">
        <v>5019</v>
      </c>
      <c r="BY56" s="190">
        <v>5735</v>
      </c>
      <c r="BZ56" s="190">
        <v>701</v>
      </c>
      <c r="CA56" s="190">
        <v>4957</v>
      </c>
      <c r="CB56" s="190">
        <v>5658</v>
      </c>
      <c r="CC56" s="190">
        <v>13040</v>
      </c>
      <c r="CD56" s="190">
        <v>6</v>
      </c>
      <c r="CE56" s="190">
        <v>72</v>
      </c>
      <c r="CF56" s="190">
        <v>15</v>
      </c>
      <c r="CG56" s="190">
        <v>49</v>
      </c>
      <c r="CH56" s="190">
        <v>64</v>
      </c>
      <c r="CI56" s="190">
        <v>15</v>
      </c>
      <c r="CJ56" s="190">
        <v>3</v>
      </c>
      <c r="CK56" s="190">
        <v>0</v>
      </c>
      <c r="CL56" s="190">
        <v>13</v>
      </c>
      <c r="CM56" s="190">
        <v>13</v>
      </c>
      <c r="CN56" s="190">
        <v>34</v>
      </c>
      <c r="CO56" s="190">
        <v>482</v>
      </c>
      <c r="CP56" s="190">
        <v>516</v>
      </c>
      <c r="CQ56" s="190">
        <v>0</v>
      </c>
      <c r="CR56" s="190">
        <v>0</v>
      </c>
      <c r="CS56" s="190">
        <v>0</v>
      </c>
      <c r="CT56" s="190">
        <v>682</v>
      </c>
      <c r="CU56" s="190">
        <v>4537</v>
      </c>
      <c r="CV56" s="190">
        <v>5219</v>
      </c>
      <c r="CW56" s="190">
        <v>42</v>
      </c>
      <c r="CX56" s="190">
        <v>185</v>
      </c>
      <c r="CY56" s="190">
        <v>227</v>
      </c>
      <c r="CZ56" s="190">
        <v>40</v>
      </c>
      <c r="DA56" s="190">
        <v>2</v>
      </c>
      <c r="DB56" s="190">
        <v>0</v>
      </c>
      <c r="DC56" s="190">
        <v>180</v>
      </c>
      <c r="DD56" s="190">
        <v>0</v>
      </c>
      <c r="DE56" s="190">
        <v>0</v>
      </c>
      <c r="DF56" s="190">
        <v>42</v>
      </c>
      <c r="DG56" s="190">
        <v>180</v>
      </c>
      <c r="DH56" s="190">
        <v>222</v>
      </c>
      <c r="DI56" s="190">
        <v>0</v>
      </c>
      <c r="DJ56" s="190">
        <v>0</v>
      </c>
      <c r="DK56" s="190">
        <v>0</v>
      </c>
      <c r="DL56" s="190">
        <v>5</v>
      </c>
      <c r="DM56" s="190">
        <v>0</v>
      </c>
      <c r="DN56" s="190">
        <v>0</v>
      </c>
      <c r="DO56" s="190">
        <v>0</v>
      </c>
      <c r="DP56" s="190">
        <v>5</v>
      </c>
      <c r="DQ56" s="190">
        <v>5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340</v>
      </c>
      <c r="C57" s="190">
        <v>45</v>
      </c>
      <c r="D57" s="190">
        <v>320</v>
      </c>
      <c r="E57" s="190">
        <v>175</v>
      </c>
      <c r="F57" s="190">
        <v>0</v>
      </c>
      <c r="G57" s="190">
        <v>7</v>
      </c>
      <c r="H57" s="190">
        <v>7</v>
      </c>
      <c r="I57" s="190">
        <v>0</v>
      </c>
      <c r="J57" s="190">
        <v>125</v>
      </c>
      <c r="K57" s="190">
        <v>125</v>
      </c>
      <c r="L57" s="190">
        <v>0</v>
      </c>
      <c r="M57" s="190">
        <v>36</v>
      </c>
      <c r="N57" s="190">
        <v>36</v>
      </c>
      <c r="O57" s="190">
        <v>0</v>
      </c>
      <c r="P57" s="190">
        <v>89</v>
      </c>
      <c r="Q57" s="190">
        <v>89</v>
      </c>
      <c r="R57" s="190">
        <v>0</v>
      </c>
      <c r="S57" s="190">
        <v>4</v>
      </c>
      <c r="T57" s="190">
        <v>4</v>
      </c>
      <c r="U57" s="190">
        <v>0</v>
      </c>
      <c r="V57" s="190">
        <v>20</v>
      </c>
      <c r="W57" s="190">
        <v>20</v>
      </c>
      <c r="X57" s="190">
        <v>4</v>
      </c>
      <c r="Y57" s="190">
        <v>315</v>
      </c>
      <c r="Z57" s="190">
        <v>319</v>
      </c>
      <c r="AA57" s="190">
        <v>4</v>
      </c>
      <c r="AB57" s="190">
        <v>126</v>
      </c>
      <c r="AC57" s="190">
        <v>130</v>
      </c>
      <c r="AD57" s="190">
        <v>4</v>
      </c>
      <c r="AE57" s="190">
        <v>121</v>
      </c>
      <c r="AF57" s="190">
        <v>125</v>
      </c>
      <c r="AG57" s="190">
        <v>0</v>
      </c>
      <c r="AH57" s="190">
        <v>2</v>
      </c>
      <c r="AI57" s="190">
        <v>2</v>
      </c>
      <c r="AJ57" s="190">
        <v>0</v>
      </c>
      <c r="AK57" s="190">
        <v>3</v>
      </c>
      <c r="AL57" s="190">
        <v>3</v>
      </c>
      <c r="AM57" s="190">
        <v>0</v>
      </c>
      <c r="AN57" s="190">
        <v>189</v>
      </c>
      <c r="AO57" s="190">
        <v>189</v>
      </c>
      <c r="AP57" s="190">
        <v>454</v>
      </c>
      <c r="AQ57" s="190">
        <v>3594</v>
      </c>
      <c r="AR57" s="190">
        <v>4048</v>
      </c>
      <c r="AS57" s="190">
        <v>454</v>
      </c>
      <c r="AT57" s="190">
        <v>3594</v>
      </c>
      <c r="AU57" s="190">
        <v>4048</v>
      </c>
      <c r="AV57" s="190">
        <v>0</v>
      </c>
      <c r="AW57" s="190">
        <v>0</v>
      </c>
      <c r="AX57" s="190">
        <v>0</v>
      </c>
      <c r="AY57" s="190">
        <v>11</v>
      </c>
      <c r="AZ57" s="190">
        <v>315</v>
      </c>
      <c r="BA57" s="190">
        <v>326</v>
      </c>
      <c r="BB57" s="190">
        <v>7</v>
      </c>
      <c r="BC57" s="190">
        <v>0</v>
      </c>
      <c r="BD57" s="190">
        <v>0</v>
      </c>
      <c r="BE57" s="190">
        <v>168</v>
      </c>
      <c r="BF57" s="190">
        <v>0</v>
      </c>
      <c r="BG57" s="190">
        <v>0</v>
      </c>
      <c r="BH57" s="190">
        <v>7</v>
      </c>
      <c r="BI57" s="190">
        <v>168</v>
      </c>
      <c r="BJ57" s="190">
        <v>175</v>
      </c>
      <c r="BK57" s="190">
        <v>-10</v>
      </c>
      <c r="BL57" s="190">
        <v>10</v>
      </c>
      <c r="BM57" s="190">
        <v>0</v>
      </c>
      <c r="BN57" s="190">
        <v>6</v>
      </c>
      <c r="BO57" s="190">
        <v>19</v>
      </c>
      <c r="BP57" s="190">
        <v>25</v>
      </c>
      <c r="BQ57" s="190">
        <v>1</v>
      </c>
      <c r="BR57" s="190">
        <v>33</v>
      </c>
      <c r="BS57" s="190">
        <v>34</v>
      </c>
      <c r="BT57" s="190">
        <v>7</v>
      </c>
      <c r="BU57" s="190">
        <v>85</v>
      </c>
      <c r="BV57" s="190">
        <v>92</v>
      </c>
      <c r="BW57" s="190">
        <v>465</v>
      </c>
      <c r="BX57" s="190">
        <v>3909</v>
      </c>
      <c r="BY57" s="190">
        <v>4374</v>
      </c>
      <c r="BZ57" s="190">
        <v>464</v>
      </c>
      <c r="CA57" s="190">
        <v>3894</v>
      </c>
      <c r="CB57" s="190">
        <v>4358</v>
      </c>
      <c r="CC57" s="190">
        <v>9422</v>
      </c>
      <c r="CD57" s="190">
        <v>0</v>
      </c>
      <c r="CE57" s="190">
        <v>15</v>
      </c>
      <c r="CF57" s="190">
        <v>1</v>
      </c>
      <c r="CG57" s="190">
        <v>13</v>
      </c>
      <c r="CH57" s="190">
        <v>14</v>
      </c>
      <c r="CI57" s="190">
        <v>1</v>
      </c>
      <c r="CJ57" s="190">
        <v>2</v>
      </c>
      <c r="CK57" s="190">
        <v>0</v>
      </c>
      <c r="CL57" s="190">
        <v>2</v>
      </c>
      <c r="CM57" s="190">
        <v>2</v>
      </c>
      <c r="CN57" s="190">
        <v>22</v>
      </c>
      <c r="CO57" s="190">
        <v>359</v>
      </c>
      <c r="CP57" s="190">
        <v>381</v>
      </c>
      <c r="CQ57" s="190">
        <v>0</v>
      </c>
      <c r="CR57" s="190">
        <v>4</v>
      </c>
      <c r="CS57" s="190">
        <v>4</v>
      </c>
      <c r="CT57" s="190">
        <v>443</v>
      </c>
      <c r="CU57" s="190">
        <v>3550</v>
      </c>
      <c r="CV57" s="190">
        <v>3993</v>
      </c>
      <c r="CW57" s="190">
        <v>24</v>
      </c>
      <c r="CX57" s="190">
        <v>139</v>
      </c>
      <c r="CY57" s="190">
        <v>163</v>
      </c>
      <c r="CZ57" s="190">
        <v>24</v>
      </c>
      <c r="DA57" s="190">
        <v>0</v>
      </c>
      <c r="DB57" s="190">
        <v>0</v>
      </c>
      <c r="DC57" s="190">
        <v>134</v>
      </c>
      <c r="DD57" s="190">
        <v>0</v>
      </c>
      <c r="DE57" s="190">
        <v>0</v>
      </c>
      <c r="DF57" s="190">
        <v>24</v>
      </c>
      <c r="DG57" s="190">
        <v>134</v>
      </c>
      <c r="DH57" s="190">
        <v>158</v>
      </c>
      <c r="DI57" s="190">
        <v>0</v>
      </c>
      <c r="DJ57" s="190">
        <v>0</v>
      </c>
      <c r="DK57" s="190">
        <v>0</v>
      </c>
      <c r="DL57" s="190">
        <v>5</v>
      </c>
      <c r="DM57" s="190">
        <v>0</v>
      </c>
      <c r="DN57" s="190">
        <v>0</v>
      </c>
      <c r="DO57" s="190">
        <v>0</v>
      </c>
      <c r="DP57" s="190">
        <v>5</v>
      </c>
      <c r="DQ57" s="190">
        <v>5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65</v>
      </c>
      <c r="C58" s="190">
        <v>3</v>
      </c>
      <c r="D58" s="190">
        <v>75</v>
      </c>
      <c r="E58" s="190">
        <v>55</v>
      </c>
      <c r="F58" s="190">
        <v>0</v>
      </c>
      <c r="G58" s="190">
        <v>4</v>
      </c>
      <c r="H58" s="190">
        <v>4</v>
      </c>
      <c r="I58" s="190">
        <v>0</v>
      </c>
      <c r="J58" s="190">
        <v>20</v>
      </c>
      <c r="K58" s="190">
        <v>20</v>
      </c>
      <c r="L58" s="190">
        <v>0</v>
      </c>
      <c r="M58" s="190">
        <v>5</v>
      </c>
      <c r="N58" s="190">
        <v>5</v>
      </c>
      <c r="O58" s="190">
        <v>0</v>
      </c>
      <c r="P58" s="190">
        <v>15</v>
      </c>
      <c r="Q58" s="190">
        <v>15</v>
      </c>
      <c r="R58" s="190">
        <v>0</v>
      </c>
      <c r="S58" s="190">
        <v>0</v>
      </c>
      <c r="T58" s="190">
        <v>0</v>
      </c>
      <c r="U58" s="190">
        <v>0</v>
      </c>
      <c r="V58" s="190">
        <v>0</v>
      </c>
      <c r="W58" s="190">
        <v>0</v>
      </c>
      <c r="X58" s="190">
        <v>0</v>
      </c>
      <c r="Y58" s="190">
        <v>75</v>
      </c>
      <c r="Z58" s="190">
        <v>75</v>
      </c>
      <c r="AA58" s="190">
        <v>0</v>
      </c>
      <c r="AB58" s="190">
        <v>43</v>
      </c>
      <c r="AC58" s="190">
        <v>43</v>
      </c>
      <c r="AD58" s="190">
        <v>0</v>
      </c>
      <c r="AE58" s="190">
        <v>28</v>
      </c>
      <c r="AF58" s="190">
        <v>28</v>
      </c>
      <c r="AG58" s="190">
        <v>0</v>
      </c>
      <c r="AH58" s="190">
        <v>8</v>
      </c>
      <c r="AI58" s="190">
        <v>8</v>
      </c>
      <c r="AJ58" s="190">
        <v>0</v>
      </c>
      <c r="AK58" s="190">
        <v>7</v>
      </c>
      <c r="AL58" s="190">
        <v>7</v>
      </c>
      <c r="AM58" s="190">
        <v>0</v>
      </c>
      <c r="AN58" s="190">
        <v>32</v>
      </c>
      <c r="AO58" s="190">
        <v>32</v>
      </c>
      <c r="AP58" s="190">
        <v>56</v>
      </c>
      <c r="AQ58" s="190">
        <v>847</v>
      </c>
      <c r="AR58" s="190">
        <v>903</v>
      </c>
      <c r="AS58" s="190">
        <v>56</v>
      </c>
      <c r="AT58" s="190">
        <v>847</v>
      </c>
      <c r="AU58" s="190">
        <v>903</v>
      </c>
      <c r="AV58" s="190">
        <v>0</v>
      </c>
      <c r="AW58" s="190">
        <v>0</v>
      </c>
      <c r="AX58" s="190">
        <v>0</v>
      </c>
      <c r="AY58" s="190">
        <v>-3</v>
      </c>
      <c r="AZ58" s="190">
        <v>96</v>
      </c>
      <c r="BA58" s="190">
        <v>93</v>
      </c>
      <c r="BB58" s="190">
        <v>0</v>
      </c>
      <c r="BC58" s="190">
        <v>0</v>
      </c>
      <c r="BD58" s="190">
        <v>0</v>
      </c>
      <c r="BE58" s="190">
        <v>55</v>
      </c>
      <c r="BF58" s="190">
        <v>0</v>
      </c>
      <c r="BG58" s="190">
        <v>0</v>
      </c>
      <c r="BH58" s="190">
        <v>0</v>
      </c>
      <c r="BI58" s="190">
        <v>55</v>
      </c>
      <c r="BJ58" s="190">
        <v>55</v>
      </c>
      <c r="BK58" s="190">
        <v>-4</v>
      </c>
      <c r="BL58" s="190">
        <v>4</v>
      </c>
      <c r="BM58" s="190">
        <v>0</v>
      </c>
      <c r="BN58" s="190">
        <v>0</v>
      </c>
      <c r="BO58" s="190">
        <v>4</v>
      </c>
      <c r="BP58" s="190">
        <v>4</v>
      </c>
      <c r="BQ58" s="190">
        <v>1</v>
      </c>
      <c r="BR58" s="190">
        <v>21</v>
      </c>
      <c r="BS58" s="190">
        <v>22</v>
      </c>
      <c r="BT58" s="190">
        <v>0</v>
      </c>
      <c r="BU58" s="190">
        <v>12</v>
      </c>
      <c r="BV58" s="190">
        <v>12</v>
      </c>
      <c r="BW58" s="190">
        <v>53</v>
      </c>
      <c r="BX58" s="190">
        <v>943</v>
      </c>
      <c r="BY58" s="190">
        <v>996</v>
      </c>
      <c r="BZ58" s="190">
        <v>53</v>
      </c>
      <c r="CA58" s="190">
        <v>942</v>
      </c>
      <c r="CB58" s="190">
        <v>995</v>
      </c>
      <c r="CC58" s="190">
        <v>1758</v>
      </c>
      <c r="CD58" s="190">
        <v>0</v>
      </c>
      <c r="CE58" s="190">
        <v>1</v>
      </c>
      <c r="CF58" s="190">
        <v>0</v>
      </c>
      <c r="CG58" s="190">
        <v>1</v>
      </c>
      <c r="CH58" s="190">
        <v>1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3</v>
      </c>
      <c r="CO58" s="190">
        <v>96</v>
      </c>
      <c r="CP58" s="190">
        <v>99</v>
      </c>
      <c r="CQ58" s="190">
        <v>0</v>
      </c>
      <c r="CR58" s="190">
        <v>0</v>
      </c>
      <c r="CS58" s="190">
        <v>0</v>
      </c>
      <c r="CT58" s="190">
        <v>50</v>
      </c>
      <c r="CU58" s="190">
        <v>847</v>
      </c>
      <c r="CV58" s="190">
        <v>897</v>
      </c>
      <c r="CW58" s="190">
        <v>1</v>
      </c>
      <c r="CX58" s="190">
        <v>22</v>
      </c>
      <c r="CY58" s="190">
        <v>23</v>
      </c>
      <c r="CZ58" s="190">
        <v>1</v>
      </c>
      <c r="DA58" s="190">
        <v>0</v>
      </c>
      <c r="DB58" s="190">
        <v>0</v>
      </c>
      <c r="DC58" s="190">
        <v>21</v>
      </c>
      <c r="DD58" s="190">
        <v>0</v>
      </c>
      <c r="DE58" s="190">
        <v>0</v>
      </c>
      <c r="DF58" s="190">
        <v>1</v>
      </c>
      <c r="DG58" s="190">
        <v>21</v>
      </c>
      <c r="DH58" s="190">
        <v>22</v>
      </c>
      <c r="DI58" s="190">
        <v>0</v>
      </c>
      <c r="DJ58" s="190">
        <v>0</v>
      </c>
      <c r="DK58" s="190">
        <v>0</v>
      </c>
      <c r="DL58" s="190">
        <v>1</v>
      </c>
      <c r="DM58" s="190">
        <v>0</v>
      </c>
      <c r="DN58" s="190">
        <v>0</v>
      </c>
      <c r="DO58" s="190">
        <v>0</v>
      </c>
      <c r="DP58" s="190">
        <v>1</v>
      </c>
      <c r="DQ58" s="190">
        <v>1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1965</v>
      </c>
      <c r="C59" s="190">
        <v>267</v>
      </c>
      <c r="D59" s="190">
        <v>1803</v>
      </c>
      <c r="E59" s="190">
        <v>1419</v>
      </c>
      <c r="F59" s="190">
        <v>4</v>
      </c>
      <c r="G59" s="190">
        <v>12</v>
      </c>
      <c r="H59" s="190">
        <v>16</v>
      </c>
      <c r="I59" s="190">
        <v>2</v>
      </c>
      <c r="J59" s="190">
        <v>338</v>
      </c>
      <c r="K59" s="190">
        <v>340</v>
      </c>
      <c r="L59" s="190">
        <v>2</v>
      </c>
      <c r="M59" s="190">
        <v>292</v>
      </c>
      <c r="N59" s="190">
        <v>294</v>
      </c>
      <c r="O59" s="190">
        <v>0</v>
      </c>
      <c r="P59" s="190">
        <v>46</v>
      </c>
      <c r="Q59" s="190">
        <v>46</v>
      </c>
      <c r="R59" s="190">
        <v>0</v>
      </c>
      <c r="S59" s="190">
        <v>10</v>
      </c>
      <c r="T59" s="190">
        <v>10</v>
      </c>
      <c r="U59" s="190">
        <v>0</v>
      </c>
      <c r="V59" s="190">
        <v>44</v>
      </c>
      <c r="W59" s="190">
        <v>44</v>
      </c>
      <c r="X59" s="190">
        <v>38</v>
      </c>
      <c r="Y59" s="190">
        <v>1285</v>
      </c>
      <c r="Z59" s="190">
        <v>1323</v>
      </c>
      <c r="AA59" s="190">
        <v>13</v>
      </c>
      <c r="AB59" s="190">
        <v>634</v>
      </c>
      <c r="AC59" s="190">
        <v>647</v>
      </c>
      <c r="AD59" s="190">
        <v>10</v>
      </c>
      <c r="AE59" s="190">
        <v>590</v>
      </c>
      <c r="AF59" s="190">
        <v>600</v>
      </c>
      <c r="AG59" s="190">
        <v>2</v>
      </c>
      <c r="AH59" s="190">
        <v>31</v>
      </c>
      <c r="AI59" s="190">
        <v>33</v>
      </c>
      <c r="AJ59" s="190">
        <v>1</v>
      </c>
      <c r="AK59" s="190">
        <v>13</v>
      </c>
      <c r="AL59" s="190">
        <v>14</v>
      </c>
      <c r="AM59" s="190">
        <v>25</v>
      </c>
      <c r="AN59" s="190">
        <v>651</v>
      </c>
      <c r="AO59" s="190">
        <v>676</v>
      </c>
      <c r="AP59" s="190">
        <v>7419</v>
      </c>
      <c r="AQ59" s="190">
        <v>44101</v>
      </c>
      <c r="AR59" s="190">
        <v>51520</v>
      </c>
      <c r="AS59" s="190">
        <v>7183</v>
      </c>
      <c r="AT59" s="190">
        <v>42161</v>
      </c>
      <c r="AU59" s="190">
        <v>49344</v>
      </c>
      <c r="AV59" s="190">
        <v>236</v>
      </c>
      <c r="AW59" s="190">
        <v>1940</v>
      </c>
      <c r="AX59" s="190">
        <v>2176</v>
      </c>
      <c r="AY59" s="190">
        <v>234</v>
      </c>
      <c r="AZ59" s="190">
        <v>3089</v>
      </c>
      <c r="BA59" s="190">
        <v>3323</v>
      </c>
      <c r="BB59" s="190">
        <v>109</v>
      </c>
      <c r="BC59" s="190">
        <v>1</v>
      </c>
      <c r="BD59" s="190">
        <v>0</v>
      </c>
      <c r="BE59" s="190">
        <v>1272</v>
      </c>
      <c r="BF59" s="190">
        <v>21</v>
      </c>
      <c r="BG59" s="190">
        <v>16</v>
      </c>
      <c r="BH59" s="190">
        <v>110</v>
      </c>
      <c r="BI59" s="190">
        <v>1309</v>
      </c>
      <c r="BJ59" s="190">
        <v>1419</v>
      </c>
      <c r="BK59" s="190">
        <v>-106</v>
      </c>
      <c r="BL59" s="190">
        <v>106</v>
      </c>
      <c r="BM59" s="190">
        <v>0</v>
      </c>
      <c r="BN59" s="190">
        <v>11</v>
      </c>
      <c r="BO59" s="190">
        <v>53</v>
      </c>
      <c r="BP59" s="190">
        <v>64</v>
      </c>
      <c r="BQ59" s="190">
        <v>40</v>
      </c>
      <c r="BR59" s="190">
        <v>508</v>
      </c>
      <c r="BS59" s="190">
        <v>548</v>
      </c>
      <c r="BT59" s="190">
        <v>179</v>
      </c>
      <c r="BU59" s="190">
        <v>1113</v>
      </c>
      <c r="BV59" s="190">
        <v>1292</v>
      </c>
      <c r="BW59" s="190">
        <v>7653</v>
      </c>
      <c r="BX59" s="190">
        <v>47190</v>
      </c>
      <c r="BY59" s="190">
        <v>54843</v>
      </c>
      <c r="BZ59" s="190">
        <v>7588</v>
      </c>
      <c r="CA59" s="190">
        <v>46213</v>
      </c>
      <c r="CB59" s="190">
        <v>53801</v>
      </c>
      <c r="CC59" s="190">
        <v>121138</v>
      </c>
      <c r="CD59" s="190">
        <v>148</v>
      </c>
      <c r="CE59" s="190">
        <v>950</v>
      </c>
      <c r="CF59" s="190">
        <v>65</v>
      </c>
      <c r="CG59" s="190">
        <v>768</v>
      </c>
      <c r="CH59" s="190">
        <v>833</v>
      </c>
      <c r="CI59" s="190">
        <v>261</v>
      </c>
      <c r="CJ59" s="190">
        <v>2</v>
      </c>
      <c r="CK59" s="190">
        <v>0</v>
      </c>
      <c r="CL59" s="190">
        <v>209</v>
      </c>
      <c r="CM59" s="190">
        <v>209</v>
      </c>
      <c r="CN59" s="190">
        <v>359</v>
      </c>
      <c r="CO59" s="190">
        <v>3608</v>
      </c>
      <c r="CP59" s="190">
        <v>3967</v>
      </c>
      <c r="CQ59" s="190">
        <v>0</v>
      </c>
      <c r="CR59" s="190">
        <v>0</v>
      </c>
      <c r="CS59" s="190">
        <v>0</v>
      </c>
      <c r="CT59" s="190">
        <v>7294</v>
      </c>
      <c r="CU59" s="190">
        <v>43582</v>
      </c>
      <c r="CV59" s="190">
        <v>50876</v>
      </c>
      <c r="CW59" s="190">
        <v>453</v>
      </c>
      <c r="CX59" s="190">
        <v>1986</v>
      </c>
      <c r="CY59" s="190">
        <v>2439</v>
      </c>
      <c r="CZ59" s="190">
        <v>448</v>
      </c>
      <c r="DA59" s="190">
        <v>1</v>
      </c>
      <c r="DB59" s="190">
        <v>0</v>
      </c>
      <c r="DC59" s="190">
        <v>1881</v>
      </c>
      <c r="DD59" s="190">
        <v>22</v>
      </c>
      <c r="DE59" s="190">
        <v>6</v>
      </c>
      <c r="DF59" s="190">
        <v>449</v>
      </c>
      <c r="DG59" s="190">
        <v>1909</v>
      </c>
      <c r="DH59" s="190">
        <v>2358</v>
      </c>
      <c r="DI59" s="190">
        <v>4</v>
      </c>
      <c r="DJ59" s="190">
        <v>0</v>
      </c>
      <c r="DK59" s="190">
        <v>0</v>
      </c>
      <c r="DL59" s="190">
        <v>77</v>
      </c>
      <c r="DM59" s="190">
        <v>0</v>
      </c>
      <c r="DN59" s="190">
        <v>0</v>
      </c>
      <c r="DO59" s="190">
        <v>4</v>
      </c>
      <c r="DP59" s="190">
        <v>77</v>
      </c>
      <c r="DQ59" s="190">
        <v>81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197</v>
      </c>
      <c r="C60" s="190">
        <v>26</v>
      </c>
      <c r="D60" s="190">
        <v>193</v>
      </c>
      <c r="E60" s="190">
        <v>128</v>
      </c>
      <c r="F60" s="190">
        <v>1</v>
      </c>
      <c r="G60" s="190">
        <v>3</v>
      </c>
      <c r="H60" s="190">
        <v>4</v>
      </c>
      <c r="I60" s="190">
        <v>0</v>
      </c>
      <c r="J60" s="190">
        <v>53</v>
      </c>
      <c r="K60" s="190">
        <v>53</v>
      </c>
      <c r="L60" s="190">
        <v>0</v>
      </c>
      <c r="M60" s="190">
        <v>19</v>
      </c>
      <c r="N60" s="190">
        <v>19</v>
      </c>
      <c r="O60" s="190">
        <v>0</v>
      </c>
      <c r="P60" s="190">
        <v>34</v>
      </c>
      <c r="Q60" s="190">
        <v>34</v>
      </c>
      <c r="R60" s="190">
        <v>0</v>
      </c>
      <c r="S60" s="190">
        <v>1</v>
      </c>
      <c r="T60" s="190">
        <v>1</v>
      </c>
      <c r="U60" s="190">
        <v>0</v>
      </c>
      <c r="V60" s="190">
        <v>12</v>
      </c>
      <c r="W60" s="190">
        <v>12</v>
      </c>
      <c r="X60" s="190">
        <v>2</v>
      </c>
      <c r="Y60" s="190">
        <v>191</v>
      </c>
      <c r="Z60" s="190">
        <v>193</v>
      </c>
      <c r="AA60" s="190">
        <v>1</v>
      </c>
      <c r="AB60" s="190">
        <v>90</v>
      </c>
      <c r="AC60" s="190">
        <v>91</v>
      </c>
      <c r="AD60" s="190">
        <v>1</v>
      </c>
      <c r="AE60" s="190">
        <v>85</v>
      </c>
      <c r="AF60" s="190">
        <v>86</v>
      </c>
      <c r="AG60" s="190">
        <v>0</v>
      </c>
      <c r="AH60" s="190">
        <v>3</v>
      </c>
      <c r="AI60" s="190">
        <v>3</v>
      </c>
      <c r="AJ60" s="190">
        <v>0</v>
      </c>
      <c r="AK60" s="190">
        <v>2</v>
      </c>
      <c r="AL60" s="190">
        <v>2</v>
      </c>
      <c r="AM60" s="190">
        <v>1</v>
      </c>
      <c r="AN60" s="190">
        <v>101</v>
      </c>
      <c r="AO60" s="190">
        <v>102</v>
      </c>
      <c r="AP60" s="190">
        <v>263</v>
      </c>
      <c r="AQ60" s="190">
        <v>2465</v>
      </c>
      <c r="AR60" s="190">
        <v>2728</v>
      </c>
      <c r="AS60" s="190">
        <v>263</v>
      </c>
      <c r="AT60" s="190">
        <v>2465</v>
      </c>
      <c r="AU60" s="190">
        <v>2728</v>
      </c>
      <c r="AV60" s="190">
        <v>0</v>
      </c>
      <c r="AW60" s="190">
        <v>0</v>
      </c>
      <c r="AX60" s="190">
        <v>0</v>
      </c>
      <c r="AY60" s="190">
        <v>15</v>
      </c>
      <c r="AZ60" s="190">
        <v>215</v>
      </c>
      <c r="BA60" s="190">
        <v>230</v>
      </c>
      <c r="BB60" s="190">
        <v>5</v>
      </c>
      <c r="BC60" s="190">
        <v>0</v>
      </c>
      <c r="BD60" s="190">
        <v>0</v>
      </c>
      <c r="BE60" s="190">
        <v>123</v>
      </c>
      <c r="BF60" s="190">
        <v>0</v>
      </c>
      <c r="BG60" s="190">
        <v>0</v>
      </c>
      <c r="BH60" s="190">
        <v>5</v>
      </c>
      <c r="BI60" s="190">
        <v>123</v>
      </c>
      <c r="BJ60" s="190">
        <v>128</v>
      </c>
      <c r="BK60" s="190">
        <v>3</v>
      </c>
      <c r="BL60" s="190">
        <v>-3</v>
      </c>
      <c r="BM60" s="190">
        <v>0</v>
      </c>
      <c r="BN60" s="190">
        <v>2</v>
      </c>
      <c r="BO60" s="190">
        <v>12</v>
      </c>
      <c r="BP60" s="190">
        <v>14</v>
      </c>
      <c r="BQ60" s="190">
        <v>0</v>
      </c>
      <c r="BR60" s="190">
        <v>39</v>
      </c>
      <c r="BS60" s="190">
        <v>39</v>
      </c>
      <c r="BT60" s="190">
        <v>5</v>
      </c>
      <c r="BU60" s="190">
        <v>44</v>
      </c>
      <c r="BV60" s="190">
        <v>49</v>
      </c>
      <c r="BW60" s="190">
        <v>278</v>
      </c>
      <c r="BX60" s="190">
        <v>2680</v>
      </c>
      <c r="BY60" s="190">
        <v>2958</v>
      </c>
      <c r="BZ60" s="190">
        <v>277</v>
      </c>
      <c r="CA60" s="190">
        <v>2676</v>
      </c>
      <c r="CB60" s="190">
        <v>2953</v>
      </c>
      <c r="CC60" s="190">
        <v>5193</v>
      </c>
      <c r="CD60" s="190">
        <v>2</v>
      </c>
      <c r="CE60" s="190">
        <v>2</v>
      </c>
      <c r="CF60" s="190">
        <v>1</v>
      </c>
      <c r="CG60" s="190">
        <v>2</v>
      </c>
      <c r="CH60" s="190">
        <v>3</v>
      </c>
      <c r="CI60" s="190">
        <v>4</v>
      </c>
      <c r="CJ60" s="190">
        <v>0</v>
      </c>
      <c r="CK60" s="190">
        <v>0</v>
      </c>
      <c r="CL60" s="190">
        <v>2</v>
      </c>
      <c r="CM60" s="190">
        <v>2</v>
      </c>
      <c r="CN60" s="190">
        <v>16</v>
      </c>
      <c r="CO60" s="190">
        <v>220</v>
      </c>
      <c r="CP60" s="190">
        <v>236</v>
      </c>
      <c r="CQ60" s="190">
        <v>13</v>
      </c>
      <c r="CR60" s="190">
        <v>188</v>
      </c>
      <c r="CS60" s="190">
        <v>201</v>
      </c>
      <c r="CT60" s="190">
        <v>262</v>
      </c>
      <c r="CU60" s="190">
        <v>2460</v>
      </c>
      <c r="CV60" s="190">
        <v>2722</v>
      </c>
      <c r="CW60" s="190">
        <v>19</v>
      </c>
      <c r="CX60" s="190">
        <v>106</v>
      </c>
      <c r="CY60" s="190">
        <v>125</v>
      </c>
      <c r="CZ60" s="190">
        <v>19</v>
      </c>
      <c r="DA60" s="190">
        <v>0</v>
      </c>
      <c r="DB60" s="190">
        <v>0</v>
      </c>
      <c r="DC60" s="190">
        <v>105</v>
      </c>
      <c r="DD60" s="190">
        <v>0</v>
      </c>
      <c r="DE60" s="190">
        <v>0</v>
      </c>
      <c r="DF60" s="190">
        <v>19</v>
      </c>
      <c r="DG60" s="190">
        <v>105</v>
      </c>
      <c r="DH60" s="190">
        <v>124</v>
      </c>
      <c r="DI60" s="190">
        <v>0</v>
      </c>
      <c r="DJ60" s="190">
        <v>0</v>
      </c>
      <c r="DK60" s="190">
        <v>0</v>
      </c>
      <c r="DL60" s="190">
        <v>1</v>
      </c>
      <c r="DM60" s="190">
        <v>0</v>
      </c>
      <c r="DN60" s="190">
        <v>0</v>
      </c>
      <c r="DO60" s="190">
        <v>0</v>
      </c>
      <c r="DP60" s="190">
        <v>1</v>
      </c>
      <c r="DQ60" s="190">
        <v>1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2342</v>
      </c>
      <c r="C61" s="190">
        <v>404</v>
      </c>
      <c r="D61" s="190">
        <v>1775</v>
      </c>
      <c r="E61" s="190">
        <v>1193</v>
      </c>
      <c r="F61" s="190">
        <v>1</v>
      </c>
      <c r="G61" s="190">
        <v>12</v>
      </c>
      <c r="H61" s="190">
        <v>13</v>
      </c>
      <c r="I61" s="190">
        <v>0</v>
      </c>
      <c r="J61" s="190">
        <v>498</v>
      </c>
      <c r="K61" s="190">
        <v>498</v>
      </c>
      <c r="L61" s="190">
        <v>0</v>
      </c>
      <c r="M61" s="190">
        <v>188</v>
      </c>
      <c r="N61" s="190">
        <v>188</v>
      </c>
      <c r="O61" s="190">
        <v>0</v>
      </c>
      <c r="P61" s="190">
        <v>310</v>
      </c>
      <c r="Q61" s="190">
        <v>310</v>
      </c>
      <c r="R61" s="190">
        <v>0</v>
      </c>
      <c r="S61" s="190">
        <v>27</v>
      </c>
      <c r="T61" s="190">
        <v>27</v>
      </c>
      <c r="U61" s="190">
        <v>0</v>
      </c>
      <c r="V61" s="190">
        <v>84</v>
      </c>
      <c r="W61" s="190">
        <v>84</v>
      </c>
      <c r="X61" s="190">
        <v>25</v>
      </c>
      <c r="Y61" s="190">
        <v>1350</v>
      </c>
      <c r="Z61" s="190">
        <v>1375</v>
      </c>
      <c r="AA61" s="190">
        <v>14</v>
      </c>
      <c r="AB61" s="190">
        <v>742</v>
      </c>
      <c r="AC61" s="190">
        <v>756</v>
      </c>
      <c r="AD61" s="190">
        <v>14</v>
      </c>
      <c r="AE61" s="190">
        <v>718</v>
      </c>
      <c r="AF61" s="190">
        <v>732</v>
      </c>
      <c r="AG61" s="190">
        <v>0</v>
      </c>
      <c r="AH61" s="190">
        <v>11</v>
      </c>
      <c r="AI61" s="190">
        <v>11</v>
      </c>
      <c r="AJ61" s="190">
        <v>0</v>
      </c>
      <c r="AK61" s="190">
        <v>13</v>
      </c>
      <c r="AL61" s="190">
        <v>13</v>
      </c>
      <c r="AM61" s="190">
        <v>11</v>
      </c>
      <c r="AN61" s="190">
        <v>608</v>
      </c>
      <c r="AO61" s="190">
        <v>619</v>
      </c>
      <c r="AP61" s="190">
        <v>2678</v>
      </c>
      <c r="AQ61" s="190">
        <v>30923</v>
      </c>
      <c r="AR61" s="190">
        <v>33601</v>
      </c>
      <c r="AS61" s="190">
        <v>2683</v>
      </c>
      <c r="AT61" s="190">
        <v>30831</v>
      </c>
      <c r="AU61" s="190">
        <v>33514</v>
      </c>
      <c r="AV61" s="190">
        <v>-5</v>
      </c>
      <c r="AW61" s="190">
        <v>92</v>
      </c>
      <c r="AX61" s="190">
        <v>87</v>
      </c>
      <c r="AY61" s="190">
        <v>37</v>
      </c>
      <c r="AZ61" s="190">
        <v>2473</v>
      </c>
      <c r="BA61" s="190">
        <v>2510</v>
      </c>
      <c r="BB61" s="190">
        <v>46</v>
      </c>
      <c r="BC61" s="190">
        <v>1</v>
      </c>
      <c r="BD61" s="190">
        <v>0</v>
      </c>
      <c r="BE61" s="190">
        <v>1118</v>
      </c>
      <c r="BF61" s="190">
        <v>14</v>
      </c>
      <c r="BG61" s="190">
        <v>14</v>
      </c>
      <c r="BH61" s="190">
        <v>47</v>
      </c>
      <c r="BI61" s="190">
        <v>1146</v>
      </c>
      <c r="BJ61" s="190">
        <v>1193</v>
      </c>
      <c r="BK61" s="190">
        <v>-70</v>
      </c>
      <c r="BL61" s="190">
        <v>70</v>
      </c>
      <c r="BM61" s="190">
        <v>0</v>
      </c>
      <c r="BN61" s="190">
        <v>1</v>
      </c>
      <c r="BO61" s="190">
        <v>28</v>
      </c>
      <c r="BP61" s="190">
        <v>29</v>
      </c>
      <c r="BQ61" s="190">
        <v>14</v>
      </c>
      <c r="BR61" s="190">
        <v>395</v>
      </c>
      <c r="BS61" s="190">
        <v>409</v>
      </c>
      <c r="BT61" s="190">
        <v>45</v>
      </c>
      <c r="BU61" s="190">
        <v>834</v>
      </c>
      <c r="BV61" s="190">
        <v>879</v>
      </c>
      <c r="BW61" s="190">
        <v>2715</v>
      </c>
      <c r="BX61" s="190">
        <v>33396</v>
      </c>
      <c r="BY61" s="190">
        <v>36111</v>
      </c>
      <c r="BZ61" s="190">
        <v>2695</v>
      </c>
      <c r="CA61" s="190">
        <v>32845</v>
      </c>
      <c r="CB61" s="190">
        <v>35540</v>
      </c>
      <c r="CC61" s="190">
        <v>72499</v>
      </c>
      <c r="CD61" s="190">
        <v>52</v>
      </c>
      <c r="CE61" s="190">
        <v>597</v>
      </c>
      <c r="CF61" s="190">
        <v>20</v>
      </c>
      <c r="CG61" s="190">
        <v>323</v>
      </c>
      <c r="CH61" s="190">
        <v>343</v>
      </c>
      <c r="CI61" s="190">
        <v>299</v>
      </c>
      <c r="CJ61" s="190">
        <v>6</v>
      </c>
      <c r="CK61" s="190">
        <v>0</v>
      </c>
      <c r="CL61" s="190">
        <v>228</v>
      </c>
      <c r="CM61" s="190">
        <v>228</v>
      </c>
      <c r="CN61" s="190">
        <v>136</v>
      </c>
      <c r="CO61" s="190">
        <v>2966</v>
      </c>
      <c r="CP61" s="190">
        <v>3102</v>
      </c>
      <c r="CQ61" s="190">
        <v>0</v>
      </c>
      <c r="CR61" s="190">
        <v>0</v>
      </c>
      <c r="CS61" s="190">
        <v>0</v>
      </c>
      <c r="CT61" s="190">
        <v>2579</v>
      </c>
      <c r="CU61" s="190">
        <v>30430</v>
      </c>
      <c r="CV61" s="190">
        <v>33009</v>
      </c>
      <c r="CW61" s="190">
        <v>147</v>
      </c>
      <c r="CX61" s="190">
        <v>1243</v>
      </c>
      <c r="CY61" s="190">
        <v>1390</v>
      </c>
      <c r="CZ61" s="190">
        <v>144</v>
      </c>
      <c r="DA61" s="190">
        <v>1</v>
      </c>
      <c r="DB61" s="190">
        <v>0</v>
      </c>
      <c r="DC61" s="190">
        <v>1162</v>
      </c>
      <c r="DD61" s="190">
        <v>22</v>
      </c>
      <c r="DE61" s="190">
        <v>5</v>
      </c>
      <c r="DF61" s="190">
        <v>145</v>
      </c>
      <c r="DG61" s="190">
        <v>1189</v>
      </c>
      <c r="DH61" s="190">
        <v>1334</v>
      </c>
      <c r="DI61" s="190">
        <v>2</v>
      </c>
      <c r="DJ61" s="190">
        <v>0</v>
      </c>
      <c r="DK61" s="190">
        <v>0</v>
      </c>
      <c r="DL61" s="190">
        <v>52</v>
      </c>
      <c r="DM61" s="190">
        <v>2</v>
      </c>
      <c r="DN61" s="190">
        <v>0</v>
      </c>
      <c r="DO61" s="190">
        <v>2</v>
      </c>
      <c r="DP61" s="190">
        <v>54</v>
      </c>
      <c r="DQ61" s="190">
        <v>56</v>
      </c>
      <c r="DR61" s="190">
        <v>0</v>
      </c>
      <c r="DS61" s="190">
        <v>1</v>
      </c>
      <c r="DT61" s="191">
        <v>1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633</v>
      </c>
      <c r="C62" s="190">
        <v>37</v>
      </c>
      <c r="D62" s="190">
        <v>544</v>
      </c>
      <c r="E62" s="190">
        <v>370</v>
      </c>
      <c r="F62" s="190">
        <v>1</v>
      </c>
      <c r="G62" s="190">
        <v>20</v>
      </c>
      <c r="H62" s="190">
        <v>21</v>
      </c>
      <c r="I62" s="190">
        <v>0</v>
      </c>
      <c r="J62" s="190">
        <v>144</v>
      </c>
      <c r="K62" s="190">
        <v>144</v>
      </c>
      <c r="L62" s="190">
        <v>0</v>
      </c>
      <c r="M62" s="190">
        <v>45</v>
      </c>
      <c r="N62" s="190">
        <v>45</v>
      </c>
      <c r="O62" s="190">
        <v>0</v>
      </c>
      <c r="P62" s="190">
        <v>99</v>
      </c>
      <c r="Q62" s="190">
        <v>99</v>
      </c>
      <c r="R62" s="190">
        <v>0</v>
      </c>
      <c r="S62" s="190">
        <v>24</v>
      </c>
      <c r="T62" s="190">
        <v>24</v>
      </c>
      <c r="U62" s="190">
        <v>0</v>
      </c>
      <c r="V62" s="190">
        <v>30</v>
      </c>
      <c r="W62" s="190">
        <v>30</v>
      </c>
      <c r="X62" s="190">
        <v>3</v>
      </c>
      <c r="Y62" s="190">
        <v>221</v>
      </c>
      <c r="Z62" s="190">
        <v>224</v>
      </c>
      <c r="AA62" s="190">
        <v>3</v>
      </c>
      <c r="AB62" s="190">
        <v>221</v>
      </c>
      <c r="AC62" s="190">
        <v>224</v>
      </c>
      <c r="AD62" s="190">
        <v>2</v>
      </c>
      <c r="AE62" s="190">
        <v>206</v>
      </c>
      <c r="AF62" s="190">
        <v>208</v>
      </c>
      <c r="AG62" s="190">
        <v>1</v>
      </c>
      <c r="AH62" s="190">
        <v>11</v>
      </c>
      <c r="AI62" s="190">
        <v>12</v>
      </c>
      <c r="AJ62" s="190">
        <v>0</v>
      </c>
      <c r="AK62" s="190">
        <v>4</v>
      </c>
      <c r="AL62" s="190">
        <v>4</v>
      </c>
      <c r="AM62" s="190">
        <v>0</v>
      </c>
      <c r="AN62" s="190">
        <v>0</v>
      </c>
      <c r="AO62" s="190">
        <v>0</v>
      </c>
      <c r="AP62" s="190">
        <v>808</v>
      </c>
      <c r="AQ62" s="190">
        <v>8354</v>
      </c>
      <c r="AR62" s="190">
        <v>9162</v>
      </c>
      <c r="AS62" s="190">
        <v>807</v>
      </c>
      <c r="AT62" s="190">
        <v>8377</v>
      </c>
      <c r="AU62" s="190">
        <v>9184</v>
      </c>
      <c r="AV62" s="190">
        <v>1</v>
      </c>
      <c r="AW62" s="190">
        <v>-23</v>
      </c>
      <c r="AX62" s="190">
        <v>-22</v>
      </c>
      <c r="AY62" s="190">
        <v>35</v>
      </c>
      <c r="AZ62" s="190">
        <v>855</v>
      </c>
      <c r="BA62" s="190">
        <v>890</v>
      </c>
      <c r="BB62" s="190">
        <v>19</v>
      </c>
      <c r="BC62" s="190">
        <v>0</v>
      </c>
      <c r="BD62" s="190">
        <v>0</v>
      </c>
      <c r="BE62" s="190">
        <v>346</v>
      </c>
      <c r="BF62" s="190">
        <v>3</v>
      </c>
      <c r="BG62" s="190">
        <v>2</v>
      </c>
      <c r="BH62" s="190">
        <v>19</v>
      </c>
      <c r="BI62" s="190">
        <v>351</v>
      </c>
      <c r="BJ62" s="190">
        <v>370</v>
      </c>
      <c r="BK62" s="190">
        <v>-19</v>
      </c>
      <c r="BL62" s="190">
        <v>19</v>
      </c>
      <c r="BM62" s="190">
        <v>0</v>
      </c>
      <c r="BN62" s="190">
        <v>3</v>
      </c>
      <c r="BO62" s="190">
        <v>25</v>
      </c>
      <c r="BP62" s="190">
        <v>28</v>
      </c>
      <c r="BQ62" s="190">
        <v>5</v>
      </c>
      <c r="BR62" s="190">
        <v>114</v>
      </c>
      <c r="BS62" s="190">
        <v>119</v>
      </c>
      <c r="BT62" s="190">
        <v>27</v>
      </c>
      <c r="BU62" s="190">
        <v>346</v>
      </c>
      <c r="BV62" s="190">
        <v>373</v>
      </c>
      <c r="BW62" s="190">
        <v>843</v>
      </c>
      <c r="BX62" s="190">
        <v>9209</v>
      </c>
      <c r="BY62" s="190">
        <v>10052</v>
      </c>
      <c r="BZ62" s="190">
        <v>802</v>
      </c>
      <c r="CA62" s="190">
        <v>9010</v>
      </c>
      <c r="CB62" s="190">
        <v>9812</v>
      </c>
      <c r="CC62" s="190">
        <v>19164</v>
      </c>
      <c r="CD62" s="190">
        <v>10</v>
      </c>
      <c r="CE62" s="190">
        <v>261</v>
      </c>
      <c r="CF62" s="190">
        <v>39</v>
      </c>
      <c r="CG62" s="190">
        <v>139</v>
      </c>
      <c r="CH62" s="190">
        <v>178</v>
      </c>
      <c r="CI62" s="190">
        <v>88</v>
      </c>
      <c r="CJ62" s="190">
        <v>0</v>
      </c>
      <c r="CK62" s="190">
        <v>2</v>
      </c>
      <c r="CL62" s="190">
        <v>60</v>
      </c>
      <c r="CM62" s="190">
        <v>62</v>
      </c>
      <c r="CN62" s="190">
        <v>62</v>
      </c>
      <c r="CO62" s="190">
        <v>834</v>
      </c>
      <c r="CP62" s="190">
        <v>896</v>
      </c>
      <c r="CQ62" s="190">
        <v>0</v>
      </c>
      <c r="CR62" s="190">
        <v>0</v>
      </c>
      <c r="CS62" s="190">
        <v>0</v>
      </c>
      <c r="CT62" s="190">
        <v>781</v>
      </c>
      <c r="CU62" s="190">
        <v>8375</v>
      </c>
      <c r="CV62" s="190">
        <v>9156</v>
      </c>
      <c r="CW62" s="190">
        <v>48</v>
      </c>
      <c r="CX62" s="190">
        <v>443</v>
      </c>
      <c r="CY62" s="190">
        <v>491</v>
      </c>
      <c r="CZ62" s="190">
        <v>44</v>
      </c>
      <c r="DA62" s="190">
        <v>3</v>
      </c>
      <c r="DB62" s="190">
        <v>0</v>
      </c>
      <c r="DC62" s="190">
        <v>360</v>
      </c>
      <c r="DD62" s="190">
        <v>8</v>
      </c>
      <c r="DE62" s="190">
        <v>2</v>
      </c>
      <c r="DF62" s="190">
        <v>47</v>
      </c>
      <c r="DG62" s="190">
        <v>370</v>
      </c>
      <c r="DH62" s="190">
        <v>417</v>
      </c>
      <c r="DI62" s="190">
        <v>1</v>
      </c>
      <c r="DJ62" s="190">
        <v>0</v>
      </c>
      <c r="DK62" s="190">
        <v>0</v>
      </c>
      <c r="DL62" s="190">
        <v>72</v>
      </c>
      <c r="DM62" s="190">
        <v>0</v>
      </c>
      <c r="DN62" s="190">
        <v>1</v>
      </c>
      <c r="DO62" s="190">
        <v>1</v>
      </c>
      <c r="DP62" s="190">
        <v>73</v>
      </c>
      <c r="DQ62" s="190">
        <v>74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408</v>
      </c>
      <c r="C63" s="195">
        <v>48</v>
      </c>
      <c r="D63" s="195">
        <v>397</v>
      </c>
      <c r="E63" s="195">
        <v>276</v>
      </c>
      <c r="F63" s="195">
        <v>0</v>
      </c>
      <c r="G63" s="195">
        <v>3</v>
      </c>
      <c r="H63" s="195">
        <v>3</v>
      </c>
      <c r="I63" s="195">
        <v>1</v>
      </c>
      <c r="J63" s="195">
        <v>111</v>
      </c>
      <c r="K63" s="195">
        <v>112</v>
      </c>
      <c r="L63" s="195">
        <v>1</v>
      </c>
      <c r="M63" s="195">
        <v>65</v>
      </c>
      <c r="N63" s="195">
        <v>66</v>
      </c>
      <c r="O63" s="195">
        <v>0</v>
      </c>
      <c r="P63" s="195">
        <v>46</v>
      </c>
      <c r="Q63" s="195">
        <v>46</v>
      </c>
      <c r="R63" s="195">
        <v>0</v>
      </c>
      <c r="S63" s="195">
        <v>0</v>
      </c>
      <c r="T63" s="195">
        <v>0</v>
      </c>
      <c r="U63" s="195">
        <v>0</v>
      </c>
      <c r="V63" s="195">
        <v>9</v>
      </c>
      <c r="W63" s="195">
        <v>9</v>
      </c>
      <c r="X63" s="195">
        <v>9</v>
      </c>
      <c r="Y63" s="195">
        <v>388</v>
      </c>
      <c r="Z63" s="195">
        <v>397</v>
      </c>
      <c r="AA63" s="195">
        <v>6</v>
      </c>
      <c r="AB63" s="195">
        <v>216</v>
      </c>
      <c r="AC63" s="195">
        <v>222</v>
      </c>
      <c r="AD63" s="195">
        <v>6</v>
      </c>
      <c r="AE63" s="195">
        <v>210</v>
      </c>
      <c r="AF63" s="195">
        <v>216</v>
      </c>
      <c r="AG63" s="195">
        <v>0</v>
      </c>
      <c r="AH63" s="195">
        <v>4</v>
      </c>
      <c r="AI63" s="195">
        <v>4</v>
      </c>
      <c r="AJ63" s="195">
        <v>0</v>
      </c>
      <c r="AK63" s="195">
        <v>2</v>
      </c>
      <c r="AL63" s="195">
        <v>2</v>
      </c>
      <c r="AM63" s="195">
        <v>3</v>
      </c>
      <c r="AN63" s="195">
        <v>172</v>
      </c>
      <c r="AO63" s="195">
        <v>175</v>
      </c>
      <c r="AP63" s="195">
        <v>763</v>
      </c>
      <c r="AQ63" s="195">
        <v>4841</v>
      </c>
      <c r="AR63" s="195">
        <v>5604</v>
      </c>
      <c r="AS63" s="195">
        <v>763</v>
      </c>
      <c r="AT63" s="195">
        <v>4842</v>
      </c>
      <c r="AU63" s="195">
        <v>5605</v>
      </c>
      <c r="AV63" s="195">
        <v>0</v>
      </c>
      <c r="AW63" s="195">
        <v>-1</v>
      </c>
      <c r="AX63" s="195">
        <v>-1</v>
      </c>
      <c r="AY63" s="195">
        <v>17</v>
      </c>
      <c r="AZ63" s="195">
        <v>469</v>
      </c>
      <c r="BA63" s="195">
        <v>486</v>
      </c>
      <c r="BB63" s="195">
        <v>10</v>
      </c>
      <c r="BC63" s="195">
        <v>0</v>
      </c>
      <c r="BD63" s="195">
        <v>0</v>
      </c>
      <c r="BE63" s="195">
        <v>263</v>
      </c>
      <c r="BF63" s="195">
        <v>2</v>
      </c>
      <c r="BG63" s="195">
        <v>1</v>
      </c>
      <c r="BH63" s="195">
        <v>10</v>
      </c>
      <c r="BI63" s="195">
        <v>266</v>
      </c>
      <c r="BJ63" s="195">
        <v>276</v>
      </c>
      <c r="BK63" s="195">
        <v>-7</v>
      </c>
      <c r="BL63" s="195">
        <v>7</v>
      </c>
      <c r="BM63" s="195">
        <v>0</v>
      </c>
      <c r="BN63" s="195">
        <v>0</v>
      </c>
      <c r="BO63" s="195">
        <v>34</v>
      </c>
      <c r="BP63" s="195">
        <v>34</v>
      </c>
      <c r="BQ63" s="195">
        <v>1</v>
      </c>
      <c r="BR63" s="195">
        <v>28</v>
      </c>
      <c r="BS63" s="195">
        <v>29</v>
      </c>
      <c r="BT63" s="195">
        <v>13</v>
      </c>
      <c r="BU63" s="195">
        <v>134</v>
      </c>
      <c r="BV63" s="195">
        <v>147</v>
      </c>
      <c r="BW63" s="195">
        <v>780</v>
      </c>
      <c r="BX63" s="195">
        <v>5310</v>
      </c>
      <c r="BY63" s="195">
        <v>6090</v>
      </c>
      <c r="BZ63" s="195">
        <v>775</v>
      </c>
      <c r="CA63" s="195">
        <v>5273</v>
      </c>
      <c r="CB63" s="195">
        <v>6048</v>
      </c>
      <c r="CC63" s="195">
        <v>12988</v>
      </c>
      <c r="CD63" s="195">
        <v>2</v>
      </c>
      <c r="CE63" s="195">
        <v>44</v>
      </c>
      <c r="CF63" s="195">
        <v>5</v>
      </c>
      <c r="CG63" s="195">
        <v>29</v>
      </c>
      <c r="CH63" s="195">
        <v>34</v>
      </c>
      <c r="CI63" s="195">
        <v>9</v>
      </c>
      <c r="CJ63" s="195">
        <v>0</v>
      </c>
      <c r="CK63" s="195">
        <v>0</v>
      </c>
      <c r="CL63" s="195">
        <v>8</v>
      </c>
      <c r="CM63" s="195">
        <v>8</v>
      </c>
      <c r="CN63" s="195">
        <v>31</v>
      </c>
      <c r="CO63" s="195">
        <v>503</v>
      </c>
      <c r="CP63" s="195">
        <v>534</v>
      </c>
      <c r="CQ63" s="195">
        <v>0</v>
      </c>
      <c r="CR63" s="195">
        <v>16</v>
      </c>
      <c r="CS63" s="195">
        <v>16</v>
      </c>
      <c r="CT63" s="195">
        <v>749</v>
      </c>
      <c r="CU63" s="195">
        <v>4807</v>
      </c>
      <c r="CV63" s="195">
        <v>5556</v>
      </c>
      <c r="CW63" s="195">
        <v>46</v>
      </c>
      <c r="CX63" s="195">
        <v>234</v>
      </c>
      <c r="CY63" s="195">
        <v>280</v>
      </c>
      <c r="CZ63" s="195">
        <v>45</v>
      </c>
      <c r="DA63" s="195">
        <v>1</v>
      </c>
      <c r="DB63" s="195">
        <v>0</v>
      </c>
      <c r="DC63" s="195">
        <v>222</v>
      </c>
      <c r="DD63" s="195">
        <v>1</v>
      </c>
      <c r="DE63" s="195">
        <v>0</v>
      </c>
      <c r="DF63" s="195">
        <v>46</v>
      </c>
      <c r="DG63" s="195">
        <v>223</v>
      </c>
      <c r="DH63" s="195">
        <v>269</v>
      </c>
      <c r="DI63" s="195">
        <v>0</v>
      </c>
      <c r="DJ63" s="195">
        <v>0</v>
      </c>
      <c r="DK63" s="195">
        <v>0</v>
      </c>
      <c r="DL63" s="195">
        <v>11</v>
      </c>
      <c r="DM63" s="195">
        <v>0</v>
      </c>
      <c r="DN63" s="195">
        <v>0</v>
      </c>
      <c r="DO63" s="195">
        <v>0</v>
      </c>
      <c r="DP63" s="195">
        <v>11</v>
      </c>
      <c r="DQ63" s="195">
        <v>11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198" t="s">
        <v>330</v>
      </c>
      <c r="B64" s="199">
        <f>SUBTOTAL(109,Apr17Data[Cell 1])</f>
        <v>116997</v>
      </c>
      <c r="C64" s="199">
        <f>SUBTOTAL(109,Apr17Data[Cell 2])</f>
        <v>28039</v>
      </c>
      <c r="D64" s="199">
        <f>SUBTOTAL(109,Apr17Data[Cell 3])</f>
        <v>113927</v>
      </c>
      <c r="E64" s="199">
        <f>SUBTOTAL(109,Apr17Data[Cell 4])</f>
        <v>77567</v>
      </c>
      <c r="F64" s="199">
        <f>SUBTOTAL(109,Apr17Data[Cell 5])</f>
        <v>105</v>
      </c>
      <c r="G64" s="199">
        <f>SUBTOTAL(109,Apr17Data[Cell 6])</f>
        <v>1021</v>
      </c>
      <c r="H64" s="199">
        <f>SUBTOTAL(109,Apr17Data[Cell 7])</f>
        <v>1126</v>
      </c>
      <c r="I64" s="199">
        <f>SUBTOTAL(109,Apr17Data[Cell 8])</f>
        <v>110</v>
      </c>
      <c r="J64" s="199">
        <f>SUBTOTAL(109,Apr17Data[Cell 9])</f>
        <v>31671</v>
      </c>
      <c r="K64" s="199">
        <f>SUBTOTAL(109,Apr17Data[Cell 10])</f>
        <v>31781</v>
      </c>
      <c r="L64" s="199">
        <f>SUBTOTAL(109,Apr17Data[Cell 11])</f>
        <v>58</v>
      </c>
      <c r="M64" s="199">
        <f>SUBTOTAL(109,Apr17Data[Cell 12])</f>
        <v>15770</v>
      </c>
      <c r="N64" s="199">
        <f>SUBTOTAL(109,Apr17Data[Cell 13])</f>
        <v>15828</v>
      </c>
      <c r="O64" s="199">
        <f>SUBTOTAL(109,Apr17Data[Cell 14])</f>
        <v>52</v>
      </c>
      <c r="P64" s="199">
        <f>SUBTOTAL(109,Apr17Data[Cell 15])</f>
        <v>15901</v>
      </c>
      <c r="Q64" s="199">
        <f>SUBTOTAL(109,Apr17Data[Cell 16])</f>
        <v>15953</v>
      </c>
      <c r="R64" s="199">
        <f>SUBTOTAL(109,Apr17Data[Cell 17])</f>
        <v>5</v>
      </c>
      <c r="S64" s="199">
        <f>SUBTOTAL(109,Apr17Data[Cell 18])</f>
        <v>1243</v>
      </c>
      <c r="T64" s="199">
        <f>SUBTOTAL(109,Apr17Data[Cell 19])</f>
        <v>1248</v>
      </c>
      <c r="U64" s="199">
        <f>SUBTOTAL(109,Apr17Data[Cell 20])</f>
        <v>37</v>
      </c>
      <c r="V64" s="199">
        <f>SUBTOTAL(109,Apr17Data[Cell 21])</f>
        <v>4542</v>
      </c>
      <c r="W64" s="199">
        <f>SUBTOTAL(109,Apr17Data[Cell 22])</f>
        <v>4579</v>
      </c>
      <c r="X64" s="199">
        <f>SUBTOTAL(109,Apr17Data[Cell 23])</f>
        <v>3998</v>
      </c>
      <c r="Y64" s="199">
        <f>SUBTOTAL(109,Apr17Data[Cell 24])</f>
        <v>97539</v>
      </c>
      <c r="Z64" s="199">
        <f>SUBTOTAL(109,Apr17Data[Cell 25])</f>
        <v>101537</v>
      </c>
      <c r="AA64" s="199">
        <f>SUBTOTAL(109,Apr17Data[Cell 26])</f>
        <v>2666</v>
      </c>
      <c r="AB64" s="199">
        <f>SUBTOTAL(109,Apr17Data[Cell 27])</f>
        <v>44905</v>
      </c>
      <c r="AC64" s="199">
        <f>SUBTOTAL(109,Apr17Data[Cell 28])</f>
        <v>47571</v>
      </c>
      <c r="AD64" s="199">
        <f>SUBTOTAL(109,Apr17Data[Cell 29])</f>
        <v>2330</v>
      </c>
      <c r="AE64" s="199">
        <f>SUBTOTAL(109,Apr17Data[Cell 30])</f>
        <v>42412</v>
      </c>
      <c r="AF64" s="199">
        <f>SUBTOTAL(109,Apr17Data[Cell 31])</f>
        <v>44742</v>
      </c>
      <c r="AG64" s="199">
        <f>SUBTOTAL(109,Apr17Data[Cell 32])</f>
        <v>121</v>
      </c>
      <c r="AH64" s="199">
        <f>SUBTOTAL(109,Apr17Data[Cell 33])</f>
        <v>1256</v>
      </c>
      <c r="AI64" s="199">
        <f>SUBTOTAL(109,Apr17Data[Cell 34])</f>
        <v>1377</v>
      </c>
      <c r="AJ64" s="199">
        <f>SUBTOTAL(109,Apr17Data[Cell 35])</f>
        <v>215</v>
      </c>
      <c r="AK64" s="199">
        <f>SUBTOTAL(109,Apr17Data[Cell 36])</f>
        <v>1237</v>
      </c>
      <c r="AL64" s="199">
        <f>SUBTOTAL(109,Apr17Data[Cell 37])</f>
        <v>1452</v>
      </c>
      <c r="AM64" s="199">
        <f>SUBTOTAL(109,Apr17Data[Cell 38])</f>
        <v>1332</v>
      </c>
      <c r="AN64" s="199">
        <f>SUBTOTAL(109,Apr17Data[Cell 39])</f>
        <v>52634</v>
      </c>
      <c r="AO64" s="199">
        <f>SUBTOTAL(109,Apr17Data[Cell 40])</f>
        <v>53966</v>
      </c>
      <c r="AP64" s="199">
        <f>SUBTOTAL(109,Apr17Data[Cell 41])</f>
        <v>238309</v>
      </c>
      <c r="AQ64" s="199">
        <f>SUBTOTAL(109,Apr17Data[Cell 42])</f>
        <v>1581158</v>
      </c>
      <c r="AR64" s="199">
        <f>SUBTOTAL(109,Apr17Data[Cell 43])</f>
        <v>1819467</v>
      </c>
      <c r="AS64" s="199">
        <f>SUBTOTAL(109,Apr17Data[Cell 44])</f>
        <v>238933</v>
      </c>
      <c r="AT64" s="199">
        <f>SUBTOTAL(109,Apr17Data[Cell 45])</f>
        <v>1587318</v>
      </c>
      <c r="AU64" s="199">
        <f>SUBTOTAL(109,Apr17Data[Cell 46])</f>
        <v>1826251</v>
      </c>
      <c r="AV64" s="199">
        <f>SUBTOTAL(109,Apr17Data[Cell 47])</f>
        <v>-624</v>
      </c>
      <c r="AW64" s="199">
        <f>SUBTOTAL(109,Apr17Data[Cell 48])</f>
        <v>-6160</v>
      </c>
      <c r="AX64" s="199">
        <f>SUBTOTAL(109,Apr17Data[Cell 49])</f>
        <v>-6784</v>
      </c>
      <c r="AY64" s="199">
        <f>SUBTOTAL(109,Apr17Data[Cell 50])</f>
        <v>10141</v>
      </c>
      <c r="AZ64" s="199">
        <f>SUBTOTAL(109,Apr17Data[Cell 51])</f>
        <v>129371</v>
      </c>
      <c r="BA64" s="199">
        <f>SUBTOTAL(109,Apr17Data[Cell 52])</f>
        <v>139512</v>
      </c>
      <c r="BB64" s="199">
        <f>SUBTOTAL(109,Apr17Data[Cell 53])</f>
        <v>5235</v>
      </c>
      <c r="BC64" s="199">
        <f>SUBTOTAL(109,Apr17Data[Cell 54])</f>
        <v>121</v>
      </c>
      <c r="BD64" s="199">
        <f>SUBTOTAL(109,Apr17Data[Cell 55])</f>
        <v>9</v>
      </c>
      <c r="BE64" s="199">
        <f>SUBTOTAL(109,Apr17Data[Cell 56])</f>
        <v>70937</v>
      </c>
      <c r="BF64" s="199">
        <f>SUBTOTAL(109,Apr17Data[Cell 57])</f>
        <v>722</v>
      </c>
      <c r="BG64" s="199">
        <f>SUBTOTAL(109,Apr17Data[Cell 58])</f>
        <v>543</v>
      </c>
      <c r="BH64" s="199">
        <f>SUBTOTAL(109,Apr17Data[Cell 59])</f>
        <v>5365</v>
      </c>
      <c r="BI64" s="199">
        <f>SUBTOTAL(109,Apr17Data[Cell 60])</f>
        <v>72202</v>
      </c>
      <c r="BJ64" s="199">
        <f>SUBTOTAL(109,Apr17Data[Cell 61])</f>
        <v>77567</v>
      </c>
      <c r="BK64" s="199">
        <f>SUBTOTAL(109,Apr17Data[Cell 62])</f>
        <v>-3237</v>
      </c>
      <c r="BL64" s="199">
        <f>SUBTOTAL(109,Apr17Data[Cell 63])</f>
        <v>3237</v>
      </c>
      <c r="BM64" s="199">
        <f>SUBTOTAL(109,Apr17Data[Cell 64])</f>
        <v>0</v>
      </c>
      <c r="BN64" s="199">
        <f>SUBTOTAL(109,Apr17Data[Cell 65])</f>
        <v>427</v>
      </c>
      <c r="BO64" s="199">
        <f>SUBTOTAL(109,Apr17Data[Cell 66])</f>
        <v>2363</v>
      </c>
      <c r="BP64" s="199">
        <f>SUBTOTAL(109,Apr17Data[Cell 67])</f>
        <v>2790</v>
      </c>
      <c r="BQ64" s="199">
        <f>SUBTOTAL(109,Apr17Data[Cell 68])</f>
        <v>976</v>
      </c>
      <c r="BR64" s="199">
        <f>SUBTOTAL(109,Apr17Data[Cell 69])</f>
        <v>12366</v>
      </c>
      <c r="BS64" s="199">
        <f>SUBTOTAL(109,Apr17Data[Cell 70])</f>
        <v>13342</v>
      </c>
      <c r="BT64" s="199">
        <f>SUBTOTAL(109,Apr17Data[Cell 71])</f>
        <v>6610</v>
      </c>
      <c r="BU64" s="199">
        <f>SUBTOTAL(109,Apr17Data[Cell 72])</f>
        <v>39203</v>
      </c>
      <c r="BV64" s="199">
        <f>SUBTOTAL(109,Apr17Data[Cell 73])</f>
        <v>45813</v>
      </c>
      <c r="BW64" s="199">
        <f>SUBTOTAL(109,Apr17Data[Cell 74])</f>
        <v>248450</v>
      </c>
      <c r="BX64" s="199">
        <f>SUBTOTAL(109,Apr17Data[Cell 75])</f>
        <v>1710529</v>
      </c>
      <c r="BY64" s="199">
        <f>SUBTOTAL(109,Apr17Data[Cell 76])</f>
        <v>1958979</v>
      </c>
      <c r="BZ64" s="199">
        <f>SUBTOTAL(109,Apr17Data[Cell 77])</f>
        <v>243475</v>
      </c>
      <c r="CA64" s="199">
        <f>SUBTOTAL(109,Apr17Data[Cell 78])</f>
        <v>1680940</v>
      </c>
      <c r="CB64" s="199">
        <f>SUBTOTAL(109,Apr17Data[Cell 79])</f>
        <v>1924415</v>
      </c>
      <c r="CC64" s="199">
        <f>SUBTOTAL(109,Apr17Data[Cell 80])</f>
        <v>4022512</v>
      </c>
      <c r="CD64" s="199">
        <f>SUBTOTAL(109,Apr17Data[Cell 81])</f>
        <v>2505</v>
      </c>
      <c r="CE64" s="199">
        <f>SUBTOTAL(109,Apr17Data[Cell 82])</f>
        <v>29356</v>
      </c>
      <c r="CF64" s="199">
        <f>SUBTOTAL(109,Apr17Data[Cell 83])</f>
        <v>4653</v>
      </c>
      <c r="CG64" s="199">
        <f>SUBTOTAL(109,Apr17Data[Cell 84])</f>
        <v>19897</v>
      </c>
      <c r="CH64" s="199">
        <f>SUBTOTAL(109,Apr17Data[Cell 85])</f>
        <v>24550</v>
      </c>
      <c r="CI64" s="199">
        <f>SUBTOTAL(109,Apr17Data[Cell 86])</f>
        <v>12169</v>
      </c>
      <c r="CJ64" s="199">
        <f>SUBTOTAL(109,Apr17Data[Cell 87])</f>
        <v>1123</v>
      </c>
      <c r="CK64" s="199">
        <f>SUBTOTAL(109,Apr17Data[Cell 88])</f>
        <v>322</v>
      </c>
      <c r="CL64" s="199">
        <f>SUBTOTAL(109,Apr17Data[Cell 89])</f>
        <v>9692</v>
      </c>
      <c r="CM64" s="199">
        <f>SUBTOTAL(109,Apr17Data[Cell 90])</f>
        <v>10014</v>
      </c>
      <c r="CN64" s="199">
        <f>SUBTOTAL(109,Apr17Data[Cell 91])</f>
        <v>13314</v>
      </c>
      <c r="CO64" s="199">
        <f>SUBTOTAL(109,Apr17Data[Cell 92])</f>
        <v>135595</v>
      </c>
      <c r="CP64" s="199">
        <f>SUBTOTAL(109,Apr17Data[Cell 93])</f>
        <v>148909</v>
      </c>
      <c r="CQ64" s="199">
        <f>SUBTOTAL(109,Apr17Data[Cell 94])</f>
        <v>71</v>
      </c>
      <c r="CR64" s="199">
        <f>SUBTOTAL(109,Apr17Data[Cell 95])</f>
        <v>707</v>
      </c>
      <c r="CS64" s="199">
        <f>SUBTOTAL(109,Apr17Data[Cell 96])</f>
        <v>778</v>
      </c>
      <c r="CT64" s="199">
        <f>SUBTOTAL(109,Apr17Data[Cell 97])</f>
        <v>235136</v>
      </c>
      <c r="CU64" s="199">
        <f>SUBTOTAL(109,Apr17Data[Cell 98])</f>
        <v>1574934</v>
      </c>
      <c r="CV64" s="199">
        <f>SUBTOTAL(109,Apr17Data[Cell 99])</f>
        <v>1810070</v>
      </c>
      <c r="CW64" s="199">
        <f>SUBTOTAL(109,Apr17Data[Cell 100])</f>
        <v>15661</v>
      </c>
      <c r="CX64" s="199">
        <f>SUBTOTAL(109,Apr17Data[Cell 101])</f>
        <v>72332</v>
      </c>
      <c r="CY64" s="199">
        <f>SUBTOTAL(109,Apr17Data[Cell 102])</f>
        <v>87993</v>
      </c>
      <c r="CZ64" s="199">
        <f>SUBTOTAL(109,Apr17Data[Cell 103])</f>
        <v>15040</v>
      </c>
      <c r="DA64" s="199">
        <f>SUBTOTAL(109,Apr17Data[Cell 104])</f>
        <v>297</v>
      </c>
      <c r="DB64" s="199">
        <f>SUBTOTAL(109,Apr17Data[Cell 105])</f>
        <v>6</v>
      </c>
      <c r="DC64" s="199">
        <f>SUBTOTAL(109,Apr17Data[Cell 106])</f>
        <v>67190</v>
      </c>
      <c r="DD64" s="199">
        <f>SUBTOTAL(109,Apr17Data[Cell 107])</f>
        <v>960</v>
      </c>
      <c r="DE64" s="199">
        <f>SUBTOTAL(109,Apr17Data[Cell 108])</f>
        <v>235</v>
      </c>
      <c r="DF64" s="199">
        <f>SUBTOTAL(109,Apr17Data[Cell 109])</f>
        <v>15343</v>
      </c>
      <c r="DG64" s="199">
        <f>SUBTOTAL(109,Apr17Data[Cell 110])</f>
        <v>68385</v>
      </c>
      <c r="DH64" s="199">
        <f>SUBTOTAL(109,Apr17Data[Cell 111])</f>
        <v>83728</v>
      </c>
      <c r="DI64" s="199">
        <f>SUBTOTAL(109,Apr17Data[Cell 112])</f>
        <v>311</v>
      </c>
      <c r="DJ64" s="199">
        <f>SUBTOTAL(109,Apr17Data[Cell 113])</f>
        <v>6</v>
      </c>
      <c r="DK64" s="199">
        <f>SUBTOTAL(109,Apr17Data[Cell 114])</f>
        <v>1</v>
      </c>
      <c r="DL64" s="199">
        <f>SUBTOTAL(109,Apr17Data[Cell 115])</f>
        <v>3829</v>
      </c>
      <c r="DM64" s="199">
        <f>SUBTOTAL(109,Apr17Data[Cell 116])</f>
        <v>87</v>
      </c>
      <c r="DN64" s="199">
        <f>SUBTOTAL(109,Apr17Data[Cell 117])</f>
        <v>31</v>
      </c>
      <c r="DO64" s="199">
        <f>SUBTOTAL(109,Apr17Data[Cell 118])</f>
        <v>318</v>
      </c>
      <c r="DP64" s="199">
        <f>SUBTOTAL(109,Apr17Data[Cell 119])</f>
        <v>3947</v>
      </c>
      <c r="DQ64" s="199">
        <f>SUBTOTAL(109,Apr17Data[Cell 120])</f>
        <v>4265</v>
      </c>
      <c r="DR64" s="199">
        <f>SUBTOTAL(109,Apr17Data[Cell 121])</f>
        <v>3</v>
      </c>
      <c r="DS64" s="199">
        <f>SUBTOTAL(109,Apr17Data[Cell 122])</f>
        <v>6</v>
      </c>
      <c r="DT64" s="199">
        <f>SUBTOTAL(109,Apr17Data[Cell 123])</f>
        <v>9</v>
      </c>
      <c r="DU64" s="172"/>
      <c r="DV64" s="200">
        <v>25155411</v>
      </c>
      <c r="DX64" s="192"/>
      <c r="DY64" s="192"/>
    </row>
  </sheetData>
  <conditionalFormatting sqref="B6:DT63">
    <cfRule type="containsBlanks" dxfId="1525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 ht="15">
      <c r="A1" s="211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353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132873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33072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128864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87548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125</v>
      </c>
      <c r="T13" s="63">
        <v>6</v>
      </c>
      <c r="U13" s="64">
        <v>997</v>
      </c>
      <c r="V13" s="84">
        <v>7</v>
      </c>
      <c r="W13" s="85">
        <v>1122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203</v>
      </c>
      <c r="T14" s="88">
        <v>9</v>
      </c>
      <c r="U14" s="89">
        <v>36108</v>
      </c>
      <c r="V14" s="88">
        <v>10</v>
      </c>
      <c r="W14" s="90">
        <v>36311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132</v>
      </c>
      <c r="T15" s="71">
        <v>12</v>
      </c>
      <c r="U15" s="64">
        <v>17835</v>
      </c>
      <c r="V15" s="88">
        <v>13</v>
      </c>
      <c r="W15" s="90">
        <v>17967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71</v>
      </c>
      <c r="T16" s="71">
        <v>15</v>
      </c>
      <c r="U16" s="64">
        <v>18273</v>
      </c>
      <c r="V16" s="88">
        <v>16</v>
      </c>
      <c r="W16" s="90">
        <v>18344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23</v>
      </c>
      <c r="T17" s="71">
        <v>18</v>
      </c>
      <c r="U17" s="64">
        <v>1513</v>
      </c>
      <c r="V17" s="88">
        <v>19</v>
      </c>
      <c r="W17" s="90">
        <v>1536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46</v>
      </c>
      <c r="T18" s="82">
        <v>21</v>
      </c>
      <c r="U18" s="64">
        <v>4959</v>
      </c>
      <c r="V18" s="88">
        <v>22</v>
      </c>
      <c r="W18" s="90">
        <v>5005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4404</v>
      </c>
      <c r="T20" s="98">
        <v>24</v>
      </c>
      <c r="U20" s="89">
        <v>109031</v>
      </c>
      <c r="V20" s="84">
        <v>25</v>
      </c>
      <c r="W20" s="89">
        <v>113435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2862</v>
      </c>
      <c r="T21" s="76">
        <v>27</v>
      </c>
      <c r="U21" s="77">
        <v>49206</v>
      </c>
      <c r="V21" s="88">
        <v>28</v>
      </c>
      <c r="W21" s="77">
        <v>52068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2529</v>
      </c>
      <c r="T22" s="71">
        <v>30</v>
      </c>
      <c r="U22" s="64">
        <v>46487</v>
      </c>
      <c r="V22" s="88">
        <v>31</v>
      </c>
      <c r="W22" s="90">
        <v>49016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132</v>
      </c>
      <c r="T23" s="71">
        <v>33</v>
      </c>
      <c r="U23" s="64">
        <v>1477</v>
      </c>
      <c r="V23" s="88">
        <v>34</v>
      </c>
      <c r="W23" s="90">
        <v>1609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201</v>
      </c>
      <c r="T24" s="71">
        <v>36</v>
      </c>
      <c r="U24" s="64">
        <v>1242</v>
      </c>
      <c r="V24" s="88">
        <v>37</v>
      </c>
      <c r="W24" s="90">
        <v>1443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1542</v>
      </c>
      <c r="T25" s="82">
        <v>39</v>
      </c>
      <c r="U25" s="64">
        <v>59825</v>
      </c>
      <c r="V25" s="88">
        <v>40</v>
      </c>
      <c r="W25" s="90">
        <v>61367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233918</v>
      </c>
      <c r="T27" s="63">
        <v>42</v>
      </c>
      <c r="U27" s="64">
        <v>1567242</v>
      </c>
      <c r="V27" s="84">
        <v>43</v>
      </c>
      <c r="W27" s="85">
        <v>1801160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235136</v>
      </c>
      <c r="T28" s="71">
        <v>45</v>
      </c>
      <c r="U28" s="64">
        <v>1574934</v>
      </c>
      <c r="V28" s="88">
        <v>46</v>
      </c>
      <c r="W28" s="90">
        <v>1810070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-1218</v>
      </c>
      <c r="T29" s="76">
        <v>48</v>
      </c>
      <c r="U29" s="108">
        <v>-7692</v>
      </c>
      <c r="V29" s="88">
        <v>49</v>
      </c>
      <c r="W29" s="109">
        <v>-8910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10872</v>
      </c>
      <c r="T30" s="88">
        <v>51</v>
      </c>
      <c r="U30" s="110">
        <v>143872</v>
      </c>
      <c r="V30" s="88">
        <v>52</v>
      </c>
      <c r="W30" s="90">
        <v>154744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5825</v>
      </c>
      <c r="H33" s="122">
        <v>54</v>
      </c>
      <c r="I33" s="64">
        <v>111</v>
      </c>
      <c r="J33" s="122">
        <v>55</v>
      </c>
      <c r="K33" s="64">
        <v>8</v>
      </c>
      <c r="L33" s="122">
        <v>56</v>
      </c>
      <c r="M33" s="64">
        <v>80170</v>
      </c>
      <c r="N33" s="122">
        <v>57</v>
      </c>
      <c r="O33" s="64">
        <v>846</v>
      </c>
      <c r="P33" s="122">
        <v>58</v>
      </c>
      <c r="Q33" s="64">
        <v>588</v>
      </c>
      <c r="R33" s="76">
        <v>59</v>
      </c>
      <c r="S33" s="123">
        <v>5944</v>
      </c>
      <c r="T33" s="124">
        <v>60</v>
      </c>
      <c r="U33" s="123">
        <v>81604</v>
      </c>
      <c r="V33" s="88">
        <v>61</v>
      </c>
      <c r="W33" s="90">
        <v>87548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-3820</v>
      </c>
      <c r="T34" s="126">
        <v>63</v>
      </c>
      <c r="U34" s="64">
        <v>3820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451</v>
      </c>
      <c r="T35" s="126">
        <v>66</v>
      </c>
      <c r="U35" s="64">
        <v>2444</v>
      </c>
      <c r="V35" s="88">
        <v>67</v>
      </c>
      <c r="W35" s="90">
        <v>2895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1201</v>
      </c>
      <c r="T36" s="126">
        <v>69</v>
      </c>
      <c r="U36" s="64">
        <v>13769</v>
      </c>
      <c r="V36" s="88">
        <v>70</v>
      </c>
      <c r="W36" s="90">
        <v>14970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7096</v>
      </c>
      <c r="T37" s="126">
        <v>72</v>
      </c>
      <c r="U37" s="64">
        <v>42235</v>
      </c>
      <c r="V37" s="88">
        <v>73</v>
      </c>
      <c r="W37" s="90">
        <v>49331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244790</v>
      </c>
      <c r="T39" s="124">
        <v>75</v>
      </c>
      <c r="U39" s="123">
        <v>1711114</v>
      </c>
      <c r="V39" s="88">
        <v>76</v>
      </c>
      <c r="W39" s="90">
        <v>1955904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239852</v>
      </c>
      <c r="T40" s="132">
        <v>78</v>
      </c>
      <c r="U40" s="64">
        <v>1681517</v>
      </c>
      <c r="V40" s="88">
        <v>79</v>
      </c>
      <c r="W40" s="90">
        <v>1921369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4006235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2479</v>
      </c>
      <c r="P43" s="134">
        <v>82</v>
      </c>
      <c r="Q43" s="64">
        <v>29231</v>
      </c>
      <c r="R43" s="71">
        <v>83</v>
      </c>
      <c r="S43" s="64">
        <v>4642</v>
      </c>
      <c r="T43" s="71">
        <v>84</v>
      </c>
      <c r="U43" s="64">
        <v>19921</v>
      </c>
      <c r="V43" s="76">
        <v>85</v>
      </c>
      <c r="W43" s="135">
        <v>24563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12106</v>
      </c>
      <c r="P44" s="136">
        <v>87</v>
      </c>
      <c r="Q44" s="64">
        <v>1093</v>
      </c>
      <c r="R44" s="71">
        <v>88</v>
      </c>
      <c r="S44" s="64">
        <v>296</v>
      </c>
      <c r="T44" s="71">
        <v>89</v>
      </c>
      <c r="U44" s="64">
        <v>9676</v>
      </c>
      <c r="V44" s="76">
        <v>90</v>
      </c>
      <c r="W44" s="135">
        <v>9972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12367</v>
      </c>
      <c r="T45" s="71">
        <v>92</v>
      </c>
      <c r="U45" s="64">
        <v>132520</v>
      </c>
      <c r="V45" s="76">
        <v>93</v>
      </c>
      <c r="W45" s="135">
        <v>144887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75</v>
      </c>
      <c r="T46" s="71">
        <v>95</v>
      </c>
      <c r="U46" s="64">
        <v>728</v>
      </c>
      <c r="V46" s="76">
        <v>96</v>
      </c>
      <c r="W46" s="135">
        <v>803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232423</v>
      </c>
      <c r="T47" s="141">
        <v>98</v>
      </c>
      <c r="U47" s="143">
        <v>1578594</v>
      </c>
      <c r="V47" s="88">
        <v>99</v>
      </c>
      <c r="W47" s="90">
        <v>1811017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16803</v>
      </c>
      <c r="T49" s="144">
        <v>101</v>
      </c>
      <c r="U49" s="145">
        <v>77438</v>
      </c>
      <c r="V49" s="98">
        <v>102</v>
      </c>
      <c r="W49" s="146">
        <v>94241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16094</v>
      </c>
      <c r="H52" s="122">
        <v>104</v>
      </c>
      <c r="I52" s="64">
        <v>372</v>
      </c>
      <c r="J52" s="122">
        <v>105</v>
      </c>
      <c r="K52" s="64">
        <v>10</v>
      </c>
      <c r="L52" s="122">
        <v>106</v>
      </c>
      <c r="M52" s="64">
        <v>71831</v>
      </c>
      <c r="N52" s="122">
        <v>107</v>
      </c>
      <c r="O52" s="64">
        <v>1074</v>
      </c>
      <c r="P52" s="122">
        <v>108</v>
      </c>
      <c r="Q52" s="64">
        <v>299</v>
      </c>
      <c r="R52" s="155">
        <v>109</v>
      </c>
      <c r="S52" s="156">
        <v>16476</v>
      </c>
      <c r="T52" s="155">
        <v>110</v>
      </c>
      <c r="U52" s="156">
        <v>73204</v>
      </c>
      <c r="V52" s="76">
        <v>111</v>
      </c>
      <c r="W52" s="135">
        <v>89680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321</v>
      </c>
      <c r="H53" s="122">
        <v>113</v>
      </c>
      <c r="I53" s="64">
        <v>5</v>
      </c>
      <c r="J53" s="122">
        <v>114</v>
      </c>
      <c r="K53" s="64">
        <v>1</v>
      </c>
      <c r="L53" s="122">
        <v>115</v>
      </c>
      <c r="M53" s="64">
        <v>4133</v>
      </c>
      <c r="N53" s="122">
        <v>116</v>
      </c>
      <c r="O53" s="64">
        <v>76</v>
      </c>
      <c r="P53" s="122">
        <v>117</v>
      </c>
      <c r="Q53" s="64">
        <v>25</v>
      </c>
      <c r="R53" s="155">
        <v>118</v>
      </c>
      <c r="S53" s="156">
        <v>327</v>
      </c>
      <c r="T53" s="155">
        <v>119</v>
      </c>
      <c r="U53" s="156">
        <v>4234</v>
      </c>
      <c r="V53" s="76">
        <v>120</v>
      </c>
      <c r="W53" s="135">
        <v>4561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12</v>
      </c>
      <c r="T54" s="162">
        <v>122</v>
      </c>
      <c r="U54" s="64">
        <v>65</v>
      </c>
      <c r="V54" s="76">
        <v>123</v>
      </c>
      <c r="W54" s="135">
        <v>77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362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25271500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354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353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 t="s">
        <v>331</v>
      </c>
      <c r="C6" s="190" t="s">
        <v>331</v>
      </c>
      <c r="D6" s="190" t="s">
        <v>331</v>
      </c>
      <c r="E6" s="190" t="s">
        <v>331</v>
      </c>
      <c r="F6" s="190" t="s">
        <v>331</v>
      </c>
      <c r="G6" s="190" t="s">
        <v>331</v>
      </c>
      <c r="H6" s="190" t="s">
        <v>331</v>
      </c>
      <c r="I6" s="190" t="s">
        <v>331</v>
      </c>
      <c r="J6" s="190" t="s">
        <v>331</v>
      </c>
      <c r="K6" s="190" t="s">
        <v>331</v>
      </c>
      <c r="L6" s="190" t="s">
        <v>331</v>
      </c>
      <c r="M6" s="190" t="s">
        <v>331</v>
      </c>
      <c r="N6" s="190" t="s">
        <v>331</v>
      </c>
      <c r="O6" s="190" t="s">
        <v>331</v>
      </c>
      <c r="P6" s="190" t="s">
        <v>331</v>
      </c>
      <c r="Q6" s="190" t="s">
        <v>331</v>
      </c>
      <c r="R6" s="190" t="s">
        <v>331</v>
      </c>
      <c r="S6" s="190" t="s">
        <v>331</v>
      </c>
      <c r="T6" s="190" t="s">
        <v>331</v>
      </c>
      <c r="U6" s="190" t="s">
        <v>331</v>
      </c>
      <c r="V6" s="190" t="s">
        <v>331</v>
      </c>
      <c r="W6" s="190" t="s">
        <v>331</v>
      </c>
      <c r="X6" s="190" t="s">
        <v>331</v>
      </c>
      <c r="Y6" s="190" t="s">
        <v>331</v>
      </c>
      <c r="Z6" s="190" t="s">
        <v>331</v>
      </c>
      <c r="AA6" s="190" t="s">
        <v>331</v>
      </c>
      <c r="AB6" s="190" t="s">
        <v>331</v>
      </c>
      <c r="AC6" s="190" t="s">
        <v>331</v>
      </c>
      <c r="AD6" s="190" t="s">
        <v>331</v>
      </c>
      <c r="AE6" s="190" t="s">
        <v>331</v>
      </c>
      <c r="AF6" s="190" t="s">
        <v>331</v>
      </c>
      <c r="AG6" s="190" t="s">
        <v>331</v>
      </c>
      <c r="AH6" s="190" t="s">
        <v>331</v>
      </c>
      <c r="AI6" s="190" t="s">
        <v>331</v>
      </c>
      <c r="AJ6" s="190" t="s">
        <v>331</v>
      </c>
      <c r="AK6" s="190" t="s">
        <v>331</v>
      </c>
      <c r="AL6" s="190" t="s">
        <v>331</v>
      </c>
      <c r="AM6" s="190" t="s">
        <v>331</v>
      </c>
      <c r="AN6" s="190" t="s">
        <v>331</v>
      </c>
      <c r="AO6" s="190" t="s">
        <v>331</v>
      </c>
      <c r="AP6" s="190" t="s">
        <v>331</v>
      </c>
      <c r="AQ6" s="190" t="s">
        <v>331</v>
      </c>
      <c r="AR6" s="190" t="s">
        <v>331</v>
      </c>
      <c r="AS6" s="190" t="s">
        <v>331</v>
      </c>
      <c r="AT6" s="190" t="s">
        <v>331</v>
      </c>
      <c r="AU6" s="190" t="s">
        <v>331</v>
      </c>
      <c r="AV6" s="190" t="s">
        <v>331</v>
      </c>
      <c r="AW6" s="190" t="s">
        <v>331</v>
      </c>
      <c r="AX6" s="190" t="s">
        <v>331</v>
      </c>
      <c r="AY6" s="190" t="s">
        <v>331</v>
      </c>
      <c r="AZ6" s="190" t="s">
        <v>331</v>
      </c>
      <c r="BA6" s="190" t="s">
        <v>331</v>
      </c>
      <c r="BB6" s="190" t="s">
        <v>331</v>
      </c>
      <c r="BC6" s="190" t="s">
        <v>331</v>
      </c>
      <c r="BD6" s="190" t="s">
        <v>331</v>
      </c>
      <c r="BE6" s="190" t="s">
        <v>331</v>
      </c>
      <c r="BF6" s="190" t="s">
        <v>331</v>
      </c>
      <c r="BG6" s="190" t="s">
        <v>331</v>
      </c>
      <c r="BH6" s="190" t="s">
        <v>331</v>
      </c>
      <c r="BI6" s="190" t="s">
        <v>331</v>
      </c>
      <c r="BJ6" s="190" t="s">
        <v>331</v>
      </c>
      <c r="BK6" s="190" t="s">
        <v>331</v>
      </c>
      <c r="BL6" s="190" t="s">
        <v>331</v>
      </c>
      <c r="BM6" s="190" t="s">
        <v>331</v>
      </c>
      <c r="BN6" s="190" t="s">
        <v>331</v>
      </c>
      <c r="BO6" s="190" t="s">
        <v>331</v>
      </c>
      <c r="BP6" s="190" t="s">
        <v>331</v>
      </c>
      <c r="BQ6" s="190" t="s">
        <v>331</v>
      </c>
      <c r="BR6" s="190" t="s">
        <v>331</v>
      </c>
      <c r="BS6" s="190" t="s">
        <v>331</v>
      </c>
      <c r="BT6" s="190" t="s">
        <v>331</v>
      </c>
      <c r="BU6" s="190" t="s">
        <v>331</v>
      </c>
      <c r="BV6" s="190" t="s">
        <v>331</v>
      </c>
      <c r="BW6" s="190" t="s">
        <v>331</v>
      </c>
      <c r="BX6" s="190" t="s">
        <v>331</v>
      </c>
      <c r="BY6" s="190" t="s">
        <v>331</v>
      </c>
      <c r="BZ6" s="190" t="s">
        <v>331</v>
      </c>
      <c r="CA6" s="190" t="s">
        <v>331</v>
      </c>
      <c r="CB6" s="190" t="s">
        <v>331</v>
      </c>
      <c r="CC6" s="190" t="s">
        <v>331</v>
      </c>
      <c r="CD6" s="190" t="s">
        <v>331</v>
      </c>
      <c r="CE6" s="190" t="s">
        <v>331</v>
      </c>
      <c r="CF6" s="190" t="s">
        <v>331</v>
      </c>
      <c r="CG6" s="190" t="s">
        <v>331</v>
      </c>
      <c r="CH6" s="190" t="s">
        <v>331</v>
      </c>
      <c r="CI6" s="190" t="s">
        <v>331</v>
      </c>
      <c r="CJ6" s="190" t="s">
        <v>331</v>
      </c>
      <c r="CK6" s="190" t="s">
        <v>331</v>
      </c>
      <c r="CL6" s="190" t="s">
        <v>331</v>
      </c>
      <c r="CM6" s="190" t="s">
        <v>331</v>
      </c>
      <c r="CN6" s="190" t="s">
        <v>331</v>
      </c>
      <c r="CO6" s="190" t="s">
        <v>331</v>
      </c>
      <c r="CP6" s="190" t="s">
        <v>331</v>
      </c>
      <c r="CQ6" s="190" t="s">
        <v>331</v>
      </c>
      <c r="CR6" s="190" t="s">
        <v>331</v>
      </c>
      <c r="CS6" s="190" t="s">
        <v>331</v>
      </c>
      <c r="CT6" s="190" t="s">
        <v>331</v>
      </c>
      <c r="CU6" s="190" t="s">
        <v>331</v>
      </c>
      <c r="CV6" s="190" t="s">
        <v>331</v>
      </c>
      <c r="CW6" s="190" t="s">
        <v>331</v>
      </c>
      <c r="CX6" s="190" t="s">
        <v>331</v>
      </c>
      <c r="CY6" s="190" t="s">
        <v>331</v>
      </c>
      <c r="CZ6" s="190" t="s">
        <v>331</v>
      </c>
      <c r="DA6" s="190" t="s">
        <v>331</v>
      </c>
      <c r="DB6" s="190" t="s">
        <v>331</v>
      </c>
      <c r="DC6" s="190" t="s">
        <v>331</v>
      </c>
      <c r="DD6" s="190" t="s">
        <v>331</v>
      </c>
      <c r="DE6" s="190" t="s">
        <v>331</v>
      </c>
      <c r="DF6" s="190" t="s">
        <v>331</v>
      </c>
      <c r="DG6" s="190" t="s">
        <v>331</v>
      </c>
      <c r="DH6" s="190" t="s">
        <v>331</v>
      </c>
      <c r="DI6" s="190" t="s">
        <v>331</v>
      </c>
      <c r="DJ6" s="190" t="s">
        <v>331</v>
      </c>
      <c r="DK6" s="190" t="s">
        <v>331</v>
      </c>
      <c r="DL6" s="190" t="s">
        <v>331</v>
      </c>
      <c r="DM6" s="190" t="s">
        <v>331</v>
      </c>
      <c r="DN6" s="190" t="s">
        <v>331</v>
      </c>
      <c r="DO6" s="190" t="s">
        <v>331</v>
      </c>
      <c r="DP6" s="190" t="s">
        <v>331</v>
      </c>
      <c r="DQ6" s="190" t="s">
        <v>331</v>
      </c>
      <c r="DR6" s="190" t="s">
        <v>331</v>
      </c>
      <c r="DS6" s="190" t="s">
        <v>331</v>
      </c>
      <c r="DT6" s="191" t="s">
        <v>331</v>
      </c>
    </row>
    <row r="7" spans="1:129">
      <c r="A7" s="189" t="s">
        <v>272</v>
      </c>
      <c r="B7" s="190">
        <v>2</v>
      </c>
      <c r="C7" s="190">
        <v>1</v>
      </c>
      <c r="D7" s="190">
        <v>1</v>
      </c>
      <c r="E7" s="190">
        <v>1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1</v>
      </c>
      <c r="Z7" s="190">
        <v>1</v>
      </c>
      <c r="AA7" s="190">
        <v>0</v>
      </c>
      <c r="AB7" s="190">
        <v>1</v>
      </c>
      <c r="AC7" s="190">
        <v>1</v>
      </c>
      <c r="AD7" s="190">
        <v>0</v>
      </c>
      <c r="AE7" s="190">
        <v>1</v>
      </c>
      <c r="AF7" s="190">
        <v>1</v>
      </c>
      <c r="AG7" s="190">
        <v>0</v>
      </c>
      <c r="AH7" s="190">
        <v>0</v>
      </c>
      <c r="AI7" s="190">
        <v>0</v>
      </c>
      <c r="AJ7" s="190">
        <v>0</v>
      </c>
      <c r="AK7" s="190">
        <v>0</v>
      </c>
      <c r="AL7" s="190">
        <v>0</v>
      </c>
      <c r="AM7" s="190">
        <v>0</v>
      </c>
      <c r="AN7" s="190">
        <v>0</v>
      </c>
      <c r="AO7" s="190">
        <v>0</v>
      </c>
      <c r="AP7" s="190">
        <v>1</v>
      </c>
      <c r="AQ7" s="190">
        <v>78</v>
      </c>
      <c r="AR7" s="190">
        <v>79</v>
      </c>
      <c r="AS7" s="190">
        <v>1</v>
      </c>
      <c r="AT7" s="190">
        <v>78</v>
      </c>
      <c r="AU7" s="190">
        <v>79</v>
      </c>
      <c r="AV7" s="190">
        <v>0</v>
      </c>
      <c r="AW7" s="190">
        <v>0</v>
      </c>
      <c r="AX7" s="190">
        <v>0</v>
      </c>
      <c r="AY7" s="190">
        <v>0</v>
      </c>
      <c r="AZ7" s="190">
        <v>1</v>
      </c>
      <c r="BA7" s="190">
        <v>1</v>
      </c>
      <c r="BB7" s="190">
        <v>0</v>
      </c>
      <c r="BC7" s="190">
        <v>0</v>
      </c>
      <c r="BD7" s="190">
        <v>0</v>
      </c>
      <c r="BE7" s="190">
        <v>1</v>
      </c>
      <c r="BF7" s="190">
        <v>0</v>
      </c>
      <c r="BG7" s="190">
        <v>0</v>
      </c>
      <c r="BH7" s="190">
        <v>0</v>
      </c>
      <c r="BI7" s="190">
        <v>1</v>
      </c>
      <c r="BJ7" s="190">
        <v>1</v>
      </c>
      <c r="BK7" s="190">
        <v>0</v>
      </c>
      <c r="BL7" s="190">
        <v>0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0</v>
      </c>
      <c r="BS7" s="190">
        <v>0</v>
      </c>
      <c r="BT7" s="190">
        <v>0</v>
      </c>
      <c r="BU7" s="190">
        <v>0</v>
      </c>
      <c r="BV7" s="190">
        <v>0</v>
      </c>
      <c r="BW7" s="190">
        <v>1</v>
      </c>
      <c r="BX7" s="190">
        <v>79</v>
      </c>
      <c r="BY7" s="190">
        <v>80</v>
      </c>
      <c r="BZ7" s="190">
        <v>1</v>
      </c>
      <c r="CA7" s="190">
        <v>79</v>
      </c>
      <c r="CB7" s="190">
        <v>80</v>
      </c>
      <c r="CC7" s="190">
        <v>145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5</v>
      </c>
      <c r="CP7" s="190">
        <v>5</v>
      </c>
      <c r="CQ7" s="190">
        <v>0</v>
      </c>
      <c r="CR7" s="190">
        <v>0</v>
      </c>
      <c r="CS7" s="190">
        <v>0</v>
      </c>
      <c r="CT7" s="190">
        <v>1</v>
      </c>
      <c r="CU7" s="190">
        <v>74</v>
      </c>
      <c r="CV7" s="190">
        <v>75</v>
      </c>
      <c r="CW7" s="190">
        <v>0</v>
      </c>
      <c r="CX7" s="190">
        <v>3</v>
      </c>
      <c r="CY7" s="190">
        <v>3</v>
      </c>
      <c r="CZ7" s="190">
        <v>0</v>
      </c>
      <c r="DA7" s="190">
        <v>0</v>
      </c>
      <c r="DB7" s="190">
        <v>0</v>
      </c>
      <c r="DC7" s="190">
        <v>3</v>
      </c>
      <c r="DD7" s="190">
        <v>0</v>
      </c>
      <c r="DE7" s="190">
        <v>0</v>
      </c>
      <c r="DF7" s="190">
        <v>0</v>
      </c>
      <c r="DG7" s="190">
        <v>3</v>
      </c>
      <c r="DH7" s="190">
        <v>3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109</v>
      </c>
      <c r="C8" s="190">
        <v>14</v>
      </c>
      <c r="D8" s="190">
        <v>123</v>
      </c>
      <c r="E8" s="190">
        <v>81</v>
      </c>
      <c r="F8" s="190">
        <v>0</v>
      </c>
      <c r="G8" s="190">
        <v>2</v>
      </c>
      <c r="H8" s="190">
        <v>2</v>
      </c>
      <c r="I8" s="190">
        <v>0</v>
      </c>
      <c r="J8" s="190">
        <v>36</v>
      </c>
      <c r="K8" s="190">
        <v>36</v>
      </c>
      <c r="L8" s="190">
        <v>0</v>
      </c>
      <c r="M8" s="190">
        <v>20</v>
      </c>
      <c r="N8" s="190">
        <v>20</v>
      </c>
      <c r="O8" s="190">
        <v>0</v>
      </c>
      <c r="P8" s="190">
        <v>16</v>
      </c>
      <c r="Q8" s="190">
        <v>16</v>
      </c>
      <c r="R8" s="190">
        <v>0</v>
      </c>
      <c r="S8" s="190">
        <v>0</v>
      </c>
      <c r="T8" s="190">
        <v>0</v>
      </c>
      <c r="U8" s="190">
        <v>0</v>
      </c>
      <c r="V8" s="190">
        <v>6</v>
      </c>
      <c r="W8" s="190">
        <v>6</v>
      </c>
      <c r="X8" s="190">
        <v>2</v>
      </c>
      <c r="Y8" s="190">
        <v>121</v>
      </c>
      <c r="Z8" s="190">
        <v>123</v>
      </c>
      <c r="AA8" s="190">
        <v>1</v>
      </c>
      <c r="AB8" s="190">
        <v>52</v>
      </c>
      <c r="AC8" s="190">
        <v>53</v>
      </c>
      <c r="AD8" s="190">
        <v>1</v>
      </c>
      <c r="AE8" s="190">
        <v>50</v>
      </c>
      <c r="AF8" s="190">
        <v>51</v>
      </c>
      <c r="AG8" s="190">
        <v>0</v>
      </c>
      <c r="AH8" s="190">
        <v>2</v>
      </c>
      <c r="AI8" s="190">
        <v>2</v>
      </c>
      <c r="AJ8" s="190">
        <v>0</v>
      </c>
      <c r="AK8" s="190">
        <v>0</v>
      </c>
      <c r="AL8" s="190">
        <v>0</v>
      </c>
      <c r="AM8" s="190">
        <v>1</v>
      </c>
      <c r="AN8" s="190">
        <v>69</v>
      </c>
      <c r="AO8" s="190">
        <v>70</v>
      </c>
      <c r="AP8" s="190">
        <v>108</v>
      </c>
      <c r="AQ8" s="190">
        <v>1442</v>
      </c>
      <c r="AR8" s="190">
        <v>1550</v>
      </c>
      <c r="AS8" s="190">
        <v>108</v>
      </c>
      <c r="AT8" s="190">
        <v>1442</v>
      </c>
      <c r="AU8" s="190">
        <v>1550</v>
      </c>
      <c r="AV8" s="190">
        <v>0</v>
      </c>
      <c r="AW8" s="190">
        <v>0</v>
      </c>
      <c r="AX8" s="190">
        <v>0</v>
      </c>
      <c r="AY8" s="190">
        <v>13</v>
      </c>
      <c r="AZ8" s="190">
        <v>122</v>
      </c>
      <c r="BA8" s="190">
        <v>135</v>
      </c>
      <c r="BB8" s="190">
        <v>3</v>
      </c>
      <c r="BC8" s="190">
        <v>0</v>
      </c>
      <c r="BD8" s="190">
        <v>0</v>
      </c>
      <c r="BE8" s="190">
        <v>78</v>
      </c>
      <c r="BF8" s="190">
        <v>0</v>
      </c>
      <c r="BG8" s="190">
        <v>0</v>
      </c>
      <c r="BH8" s="190">
        <v>3</v>
      </c>
      <c r="BI8" s="190">
        <v>78</v>
      </c>
      <c r="BJ8" s="190">
        <v>81</v>
      </c>
      <c r="BK8" s="190">
        <v>3</v>
      </c>
      <c r="BL8" s="190">
        <v>-3</v>
      </c>
      <c r="BM8" s="190">
        <v>0</v>
      </c>
      <c r="BN8" s="190">
        <v>0</v>
      </c>
      <c r="BO8" s="190">
        <v>9</v>
      </c>
      <c r="BP8" s="190">
        <v>9</v>
      </c>
      <c r="BQ8" s="190">
        <v>1</v>
      </c>
      <c r="BR8" s="190">
        <v>19</v>
      </c>
      <c r="BS8" s="190">
        <v>20</v>
      </c>
      <c r="BT8" s="190">
        <v>6</v>
      </c>
      <c r="BU8" s="190">
        <v>19</v>
      </c>
      <c r="BV8" s="190">
        <v>25</v>
      </c>
      <c r="BW8" s="190">
        <v>121</v>
      </c>
      <c r="BX8" s="190">
        <v>1564</v>
      </c>
      <c r="BY8" s="190">
        <v>1685</v>
      </c>
      <c r="BZ8" s="190">
        <v>121</v>
      </c>
      <c r="CA8" s="190">
        <v>1561</v>
      </c>
      <c r="CB8" s="190">
        <v>1682</v>
      </c>
      <c r="CC8" s="190">
        <v>3082</v>
      </c>
      <c r="CD8" s="190">
        <v>0</v>
      </c>
      <c r="CE8" s="190">
        <v>2</v>
      </c>
      <c r="CF8" s="190">
        <v>0</v>
      </c>
      <c r="CG8" s="190">
        <v>2</v>
      </c>
      <c r="CH8" s="190">
        <v>2</v>
      </c>
      <c r="CI8" s="190">
        <v>1</v>
      </c>
      <c r="CJ8" s="190">
        <v>0</v>
      </c>
      <c r="CK8" s="190">
        <v>0</v>
      </c>
      <c r="CL8" s="190">
        <v>1</v>
      </c>
      <c r="CM8" s="190">
        <v>1</v>
      </c>
      <c r="CN8" s="190">
        <v>4</v>
      </c>
      <c r="CO8" s="190">
        <v>129</v>
      </c>
      <c r="CP8" s="190">
        <v>133</v>
      </c>
      <c r="CQ8" s="190">
        <v>0</v>
      </c>
      <c r="CR8" s="190">
        <v>1</v>
      </c>
      <c r="CS8" s="190">
        <v>1</v>
      </c>
      <c r="CT8" s="190">
        <v>117</v>
      </c>
      <c r="CU8" s="190">
        <v>1435</v>
      </c>
      <c r="CV8" s="190">
        <v>1552</v>
      </c>
      <c r="CW8" s="190">
        <v>9</v>
      </c>
      <c r="CX8" s="190">
        <v>75</v>
      </c>
      <c r="CY8" s="190">
        <v>84</v>
      </c>
      <c r="CZ8" s="190">
        <v>9</v>
      </c>
      <c r="DA8" s="190">
        <v>0</v>
      </c>
      <c r="DB8" s="190">
        <v>0</v>
      </c>
      <c r="DC8" s="190">
        <v>71</v>
      </c>
      <c r="DD8" s="190">
        <v>0</v>
      </c>
      <c r="DE8" s="190">
        <v>0</v>
      </c>
      <c r="DF8" s="190">
        <v>9</v>
      </c>
      <c r="DG8" s="190">
        <v>71</v>
      </c>
      <c r="DH8" s="190">
        <v>80</v>
      </c>
      <c r="DI8" s="190">
        <v>0</v>
      </c>
      <c r="DJ8" s="190">
        <v>0</v>
      </c>
      <c r="DK8" s="190">
        <v>0</v>
      </c>
      <c r="DL8" s="190">
        <v>4</v>
      </c>
      <c r="DM8" s="190">
        <v>0</v>
      </c>
      <c r="DN8" s="190">
        <v>0</v>
      </c>
      <c r="DO8" s="190">
        <v>0</v>
      </c>
      <c r="DP8" s="190">
        <v>4</v>
      </c>
      <c r="DQ8" s="190">
        <v>4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1304</v>
      </c>
      <c r="C9" s="190">
        <v>439</v>
      </c>
      <c r="D9" s="190">
        <v>1387</v>
      </c>
      <c r="E9" s="190">
        <v>788</v>
      </c>
      <c r="F9" s="190">
        <v>1</v>
      </c>
      <c r="G9" s="190">
        <v>60</v>
      </c>
      <c r="H9" s="190">
        <v>61</v>
      </c>
      <c r="I9" s="190">
        <v>0</v>
      </c>
      <c r="J9" s="190">
        <v>536</v>
      </c>
      <c r="K9" s="190">
        <v>536</v>
      </c>
      <c r="L9" s="190">
        <v>0</v>
      </c>
      <c r="M9" s="190">
        <v>197</v>
      </c>
      <c r="N9" s="190">
        <v>197</v>
      </c>
      <c r="O9" s="190">
        <v>0</v>
      </c>
      <c r="P9" s="190">
        <v>339</v>
      </c>
      <c r="Q9" s="190">
        <v>339</v>
      </c>
      <c r="R9" s="190">
        <v>0</v>
      </c>
      <c r="S9" s="190">
        <v>25</v>
      </c>
      <c r="T9" s="190">
        <v>25</v>
      </c>
      <c r="U9" s="190">
        <v>0</v>
      </c>
      <c r="V9" s="190">
        <v>63</v>
      </c>
      <c r="W9" s="190">
        <v>63</v>
      </c>
      <c r="X9" s="190">
        <v>11</v>
      </c>
      <c r="Y9" s="190">
        <v>1376</v>
      </c>
      <c r="Z9" s="190">
        <v>1387</v>
      </c>
      <c r="AA9" s="190">
        <v>5</v>
      </c>
      <c r="AB9" s="190">
        <v>542</v>
      </c>
      <c r="AC9" s="190">
        <v>547</v>
      </c>
      <c r="AD9" s="190">
        <v>5</v>
      </c>
      <c r="AE9" s="190">
        <v>517</v>
      </c>
      <c r="AF9" s="190">
        <v>522</v>
      </c>
      <c r="AG9" s="190">
        <v>0</v>
      </c>
      <c r="AH9" s="190">
        <v>15</v>
      </c>
      <c r="AI9" s="190">
        <v>15</v>
      </c>
      <c r="AJ9" s="190">
        <v>0</v>
      </c>
      <c r="AK9" s="190">
        <v>10</v>
      </c>
      <c r="AL9" s="190">
        <v>10</v>
      </c>
      <c r="AM9" s="190">
        <v>6</v>
      </c>
      <c r="AN9" s="190">
        <v>834</v>
      </c>
      <c r="AO9" s="190">
        <v>840</v>
      </c>
      <c r="AP9" s="190">
        <v>1469</v>
      </c>
      <c r="AQ9" s="190">
        <v>14138</v>
      </c>
      <c r="AR9" s="190">
        <v>15607</v>
      </c>
      <c r="AS9" s="190">
        <v>1469</v>
      </c>
      <c r="AT9" s="190">
        <v>14138</v>
      </c>
      <c r="AU9" s="190">
        <v>15607</v>
      </c>
      <c r="AV9" s="190">
        <v>0</v>
      </c>
      <c r="AW9" s="190">
        <v>0</v>
      </c>
      <c r="AX9" s="190">
        <v>0</v>
      </c>
      <c r="AY9" s="190">
        <v>87</v>
      </c>
      <c r="AZ9" s="190">
        <v>1319</v>
      </c>
      <c r="BA9" s="190">
        <v>1406</v>
      </c>
      <c r="BB9" s="190">
        <v>12</v>
      </c>
      <c r="BC9" s="190">
        <v>0</v>
      </c>
      <c r="BD9" s="190">
        <v>0</v>
      </c>
      <c r="BE9" s="190">
        <v>774</v>
      </c>
      <c r="BF9" s="190">
        <v>1</v>
      </c>
      <c r="BG9" s="190">
        <v>1</v>
      </c>
      <c r="BH9" s="190">
        <v>12</v>
      </c>
      <c r="BI9" s="190">
        <v>776</v>
      </c>
      <c r="BJ9" s="190">
        <v>788</v>
      </c>
      <c r="BK9" s="190">
        <v>9</v>
      </c>
      <c r="BL9" s="190">
        <v>-9</v>
      </c>
      <c r="BM9" s="190">
        <v>0</v>
      </c>
      <c r="BN9" s="190">
        <v>13</v>
      </c>
      <c r="BO9" s="190">
        <v>77</v>
      </c>
      <c r="BP9" s="190">
        <v>90</v>
      </c>
      <c r="BQ9" s="190">
        <v>6</v>
      </c>
      <c r="BR9" s="190">
        <v>145</v>
      </c>
      <c r="BS9" s="190">
        <v>151</v>
      </c>
      <c r="BT9" s="190">
        <v>47</v>
      </c>
      <c r="BU9" s="190">
        <v>330</v>
      </c>
      <c r="BV9" s="190">
        <v>377</v>
      </c>
      <c r="BW9" s="190">
        <v>1556</v>
      </c>
      <c r="BX9" s="190">
        <v>15457</v>
      </c>
      <c r="BY9" s="190">
        <v>17013</v>
      </c>
      <c r="BZ9" s="190">
        <v>1548</v>
      </c>
      <c r="CA9" s="190">
        <v>15387</v>
      </c>
      <c r="CB9" s="190">
        <v>16935</v>
      </c>
      <c r="CC9" s="190">
        <v>31335</v>
      </c>
      <c r="CD9" s="190">
        <v>8</v>
      </c>
      <c r="CE9" s="190">
        <v>49</v>
      </c>
      <c r="CF9" s="190">
        <v>8</v>
      </c>
      <c r="CG9" s="190">
        <v>46</v>
      </c>
      <c r="CH9" s="190">
        <v>54</v>
      </c>
      <c r="CI9" s="190">
        <v>24</v>
      </c>
      <c r="CJ9" s="190">
        <v>4</v>
      </c>
      <c r="CK9" s="190">
        <v>0</v>
      </c>
      <c r="CL9" s="190">
        <v>24</v>
      </c>
      <c r="CM9" s="190">
        <v>24</v>
      </c>
      <c r="CN9" s="190">
        <v>64</v>
      </c>
      <c r="CO9" s="190">
        <v>1186</v>
      </c>
      <c r="CP9" s="190">
        <v>1250</v>
      </c>
      <c r="CQ9" s="190">
        <v>0</v>
      </c>
      <c r="CR9" s="190">
        <v>18</v>
      </c>
      <c r="CS9" s="190">
        <v>18</v>
      </c>
      <c r="CT9" s="190">
        <v>1492</v>
      </c>
      <c r="CU9" s="190">
        <v>14271</v>
      </c>
      <c r="CV9" s="190">
        <v>15763</v>
      </c>
      <c r="CW9" s="190">
        <v>98</v>
      </c>
      <c r="CX9" s="190">
        <v>597</v>
      </c>
      <c r="CY9" s="190">
        <v>695</v>
      </c>
      <c r="CZ9" s="190">
        <v>98</v>
      </c>
      <c r="DA9" s="190">
        <v>0</v>
      </c>
      <c r="DB9" s="190">
        <v>0</v>
      </c>
      <c r="DC9" s="190">
        <v>586</v>
      </c>
      <c r="DD9" s="190">
        <v>0</v>
      </c>
      <c r="DE9" s="190">
        <v>1</v>
      </c>
      <c r="DF9" s="190">
        <v>98</v>
      </c>
      <c r="DG9" s="190">
        <v>587</v>
      </c>
      <c r="DH9" s="190">
        <v>685</v>
      </c>
      <c r="DI9" s="190">
        <v>0</v>
      </c>
      <c r="DJ9" s="190">
        <v>0</v>
      </c>
      <c r="DK9" s="190">
        <v>0</v>
      </c>
      <c r="DL9" s="190">
        <v>10</v>
      </c>
      <c r="DM9" s="190">
        <v>0</v>
      </c>
      <c r="DN9" s="190">
        <v>0</v>
      </c>
      <c r="DO9" s="190">
        <v>0</v>
      </c>
      <c r="DP9" s="190">
        <v>10</v>
      </c>
      <c r="DQ9" s="190">
        <v>10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175</v>
      </c>
      <c r="C10" s="190">
        <v>31</v>
      </c>
      <c r="D10" s="190">
        <v>163</v>
      </c>
      <c r="E10" s="190">
        <v>133</v>
      </c>
      <c r="F10" s="190">
        <v>0</v>
      </c>
      <c r="G10" s="190">
        <v>1</v>
      </c>
      <c r="H10" s="190">
        <v>1</v>
      </c>
      <c r="I10" s="190">
        <v>0</v>
      </c>
      <c r="J10" s="190">
        <v>25</v>
      </c>
      <c r="K10" s="190">
        <v>25</v>
      </c>
      <c r="L10" s="190">
        <v>0</v>
      </c>
      <c r="M10" s="190">
        <v>13</v>
      </c>
      <c r="N10" s="190">
        <v>13</v>
      </c>
      <c r="O10" s="190">
        <v>0</v>
      </c>
      <c r="P10" s="190">
        <v>12</v>
      </c>
      <c r="Q10" s="190">
        <v>12</v>
      </c>
      <c r="R10" s="190">
        <v>0</v>
      </c>
      <c r="S10" s="190">
        <v>2</v>
      </c>
      <c r="T10" s="190">
        <v>2</v>
      </c>
      <c r="U10" s="190">
        <v>0</v>
      </c>
      <c r="V10" s="190">
        <v>5</v>
      </c>
      <c r="W10" s="190">
        <v>5</v>
      </c>
      <c r="X10" s="190">
        <v>7</v>
      </c>
      <c r="Y10" s="190">
        <v>156</v>
      </c>
      <c r="Z10" s="190">
        <v>163</v>
      </c>
      <c r="AA10" s="190">
        <v>3</v>
      </c>
      <c r="AB10" s="190">
        <v>84</v>
      </c>
      <c r="AC10" s="190">
        <v>87</v>
      </c>
      <c r="AD10" s="190">
        <v>2</v>
      </c>
      <c r="AE10" s="190">
        <v>79</v>
      </c>
      <c r="AF10" s="190">
        <v>81</v>
      </c>
      <c r="AG10" s="190">
        <v>0</v>
      </c>
      <c r="AH10" s="190">
        <v>3</v>
      </c>
      <c r="AI10" s="190">
        <v>3</v>
      </c>
      <c r="AJ10" s="190">
        <v>1</v>
      </c>
      <c r="AK10" s="190">
        <v>2</v>
      </c>
      <c r="AL10" s="190">
        <v>3</v>
      </c>
      <c r="AM10" s="190">
        <v>4</v>
      </c>
      <c r="AN10" s="190">
        <v>72</v>
      </c>
      <c r="AO10" s="190">
        <v>76</v>
      </c>
      <c r="AP10" s="190">
        <v>186</v>
      </c>
      <c r="AQ10" s="190">
        <v>2421</v>
      </c>
      <c r="AR10" s="190">
        <v>2607</v>
      </c>
      <c r="AS10" s="190">
        <v>186</v>
      </c>
      <c r="AT10" s="190">
        <v>2421</v>
      </c>
      <c r="AU10" s="190">
        <v>2607</v>
      </c>
      <c r="AV10" s="190">
        <v>0</v>
      </c>
      <c r="AW10" s="190">
        <v>0</v>
      </c>
      <c r="AX10" s="190">
        <v>0</v>
      </c>
      <c r="AY10" s="190">
        <v>13</v>
      </c>
      <c r="AZ10" s="190">
        <v>217</v>
      </c>
      <c r="BA10" s="190">
        <v>230</v>
      </c>
      <c r="BB10" s="190">
        <v>8</v>
      </c>
      <c r="BC10" s="190">
        <v>0</v>
      </c>
      <c r="BD10" s="190">
        <v>0</v>
      </c>
      <c r="BE10" s="190">
        <v>125</v>
      </c>
      <c r="BF10" s="190">
        <v>0</v>
      </c>
      <c r="BG10" s="190">
        <v>0</v>
      </c>
      <c r="BH10" s="190">
        <v>8</v>
      </c>
      <c r="BI10" s="190">
        <v>125</v>
      </c>
      <c r="BJ10" s="190">
        <v>133</v>
      </c>
      <c r="BK10" s="190">
        <v>1</v>
      </c>
      <c r="BL10" s="190">
        <v>-1</v>
      </c>
      <c r="BM10" s="190">
        <v>0</v>
      </c>
      <c r="BN10" s="190">
        <v>3</v>
      </c>
      <c r="BO10" s="190">
        <v>12</v>
      </c>
      <c r="BP10" s="190">
        <v>15</v>
      </c>
      <c r="BQ10" s="190">
        <v>0</v>
      </c>
      <c r="BR10" s="190">
        <v>36</v>
      </c>
      <c r="BS10" s="190">
        <v>36</v>
      </c>
      <c r="BT10" s="190">
        <v>1</v>
      </c>
      <c r="BU10" s="190">
        <v>45</v>
      </c>
      <c r="BV10" s="190">
        <v>46</v>
      </c>
      <c r="BW10" s="190">
        <v>199</v>
      </c>
      <c r="BX10" s="190">
        <v>2638</v>
      </c>
      <c r="BY10" s="190">
        <v>2837</v>
      </c>
      <c r="BZ10" s="190">
        <v>199</v>
      </c>
      <c r="CA10" s="190">
        <v>2630</v>
      </c>
      <c r="CB10" s="190">
        <v>2829</v>
      </c>
      <c r="CC10" s="190">
        <v>5079</v>
      </c>
      <c r="CD10" s="190">
        <v>1</v>
      </c>
      <c r="CE10" s="190">
        <v>4</v>
      </c>
      <c r="CF10" s="190">
        <v>0</v>
      </c>
      <c r="CG10" s="190">
        <v>4</v>
      </c>
      <c r="CH10" s="190">
        <v>4</v>
      </c>
      <c r="CI10" s="190">
        <v>5</v>
      </c>
      <c r="CJ10" s="190">
        <v>0</v>
      </c>
      <c r="CK10" s="190">
        <v>0</v>
      </c>
      <c r="CL10" s="190">
        <v>4</v>
      </c>
      <c r="CM10" s="190">
        <v>4</v>
      </c>
      <c r="CN10" s="190">
        <v>13</v>
      </c>
      <c r="CO10" s="190">
        <v>188</v>
      </c>
      <c r="CP10" s="190">
        <v>201</v>
      </c>
      <c r="CQ10" s="190">
        <v>0</v>
      </c>
      <c r="CR10" s="190">
        <v>0</v>
      </c>
      <c r="CS10" s="190">
        <v>0</v>
      </c>
      <c r="CT10" s="190">
        <v>186</v>
      </c>
      <c r="CU10" s="190">
        <v>2450</v>
      </c>
      <c r="CV10" s="190">
        <v>2636</v>
      </c>
      <c r="CW10" s="190">
        <v>11</v>
      </c>
      <c r="CX10" s="190">
        <v>96</v>
      </c>
      <c r="CY10" s="190">
        <v>107</v>
      </c>
      <c r="CZ10" s="190">
        <v>11</v>
      </c>
      <c r="DA10" s="190">
        <v>0</v>
      </c>
      <c r="DB10" s="190">
        <v>0</v>
      </c>
      <c r="DC10" s="190">
        <v>95</v>
      </c>
      <c r="DD10" s="190">
        <v>0</v>
      </c>
      <c r="DE10" s="190">
        <v>1</v>
      </c>
      <c r="DF10" s="190">
        <v>11</v>
      </c>
      <c r="DG10" s="190">
        <v>96</v>
      </c>
      <c r="DH10" s="190">
        <v>107</v>
      </c>
      <c r="DI10" s="190">
        <v>0</v>
      </c>
      <c r="DJ10" s="190">
        <v>0</v>
      </c>
      <c r="DK10" s="190">
        <v>0</v>
      </c>
      <c r="DL10" s="190">
        <v>0</v>
      </c>
      <c r="DM10" s="190">
        <v>0</v>
      </c>
      <c r="DN10" s="190">
        <v>0</v>
      </c>
      <c r="DO10" s="190">
        <v>0</v>
      </c>
      <c r="DP10" s="190">
        <v>0</v>
      </c>
      <c r="DQ10" s="190">
        <v>0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67</v>
      </c>
      <c r="C11" s="190">
        <v>5</v>
      </c>
      <c r="D11" s="190">
        <v>63</v>
      </c>
      <c r="E11" s="190">
        <v>33</v>
      </c>
      <c r="F11" s="190">
        <v>0</v>
      </c>
      <c r="G11" s="190">
        <v>2</v>
      </c>
      <c r="H11" s="190">
        <v>2</v>
      </c>
      <c r="I11" s="190">
        <v>0</v>
      </c>
      <c r="J11" s="190">
        <v>28</v>
      </c>
      <c r="K11" s="190">
        <v>28</v>
      </c>
      <c r="L11" s="190">
        <v>0</v>
      </c>
      <c r="M11" s="190">
        <v>10</v>
      </c>
      <c r="N11" s="190">
        <v>10</v>
      </c>
      <c r="O11" s="190">
        <v>0</v>
      </c>
      <c r="P11" s="190">
        <v>18</v>
      </c>
      <c r="Q11" s="190">
        <v>18</v>
      </c>
      <c r="R11" s="190">
        <v>0</v>
      </c>
      <c r="S11" s="190">
        <v>1</v>
      </c>
      <c r="T11" s="190">
        <v>1</v>
      </c>
      <c r="U11" s="190">
        <v>0</v>
      </c>
      <c r="V11" s="190">
        <v>2</v>
      </c>
      <c r="W11" s="190">
        <v>2</v>
      </c>
      <c r="X11" s="190">
        <v>0</v>
      </c>
      <c r="Y11" s="190">
        <v>63</v>
      </c>
      <c r="Z11" s="190">
        <v>63</v>
      </c>
      <c r="AA11" s="190">
        <v>0</v>
      </c>
      <c r="AB11" s="190">
        <v>25</v>
      </c>
      <c r="AC11" s="190">
        <v>25</v>
      </c>
      <c r="AD11" s="190">
        <v>0</v>
      </c>
      <c r="AE11" s="190">
        <v>24</v>
      </c>
      <c r="AF11" s="190">
        <v>24</v>
      </c>
      <c r="AG11" s="190">
        <v>0</v>
      </c>
      <c r="AH11" s="190">
        <v>1</v>
      </c>
      <c r="AI11" s="190">
        <v>1</v>
      </c>
      <c r="AJ11" s="190">
        <v>0</v>
      </c>
      <c r="AK11" s="190">
        <v>0</v>
      </c>
      <c r="AL11" s="190">
        <v>0</v>
      </c>
      <c r="AM11" s="190">
        <v>0</v>
      </c>
      <c r="AN11" s="190">
        <v>38</v>
      </c>
      <c r="AO11" s="190">
        <v>38</v>
      </c>
      <c r="AP11" s="190">
        <v>89</v>
      </c>
      <c r="AQ11" s="190">
        <v>564</v>
      </c>
      <c r="AR11" s="190">
        <v>653</v>
      </c>
      <c r="AS11" s="190">
        <v>89</v>
      </c>
      <c r="AT11" s="190">
        <v>564</v>
      </c>
      <c r="AU11" s="190">
        <v>653</v>
      </c>
      <c r="AV11" s="190">
        <v>0</v>
      </c>
      <c r="AW11" s="190">
        <v>0</v>
      </c>
      <c r="AX11" s="190">
        <v>0</v>
      </c>
      <c r="AY11" s="190">
        <v>-2</v>
      </c>
      <c r="AZ11" s="190">
        <v>69</v>
      </c>
      <c r="BA11" s="190">
        <v>67</v>
      </c>
      <c r="BB11" s="190">
        <v>0</v>
      </c>
      <c r="BC11" s="190">
        <v>0</v>
      </c>
      <c r="BD11" s="190">
        <v>0</v>
      </c>
      <c r="BE11" s="190">
        <v>33</v>
      </c>
      <c r="BF11" s="190">
        <v>0</v>
      </c>
      <c r="BG11" s="190">
        <v>0</v>
      </c>
      <c r="BH11" s="190">
        <v>0</v>
      </c>
      <c r="BI11" s="190">
        <v>33</v>
      </c>
      <c r="BJ11" s="190">
        <v>33</v>
      </c>
      <c r="BK11" s="190">
        <v>-8</v>
      </c>
      <c r="BL11" s="190">
        <v>8</v>
      </c>
      <c r="BM11" s="190">
        <v>0</v>
      </c>
      <c r="BN11" s="190">
        <v>2</v>
      </c>
      <c r="BO11" s="190">
        <v>6</v>
      </c>
      <c r="BP11" s="190">
        <v>8</v>
      </c>
      <c r="BQ11" s="190">
        <v>0</v>
      </c>
      <c r="BR11" s="190">
        <v>2</v>
      </c>
      <c r="BS11" s="190">
        <v>2</v>
      </c>
      <c r="BT11" s="190">
        <v>4</v>
      </c>
      <c r="BU11" s="190">
        <v>20</v>
      </c>
      <c r="BV11" s="190">
        <v>24</v>
      </c>
      <c r="BW11" s="190">
        <v>87</v>
      </c>
      <c r="BX11" s="190">
        <v>633</v>
      </c>
      <c r="BY11" s="190">
        <v>720</v>
      </c>
      <c r="BZ11" s="190">
        <v>84</v>
      </c>
      <c r="CA11" s="190">
        <v>629</v>
      </c>
      <c r="CB11" s="190">
        <v>713</v>
      </c>
      <c r="CC11" s="190">
        <v>1643</v>
      </c>
      <c r="CD11" s="190">
        <v>1</v>
      </c>
      <c r="CE11" s="190">
        <v>5</v>
      </c>
      <c r="CF11" s="190">
        <v>3</v>
      </c>
      <c r="CG11" s="190">
        <v>3</v>
      </c>
      <c r="CH11" s="190">
        <v>6</v>
      </c>
      <c r="CI11" s="190">
        <v>1</v>
      </c>
      <c r="CJ11" s="190">
        <v>0</v>
      </c>
      <c r="CK11" s="190">
        <v>0</v>
      </c>
      <c r="CL11" s="190">
        <v>1</v>
      </c>
      <c r="CM11" s="190">
        <v>1</v>
      </c>
      <c r="CN11" s="190">
        <v>5</v>
      </c>
      <c r="CO11" s="190">
        <v>57</v>
      </c>
      <c r="CP11" s="190">
        <v>62</v>
      </c>
      <c r="CQ11" s="190">
        <v>0</v>
      </c>
      <c r="CR11" s="190">
        <v>0</v>
      </c>
      <c r="CS11" s="190">
        <v>0</v>
      </c>
      <c r="CT11" s="190">
        <v>82</v>
      </c>
      <c r="CU11" s="190">
        <v>576</v>
      </c>
      <c r="CV11" s="190">
        <v>658</v>
      </c>
      <c r="CW11" s="190">
        <v>1</v>
      </c>
      <c r="CX11" s="190">
        <v>19</v>
      </c>
      <c r="CY11" s="190">
        <v>20</v>
      </c>
      <c r="CZ11" s="190">
        <v>1</v>
      </c>
      <c r="DA11" s="190">
        <v>0</v>
      </c>
      <c r="DB11" s="190">
        <v>0</v>
      </c>
      <c r="DC11" s="190">
        <v>18</v>
      </c>
      <c r="DD11" s="190">
        <v>0</v>
      </c>
      <c r="DE11" s="190">
        <v>0</v>
      </c>
      <c r="DF11" s="190">
        <v>1</v>
      </c>
      <c r="DG11" s="190">
        <v>18</v>
      </c>
      <c r="DH11" s="190">
        <v>19</v>
      </c>
      <c r="DI11" s="190">
        <v>0</v>
      </c>
      <c r="DJ11" s="190">
        <v>0</v>
      </c>
      <c r="DK11" s="190">
        <v>0</v>
      </c>
      <c r="DL11" s="190">
        <v>1</v>
      </c>
      <c r="DM11" s="190">
        <v>0</v>
      </c>
      <c r="DN11" s="190">
        <v>0</v>
      </c>
      <c r="DO11" s="190">
        <v>0</v>
      </c>
      <c r="DP11" s="190">
        <v>1</v>
      </c>
      <c r="DQ11" s="190">
        <v>1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2222</v>
      </c>
      <c r="C12" s="190">
        <v>592</v>
      </c>
      <c r="D12" s="190">
        <v>1861</v>
      </c>
      <c r="E12" s="190">
        <v>1081</v>
      </c>
      <c r="F12" s="190">
        <v>9</v>
      </c>
      <c r="G12" s="190">
        <v>16</v>
      </c>
      <c r="H12" s="190">
        <v>25</v>
      </c>
      <c r="I12" s="190">
        <v>1</v>
      </c>
      <c r="J12" s="190">
        <v>741</v>
      </c>
      <c r="K12" s="190">
        <v>742</v>
      </c>
      <c r="L12" s="190">
        <v>0</v>
      </c>
      <c r="M12" s="190">
        <v>238</v>
      </c>
      <c r="N12" s="190">
        <v>238</v>
      </c>
      <c r="O12" s="190">
        <v>1</v>
      </c>
      <c r="P12" s="190">
        <v>503</v>
      </c>
      <c r="Q12" s="190">
        <v>504</v>
      </c>
      <c r="R12" s="190">
        <v>0</v>
      </c>
      <c r="S12" s="190">
        <v>59</v>
      </c>
      <c r="T12" s="190">
        <v>59</v>
      </c>
      <c r="U12" s="190">
        <v>0</v>
      </c>
      <c r="V12" s="190">
        <v>38</v>
      </c>
      <c r="W12" s="190">
        <v>38</v>
      </c>
      <c r="X12" s="190">
        <v>42</v>
      </c>
      <c r="Y12" s="190">
        <v>919</v>
      </c>
      <c r="Z12" s="190">
        <v>961</v>
      </c>
      <c r="AA12" s="190">
        <v>25</v>
      </c>
      <c r="AB12" s="190">
        <v>495</v>
      </c>
      <c r="AC12" s="190">
        <v>520</v>
      </c>
      <c r="AD12" s="190">
        <v>25</v>
      </c>
      <c r="AE12" s="190">
        <v>488</v>
      </c>
      <c r="AF12" s="190">
        <v>513</v>
      </c>
      <c r="AG12" s="190">
        <v>0</v>
      </c>
      <c r="AH12" s="190">
        <v>3</v>
      </c>
      <c r="AI12" s="190">
        <v>3</v>
      </c>
      <c r="AJ12" s="190">
        <v>0</v>
      </c>
      <c r="AK12" s="190">
        <v>4</v>
      </c>
      <c r="AL12" s="190">
        <v>4</v>
      </c>
      <c r="AM12" s="190">
        <v>17</v>
      </c>
      <c r="AN12" s="190">
        <v>424</v>
      </c>
      <c r="AO12" s="190">
        <v>441</v>
      </c>
      <c r="AP12" s="190">
        <v>3650</v>
      </c>
      <c r="AQ12" s="190">
        <v>25195</v>
      </c>
      <c r="AR12" s="190">
        <v>28845</v>
      </c>
      <c r="AS12" s="190">
        <v>3607</v>
      </c>
      <c r="AT12" s="190">
        <v>24949</v>
      </c>
      <c r="AU12" s="190">
        <v>28556</v>
      </c>
      <c r="AV12" s="190">
        <v>43</v>
      </c>
      <c r="AW12" s="190">
        <v>246</v>
      </c>
      <c r="AX12" s="190">
        <v>289</v>
      </c>
      <c r="AY12" s="190">
        <v>154</v>
      </c>
      <c r="AZ12" s="190">
        <v>2497</v>
      </c>
      <c r="BA12" s="190">
        <v>2651</v>
      </c>
      <c r="BB12" s="190">
        <v>96</v>
      </c>
      <c r="BC12" s="190">
        <v>4</v>
      </c>
      <c r="BD12" s="190">
        <v>0</v>
      </c>
      <c r="BE12" s="190">
        <v>956</v>
      </c>
      <c r="BF12" s="190">
        <v>14</v>
      </c>
      <c r="BG12" s="190">
        <v>11</v>
      </c>
      <c r="BH12" s="190">
        <v>100</v>
      </c>
      <c r="BI12" s="190">
        <v>981</v>
      </c>
      <c r="BJ12" s="190">
        <v>1081</v>
      </c>
      <c r="BK12" s="190">
        <v>-93</v>
      </c>
      <c r="BL12" s="190">
        <v>93</v>
      </c>
      <c r="BM12" s="190">
        <v>0</v>
      </c>
      <c r="BN12" s="190">
        <v>10</v>
      </c>
      <c r="BO12" s="190">
        <v>99</v>
      </c>
      <c r="BP12" s="190">
        <v>109</v>
      </c>
      <c r="BQ12" s="190">
        <v>5</v>
      </c>
      <c r="BR12" s="190">
        <v>46</v>
      </c>
      <c r="BS12" s="190">
        <v>51</v>
      </c>
      <c r="BT12" s="190">
        <v>132</v>
      </c>
      <c r="BU12" s="190">
        <v>1278</v>
      </c>
      <c r="BV12" s="190">
        <v>1410</v>
      </c>
      <c r="BW12" s="190">
        <v>3804</v>
      </c>
      <c r="BX12" s="190">
        <v>27692</v>
      </c>
      <c r="BY12" s="190">
        <v>31496</v>
      </c>
      <c r="BZ12" s="190">
        <v>3695</v>
      </c>
      <c r="CA12" s="190">
        <v>27173</v>
      </c>
      <c r="CB12" s="190">
        <v>30868</v>
      </c>
      <c r="CC12" s="190">
        <v>63055</v>
      </c>
      <c r="CD12" s="190">
        <v>30</v>
      </c>
      <c r="CE12" s="190">
        <v>672</v>
      </c>
      <c r="CF12" s="190">
        <v>107</v>
      </c>
      <c r="CG12" s="190">
        <v>391</v>
      </c>
      <c r="CH12" s="190">
        <v>498</v>
      </c>
      <c r="CI12" s="190">
        <v>157</v>
      </c>
      <c r="CJ12" s="190">
        <v>16</v>
      </c>
      <c r="CK12" s="190">
        <v>2</v>
      </c>
      <c r="CL12" s="190">
        <v>128</v>
      </c>
      <c r="CM12" s="190">
        <v>130</v>
      </c>
      <c r="CN12" s="190">
        <v>180</v>
      </c>
      <c r="CO12" s="190">
        <v>2602</v>
      </c>
      <c r="CP12" s="190">
        <v>2782</v>
      </c>
      <c r="CQ12" s="190">
        <v>0</v>
      </c>
      <c r="CR12" s="190">
        <v>0</v>
      </c>
      <c r="CS12" s="190">
        <v>0</v>
      </c>
      <c r="CT12" s="190">
        <v>3624</v>
      </c>
      <c r="CU12" s="190">
        <v>25090</v>
      </c>
      <c r="CV12" s="190">
        <v>28714</v>
      </c>
      <c r="CW12" s="190">
        <v>263</v>
      </c>
      <c r="CX12" s="190">
        <v>1348</v>
      </c>
      <c r="CY12" s="190">
        <v>1611</v>
      </c>
      <c r="CZ12" s="190">
        <v>257</v>
      </c>
      <c r="DA12" s="190">
        <v>1</v>
      </c>
      <c r="DB12" s="190">
        <v>0</v>
      </c>
      <c r="DC12" s="190">
        <v>1282</v>
      </c>
      <c r="DD12" s="190">
        <v>19</v>
      </c>
      <c r="DE12" s="190">
        <v>1</v>
      </c>
      <c r="DF12" s="190">
        <v>258</v>
      </c>
      <c r="DG12" s="190">
        <v>1302</v>
      </c>
      <c r="DH12" s="190">
        <v>1560</v>
      </c>
      <c r="DI12" s="190">
        <v>5</v>
      </c>
      <c r="DJ12" s="190">
        <v>0</v>
      </c>
      <c r="DK12" s="190">
        <v>0</v>
      </c>
      <c r="DL12" s="190">
        <v>42</v>
      </c>
      <c r="DM12" s="190">
        <v>3</v>
      </c>
      <c r="DN12" s="190">
        <v>1</v>
      </c>
      <c r="DO12" s="190">
        <v>5</v>
      </c>
      <c r="DP12" s="190">
        <v>46</v>
      </c>
      <c r="DQ12" s="190">
        <v>51</v>
      </c>
      <c r="DR12" s="190">
        <v>0</v>
      </c>
      <c r="DS12" s="190">
        <v>2</v>
      </c>
      <c r="DT12" s="191">
        <v>2</v>
      </c>
    </row>
    <row r="13" spans="1:129">
      <c r="A13" s="189" t="s">
        <v>278</v>
      </c>
      <c r="B13" s="190">
        <v>161</v>
      </c>
      <c r="C13" s="190">
        <v>6</v>
      </c>
      <c r="D13" s="190">
        <v>165</v>
      </c>
      <c r="E13" s="190">
        <v>89</v>
      </c>
      <c r="F13" s="190">
        <v>0</v>
      </c>
      <c r="G13" s="190">
        <v>1</v>
      </c>
      <c r="H13" s="190">
        <v>1</v>
      </c>
      <c r="I13" s="190">
        <v>0</v>
      </c>
      <c r="J13" s="190">
        <v>69</v>
      </c>
      <c r="K13" s="190">
        <v>69</v>
      </c>
      <c r="L13" s="190">
        <v>0</v>
      </c>
      <c r="M13" s="190">
        <v>23</v>
      </c>
      <c r="N13" s="190">
        <v>23</v>
      </c>
      <c r="O13" s="190">
        <v>0</v>
      </c>
      <c r="P13" s="190">
        <v>46</v>
      </c>
      <c r="Q13" s="190">
        <v>46</v>
      </c>
      <c r="R13" s="190">
        <v>0</v>
      </c>
      <c r="S13" s="190">
        <v>0</v>
      </c>
      <c r="T13" s="190">
        <v>0</v>
      </c>
      <c r="U13" s="190">
        <v>0</v>
      </c>
      <c r="V13" s="190">
        <v>7</v>
      </c>
      <c r="W13" s="190">
        <v>7</v>
      </c>
      <c r="X13" s="190">
        <v>3</v>
      </c>
      <c r="Y13" s="190">
        <v>162</v>
      </c>
      <c r="Z13" s="190">
        <v>165</v>
      </c>
      <c r="AA13" s="190">
        <v>2</v>
      </c>
      <c r="AB13" s="190">
        <v>57</v>
      </c>
      <c r="AC13" s="190">
        <v>59</v>
      </c>
      <c r="AD13" s="190">
        <v>2</v>
      </c>
      <c r="AE13" s="190">
        <v>54</v>
      </c>
      <c r="AF13" s="190">
        <v>56</v>
      </c>
      <c r="AG13" s="190">
        <v>0</v>
      </c>
      <c r="AH13" s="190">
        <v>1</v>
      </c>
      <c r="AI13" s="190">
        <v>1</v>
      </c>
      <c r="AJ13" s="190">
        <v>0</v>
      </c>
      <c r="AK13" s="190">
        <v>2</v>
      </c>
      <c r="AL13" s="190">
        <v>2</v>
      </c>
      <c r="AM13" s="190">
        <v>1</v>
      </c>
      <c r="AN13" s="190">
        <v>105</v>
      </c>
      <c r="AO13" s="190">
        <v>106</v>
      </c>
      <c r="AP13" s="190">
        <v>344</v>
      </c>
      <c r="AQ13" s="190">
        <v>1988</v>
      </c>
      <c r="AR13" s="190">
        <v>2332</v>
      </c>
      <c r="AS13" s="190">
        <v>344</v>
      </c>
      <c r="AT13" s="190">
        <v>1988</v>
      </c>
      <c r="AU13" s="190">
        <v>2332</v>
      </c>
      <c r="AV13" s="190">
        <v>0</v>
      </c>
      <c r="AW13" s="190">
        <v>0</v>
      </c>
      <c r="AX13" s="190">
        <v>0</v>
      </c>
      <c r="AY13" s="190">
        <v>34</v>
      </c>
      <c r="AZ13" s="190">
        <v>217</v>
      </c>
      <c r="BA13" s="190">
        <v>251</v>
      </c>
      <c r="BB13" s="190">
        <v>4</v>
      </c>
      <c r="BC13" s="190">
        <v>0</v>
      </c>
      <c r="BD13" s="190">
        <v>0</v>
      </c>
      <c r="BE13" s="190">
        <v>85</v>
      </c>
      <c r="BF13" s="190">
        <v>0</v>
      </c>
      <c r="BG13" s="190">
        <v>0</v>
      </c>
      <c r="BH13" s="190">
        <v>4</v>
      </c>
      <c r="BI13" s="190">
        <v>85</v>
      </c>
      <c r="BJ13" s="190">
        <v>89</v>
      </c>
      <c r="BK13" s="190">
        <v>2</v>
      </c>
      <c r="BL13" s="190">
        <v>-2</v>
      </c>
      <c r="BM13" s="190">
        <v>0</v>
      </c>
      <c r="BN13" s="190">
        <v>0</v>
      </c>
      <c r="BO13" s="190">
        <v>4</v>
      </c>
      <c r="BP13" s="190">
        <v>4</v>
      </c>
      <c r="BQ13" s="190">
        <v>4</v>
      </c>
      <c r="BR13" s="190">
        <v>40</v>
      </c>
      <c r="BS13" s="190">
        <v>44</v>
      </c>
      <c r="BT13" s="190">
        <v>24</v>
      </c>
      <c r="BU13" s="190">
        <v>90</v>
      </c>
      <c r="BV13" s="190">
        <v>114</v>
      </c>
      <c r="BW13" s="190">
        <v>378</v>
      </c>
      <c r="BX13" s="190">
        <v>2205</v>
      </c>
      <c r="BY13" s="190">
        <v>2583</v>
      </c>
      <c r="BZ13" s="190">
        <v>378</v>
      </c>
      <c r="CA13" s="190">
        <v>2204</v>
      </c>
      <c r="CB13" s="190">
        <v>2582</v>
      </c>
      <c r="CC13" s="190">
        <v>5314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2</v>
      </c>
      <c r="CJ13" s="190">
        <v>0</v>
      </c>
      <c r="CK13" s="190">
        <v>0</v>
      </c>
      <c r="CL13" s="190">
        <v>1</v>
      </c>
      <c r="CM13" s="190">
        <v>1</v>
      </c>
      <c r="CN13" s="190">
        <v>18</v>
      </c>
      <c r="CO13" s="190">
        <v>172</v>
      </c>
      <c r="CP13" s="190">
        <v>190</v>
      </c>
      <c r="CQ13" s="190">
        <v>0</v>
      </c>
      <c r="CR13" s="190">
        <v>0</v>
      </c>
      <c r="CS13" s="190">
        <v>0</v>
      </c>
      <c r="CT13" s="190">
        <v>360</v>
      </c>
      <c r="CU13" s="190">
        <v>2033</v>
      </c>
      <c r="CV13" s="190">
        <v>2393</v>
      </c>
      <c r="CW13" s="190">
        <v>23</v>
      </c>
      <c r="CX13" s="190">
        <v>139</v>
      </c>
      <c r="CY13" s="190">
        <v>162</v>
      </c>
      <c r="CZ13" s="190">
        <v>23</v>
      </c>
      <c r="DA13" s="190">
        <v>0</v>
      </c>
      <c r="DB13" s="190">
        <v>0</v>
      </c>
      <c r="DC13" s="190">
        <v>138</v>
      </c>
      <c r="DD13" s="190">
        <v>0</v>
      </c>
      <c r="DE13" s="190">
        <v>0</v>
      </c>
      <c r="DF13" s="190">
        <v>23</v>
      </c>
      <c r="DG13" s="190">
        <v>138</v>
      </c>
      <c r="DH13" s="190">
        <v>161</v>
      </c>
      <c r="DI13" s="190">
        <v>0</v>
      </c>
      <c r="DJ13" s="190">
        <v>0</v>
      </c>
      <c r="DK13" s="190">
        <v>0</v>
      </c>
      <c r="DL13" s="190">
        <v>1</v>
      </c>
      <c r="DM13" s="190">
        <v>0</v>
      </c>
      <c r="DN13" s="190">
        <v>0</v>
      </c>
      <c r="DO13" s="190">
        <v>0</v>
      </c>
      <c r="DP13" s="190">
        <v>1</v>
      </c>
      <c r="DQ13" s="190">
        <v>1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600</v>
      </c>
      <c r="C14" s="190">
        <v>122</v>
      </c>
      <c r="D14" s="190">
        <v>565</v>
      </c>
      <c r="E14" s="190">
        <v>383</v>
      </c>
      <c r="F14" s="190">
        <v>0</v>
      </c>
      <c r="G14" s="190">
        <v>0</v>
      </c>
      <c r="H14" s="190">
        <v>0</v>
      </c>
      <c r="I14" s="190">
        <v>0</v>
      </c>
      <c r="J14" s="190">
        <v>172</v>
      </c>
      <c r="K14" s="190">
        <v>172</v>
      </c>
      <c r="L14" s="190">
        <v>0</v>
      </c>
      <c r="M14" s="190">
        <v>58</v>
      </c>
      <c r="N14" s="190">
        <v>58</v>
      </c>
      <c r="O14" s="190">
        <v>0</v>
      </c>
      <c r="P14" s="190">
        <v>114</v>
      </c>
      <c r="Q14" s="190">
        <v>114</v>
      </c>
      <c r="R14" s="190">
        <v>0</v>
      </c>
      <c r="S14" s="190">
        <v>2</v>
      </c>
      <c r="T14" s="190">
        <v>2</v>
      </c>
      <c r="U14" s="190">
        <v>0</v>
      </c>
      <c r="V14" s="190">
        <v>10</v>
      </c>
      <c r="W14" s="190">
        <v>10</v>
      </c>
      <c r="X14" s="190">
        <v>13</v>
      </c>
      <c r="Y14" s="190">
        <v>552</v>
      </c>
      <c r="Z14" s="190">
        <v>565</v>
      </c>
      <c r="AA14" s="190">
        <v>9</v>
      </c>
      <c r="AB14" s="190">
        <v>280</v>
      </c>
      <c r="AC14" s="190">
        <v>289</v>
      </c>
      <c r="AD14" s="190">
        <v>9</v>
      </c>
      <c r="AE14" s="190">
        <v>278</v>
      </c>
      <c r="AF14" s="190">
        <v>287</v>
      </c>
      <c r="AG14" s="190">
        <v>0</v>
      </c>
      <c r="AH14" s="190">
        <v>1</v>
      </c>
      <c r="AI14" s="190">
        <v>1</v>
      </c>
      <c r="AJ14" s="190">
        <v>0</v>
      </c>
      <c r="AK14" s="190">
        <v>1</v>
      </c>
      <c r="AL14" s="190">
        <v>1</v>
      </c>
      <c r="AM14" s="190">
        <v>4</v>
      </c>
      <c r="AN14" s="190">
        <v>272</v>
      </c>
      <c r="AO14" s="190">
        <v>276</v>
      </c>
      <c r="AP14" s="190">
        <v>494</v>
      </c>
      <c r="AQ14" s="190">
        <v>5875</v>
      </c>
      <c r="AR14" s="190">
        <v>6369</v>
      </c>
      <c r="AS14" s="190">
        <v>494</v>
      </c>
      <c r="AT14" s="190">
        <v>5875</v>
      </c>
      <c r="AU14" s="190">
        <v>6369</v>
      </c>
      <c r="AV14" s="190">
        <v>0</v>
      </c>
      <c r="AW14" s="190">
        <v>0</v>
      </c>
      <c r="AX14" s="190">
        <v>0</v>
      </c>
      <c r="AY14" s="190">
        <v>26</v>
      </c>
      <c r="AZ14" s="190">
        <v>622</v>
      </c>
      <c r="BA14" s="190">
        <v>648</v>
      </c>
      <c r="BB14" s="190">
        <v>15</v>
      </c>
      <c r="BC14" s="190">
        <v>0</v>
      </c>
      <c r="BD14" s="190">
        <v>0</v>
      </c>
      <c r="BE14" s="190">
        <v>367</v>
      </c>
      <c r="BF14" s="190">
        <v>1</v>
      </c>
      <c r="BG14" s="190">
        <v>0</v>
      </c>
      <c r="BH14" s="190">
        <v>15</v>
      </c>
      <c r="BI14" s="190">
        <v>368</v>
      </c>
      <c r="BJ14" s="190">
        <v>383</v>
      </c>
      <c r="BK14" s="190">
        <v>-9</v>
      </c>
      <c r="BL14" s="190">
        <v>9</v>
      </c>
      <c r="BM14" s="190">
        <v>0</v>
      </c>
      <c r="BN14" s="190">
        <v>1</v>
      </c>
      <c r="BO14" s="190">
        <v>23</v>
      </c>
      <c r="BP14" s="190">
        <v>24</v>
      </c>
      <c r="BQ14" s="190">
        <v>4</v>
      </c>
      <c r="BR14" s="190">
        <v>89</v>
      </c>
      <c r="BS14" s="190">
        <v>93</v>
      </c>
      <c r="BT14" s="190">
        <v>15</v>
      </c>
      <c r="BU14" s="190">
        <v>133</v>
      </c>
      <c r="BV14" s="190">
        <v>148</v>
      </c>
      <c r="BW14" s="190">
        <v>520</v>
      </c>
      <c r="BX14" s="190">
        <v>6497</v>
      </c>
      <c r="BY14" s="190">
        <v>7017</v>
      </c>
      <c r="BZ14" s="190">
        <v>518</v>
      </c>
      <c r="CA14" s="190">
        <v>6461</v>
      </c>
      <c r="CB14" s="190">
        <v>6979</v>
      </c>
      <c r="CC14" s="190">
        <v>12368</v>
      </c>
      <c r="CD14" s="190">
        <v>4</v>
      </c>
      <c r="CE14" s="190">
        <v>33</v>
      </c>
      <c r="CF14" s="190">
        <v>2</v>
      </c>
      <c r="CG14" s="190">
        <v>28</v>
      </c>
      <c r="CH14" s="190">
        <v>30</v>
      </c>
      <c r="CI14" s="190">
        <v>9</v>
      </c>
      <c r="CJ14" s="190">
        <v>0</v>
      </c>
      <c r="CK14" s="190">
        <v>0</v>
      </c>
      <c r="CL14" s="190">
        <v>8</v>
      </c>
      <c r="CM14" s="190">
        <v>8</v>
      </c>
      <c r="CN14" s="190">
        <v>27</v>
      </c>
      <c r="CO14" s="190">
        <v>544</v>
      </c>
      <c r="CP14" s="190">
        <v>571</v>
      </c>
      <c r="CQ14" s="190">
        <v>0</v>
      </c>
      <c r="CR14" s="190">
        <v>0</v>
      </c>
      <c r="CS14" s="190">
        <v>0</v>
      </c>
      <c r="CT14" s="190">
        <v>493</v>
      </c>
      <c r="CU14" s="190">
        <v>5953</v>
      </c>
      <c r="CV14" s="190">
        <v>6446</v>
      </c>
      <c r="CW14" s="190">
        <v>37</v>
      </c>
      <c r="CX14" s="190">
        <v>267</v>
      </c>
      <c r="CY14" s="190">
        <v>304</v>
      </c>
      <c r="CZ14" s="190">
        <v>37</v>
      </c>
      <c r="DA14" s="190">
        <v>0</v>
      </c>
      <c r="DB14" s="190">
        <v>0</v>
      </c>
      <c r="DC14" s="190">
        <v>262</v>
      </c>
      <c r="DD14" s="190">
        <v>3</v>
      </c>
      <c r="DE14" s="190">
        <v>0</v>
      </c>
      <c r="DF14" s="190">
        <v>37</v>
      </c>
      <c r="DG14" s="190">
        <v>265</v>
      </c>
      <c r="DH14" s="190">
        <v>302</v>
      </c>
      <c r="DI14" s="190">
        <v>0</v>
      </c>
      <c r="DJ14" s="190">
        <v>0</v>
      </c>
      <c r="DK14" s="190">
        <v>0</v>
      </c>
      <c r="DL14" s="190">
        <v>2</v>
      </c>
      <c r="DM14" s="190">
        <v>0</v>
      </c>
      <c r="DN14" s="190">
        <v>0</v>
      </c>
      <c r="DO14" s="190">
        <v>0</v>
      </c>
      <c r="DP14" s="190">
        <v>2</v>
      </c>
      <c r="DQ14" s="190">
        <v>2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4181</v>
      </c>
      <c r="C15" s="190">
        <v>1589</v>
      </c>
      <c r="D15" s="190">
        <v>3944</v>
      </c>
      <c r="E15" s="190">
        <v>2831</v>
      </c>
      <c r="F15" s="190">
        <v>13</v>
      </c>
      <c r="G15" s="190">
        <v>88</v>
      </c>
      <c r="H15" s="190">
        <v>101</v>
      </c>
      <c r="I15" s="190">
        <v>0</v>
      </c>
      <c r="J15" s="190">
        <v>1042</v>
      </c>
      <c r="K15" s="190">
        <v>1042</v>
      </c>
      <c r="L15" s="190">
        <v>0</v>
      </c>
      <c r="M15" s="190">
        <v>1038</v>
      </c>
      <c r="N15" s="190">
        <v>1038</v>
      </c>
      <c r="O15" s="190">
        <v>0</v>
      </c>
      <c r="P15" s="190">
        <v>4</v>
      </c>
      <c r="Q15" s="190">
        <v>4</v>
      </c>
      <c r="R15" s="190">
        <v>0</v>
      </c>
      <c r="S15" s="190">
        <v>154</v>
      </c>
      <c r="T15" s="190">
        <v>154</v>
      </c>
      <c r="U15" s="190">
        <v>0</v>
      </c>
      <c r="V15" s="190">
        <v>71</v>
      </c>
      <c r="W15" s="190">
        <v>71</v>
      </c>
      <c r="X15" s="190">
        <v>60</v>
      </c>
      <c r="Y15" s="190">
        <v>3338</v>
      </c>
      <c r="Z15" s="190">
        <v>3398</v>
      </c>
      <c r="AA15" s="190">
        <v>29</v>
      </c>
      <c r="AB15" s="190">
        <v>1455</v>
      </c>
      <c r="AC15" s="190">
        <v>1484</v>
      </c>
      <c r="AD15" s="190">
        <v>29</v>
      </c>
      <c r="AE15" s="190">
        <v>1410</v>
      </c>
      <c r="AF15" s="190">
        <v>1439</v>
      </c>
      <c r="AG15" s="190">
        <v>0</v>
      </c>
      <c r="AH15" s="190">
        <v>34</v>
      </c>
      <c r="AI15" s="190">
        <v>34</v>
      </c>
      <c r="AJ15" s="190">
        <v>0</v>
      </c>
      <c r="AK15" s="190">
        <v>11</v>
      </c>
      <c r="AL15" s="190">
        <v>11</v>
      </c>
      <c r="AM15" s="190">
        <v>31</v>
      </c>
      <c r="AN15" s="190">
        <v>1883</v>
      </c>
      <c r="AO15" s="190">
        <v>1914</v>
      </c>
      <c r="AP15" s="190">
        <v>11782</v>
      </c>
      <c r="AQ15" s="190">
        <v>74194</v>
      </c>
      <c r="AR15" s="190">
        <v>85976</v>
      </c>
      <c r="AS15" s="190">
        <v>11240</v>
      </c>
      <c r="AT15" s="190">
        <v>71016</v>
      </c>
      <c r="AU15" s="190">
        <v>82256</v>
      </c>
      <c r="AV15" s="190">
        <v>542</v>
      </c>
      <c r="AW15" s="190">
        <v>3178</v>
      </c>
      <c r="AX15" s="190">
        <v>3720</v>
      </c>
      <c r="AY15" s="190">
        <v>8</v>
      </c>
      <c r="AZ15" s="190">
        <v>2953</v>
      </c>
      <c r="BA15" s="190">
        <v>2961</v>
      </c>
      <c r="BB15" s="190">
        <v>220</v>
      </c>
      <c r="BC15" s="190">
        <v>2</v>
      </c>
      <c r="BD15" s="190">
        <v>0</v>
      </c>
      <c r="BE15" s="190">
        <v>2570</v>
      </c>
      <c r="BF15" s="190">
        <v>17</v>
      </c>
      <c r="BG15" s="190">
        <v>22</v>
      </c>
      <c r="BH15" s="190">
        <v>222</v>
      </c>
      <c r="BI15" s="190">
        <v>2609</v>
      </c>
      <c r="BJ15" s="190">
        <v>2831</v>
      </c>
      <c r="BK15" s="190">
        <v>-233</v>
      </c>
      <c r="BL15" s="190">
        <v>233</v>
      </c>
      <c r="BM15" s="190">
        <v>0</v>
      </c>
      <c r="BN15" s="190">
        <v>13</v>
      </c>
      <c r="BO15" s="190">
        <v>72</v>
      </c>
      <c r="BP15" s="190">
        <v>85</v>
      </c>
      <c r="BQ15" s="190">
        <v>2</v>
      </c>
      <c r="BR15" s="190">
        <v>11</v>
      </c>
      <c r="BS15" s="190">
        <v>13</v>
      </c>
      <c r="BT15" s="190">
        <v>4</v>
      </c>
      <c r="BU15" s="190">
        <v>28</v>
      </c>
      <c r="BV15" s="190">
        <v>32</v>
      </c>
      <c r="BW15" s="190">
        <v>11790</v>
      </c>
      <c r="BX15" s="190">
        <v>77147</v>
      </c>
      <c r="BY15" s="190">
        <v>88937</v>
      </c>
      <c r="BZ15" s="190">
        <v>11594</v>
      </c>
      <c r="CA15" s="190">
        <v>76288</v>
      </c>
      <c r="CB15" s="190">
        <v>87882</v>
      </c>
      <c r="CC15" s="190">
        <v>205104</v>
      </c>
      <c r="CD15" s="190">
        <v>74</v>
      </c>
      <c r="CE15" s="190">
        <v>903</v>
      </c>
      <c r="CF15" s="190">
        <v>180</v>
      </c>
      <c r="CG15" s="190">
        <v>656</v>
      </c>
      <c r="CH15" s="190">
        <v>836</v>
      </c>
      <c r="CI15" s="190">
        <v>246</v>
      </c>
      <c r="CJ15" s="190">
        <v>38</v>
      </c>
      <c r="CK15" s="190">
        <v>16</v>
      </c>
      <c r="CL15" s="190">
        <v>203</v>
      </c>
      <c r="CM15" s="190">
        <v>219</v>
      </c>
      <c r="CN15" s="190">
        <v>696</v>
      </c>
      <c r="CO15" s="190">
        <v>6466</v>
      </c>
      <c r="CP15" s="190">
        <v>7162</v>
      </c>
      <c r="CQ15" s="190">
        <v>0</v>
      </c>
      <c r="CR15" s="190">
        <v>0</v>
      </c>
      <c r="CS15" s="190">
        <v>0</v>
      </c>
      <c r="CT15" s="190">
        <v>11094</v>
      </c>
      <c r="CU15" s="190">
        <v>70681</v>
      </c>
      <c r="CV15" s="190">
        <v>81775</v>
      </c>
      <c r="CW15" s="190">
        <v>921</v>
      </c>
      <c r="CX15" s="190">
        <v>4983</v>
      </c>
      <c r="CY15" s="190">
        <v>5904</v>
      </c>
      <c r="CZ15" s="190">
        <v>760</v>
      </c>
      <c r="DA15" s="190">
        <v>15</v>
      </c>
      <c r="DB15" s="190">
        <v>4</v>
      </c>
      <c r="DC15" s="190">
        <v>4063</v>
      </c>
      <c r="DD15" s="190">
        <v>38</v>
      </c>
      <c r="DE15" s="190">
        <v>12</v>
      </c>
      <c r="DF15" s="190">
        <v>779</v>
      </c>
      <c r="DG15" s="190">
        <v>4113</v>
      </c>
      <c r="DH15" s="190">
        <v>4892</v>
      </c>
      <c r="DI15" s="190">
        <v>139</v>
      </c>
      <c r="DJ15" s="190">
        <v>3</v>
      </c>
      <c r="DK15" s="190">
        <v>0</v>
      </c>
      <c r="DL15" s="190">
        <v>854</v>
      </c>
      <c r="DM15" s="190">
        <v>15</v>
      </c>
      <c r="DN15" s="190">
        <v>1</v>
      </c>
      <c r="DO15" s="190">
        <v>142</v>
      </c>
      <c r="DP15" s="190">
        <v>870</v>
      </c>
      <c r="DQ15" s="190">
        <v>1012</v>
      </c>
      <c r="DR15" s="190">
        <v>2</v>
      </c>
      <c r="DS15" s="190">
        <v>33</v>
      </c>
      <c r="DT15" s="191">
        <v>35</v>
      </c>
    </row>
    <row r="16" spans="1:129" s="172" customFormat="1">
      <c r="A16" s="189" t="s">
        <v>281</v>
      </c>
      <c r="B16" s="190">
        <v>111</v>
      </c>
      <c r="C16" s="190">
        <v>14</v>
      </c>
      <c r="D16" s="190">
        <v>97</v>
      </c>
      <c r="E16" s="190">
        <v>56</v>
      </c>
      <c r="F16" s="190">
        <v>0</v>
      </c>
      <c r="G16" s="190">
        <v>1</v>
      </c>
      <c r="H16" s="190">
        <v>1</v>
      </c>
      <c r="I16" s="190">
        <v>0</v>
      </c>
      <c r="J16" s="190">
        <v>37</v>
      </c>
      <c r="K16" s="190">
        <v>37</v>
      </c>
      <c r="L16" s="190">
        <v>0</v>
      </c>
      <c r="M16" s="190">
        <v>11</v>
      </c>
      <c r="N16" s="190">
        <v>11</v>
      </c>
      <c r="O16" s="190">
        <v>0</v>
      </c>
      <c r="P16" s="190">
        <v>26</v>
      </c>
      <c r="Q16" s="190">
        <v>26</v>
      </c>
      <c r="R16" s="190">
        <v>0</v>
      </c>
      <c r="S16" s="190">
        <v>2</v>
      </c>
      <c r="T16" s="190">
        <v>2</v>
      </c>
      <c r="U16" s="190">
        <v>0</v>
      </c>
      <c r="V16" s="190">
        <v>4</v>
      </c>
      <c r="W16" s="190">
        <v>4</v>
      </c>
      <c r="X16" s="190">
        <v>2</v>
      </c>
      <c r="Y16" s="190">
        <v>95</v>
      </c>
      <c r="Z16" s="190">
        <v>97</v>
      </c>
      <c r="AA16" s="190">
        <v>0</v>
      </c>
      <c r="AB16" s="190">
        <v>44</v>
      </c>
      <c r="AC16" s="190">
        <v>44</v>
      </c>
      <c r="AD16" s="190">
        <v>0</v>
      </c>
      <c r="AE16" s="190">
        <v>44</v>
      </c>
      <c r="AF16" s="190">
        <v>44</v>
      </c>
      <c r="AG16" s="190">
        <v>0</v>
      </c>
      <c r="AH16" s="190">
        <v>0</v>
      </c>
      <c r="AI16" s="190">
        <v>0</v>
      </c>
      <c r="AJ16" s="190">
        <v>0</v>
      </c>
      <c r="AK16" s="190">
        <v>0</v>
      </c>
      <c r="AL16" s="190">
        <v>0</v>
      </c>
      <c r="AM16" s="190">
        <v>2</v>
      </c>
      <c r="AN16" s="190">
        <v>51</v>
      </c>
      <c r="AO16" s="190">
        <v>53</v>
      </c>
      <c r="AP16" s="190">
        <v>188</v>
      </c>
      <c r="AQ16" s="190">
        <v>1248</v>
      </c>
      <c r="AR16" s="190">
        <v>1436</v>
      </c>
      <c r="AS16" s="190">
        <v>188</v>
      </c>
      <c r="AT16" s="190">
        <v>1248</v>
      </c>
      <c r="AU16" s="190">
        <v>1436</v>
      </c>
      <c r="AV16" s="190">
        <v>0</v>
      </c>
      <c r="AW16" s="190">
        <v>0</v>
      </c>
      <c r="AX16" s="190">
        <v>0</v>
      </c>
      <c r="AY16" s="190">
        <v>10</v>
      </c>
      <c r="AZ16" s="190">
        <v>91</v>
      </c>
      <c r="BA16" s="190">
        <v>101</v>
      </c>
      <c r="BB16" s="190">
        <v>2</v>
      </c>
      <c r="BC16" s="190">
        <v>0</v>
      </c>
      <c r="BD16" s="190">
        <v>0</v>
      </c>
      <c r="BE16" s="190">
        <v>54</v>
      </c>
      <c r="BF16" s="190">
        <v>0</v>
      </c>
      <c r="BG16" s="190">
        <v>0</v>
      </c>
      <c r="BH16" s="190">
        <v>2</v>
      </c>
      <c r="BI16" s="190">
        <v>54</v>
      </c>
      <c r="BJ16" s="190">
        <v>56</v>
      </c>
      <c r="BK16" s="190">
        <v>4</v>
      </c>
      <c r="BL16" s="190">
        <v>-4</v>
      </c>
      <c r="BM16" s="190">
        <v>0</v>
      </c>
      <c r="BN16" s="190">
        <v>1</v>
      </c>
      <c r="BO16" s="190">
        <v>6</v>
      </c>
      <c r="BP16" s="190">
        <v>7</v>
      </c>
      <c r="BQ16" s="190">
        <v>0</v>
      </c>
      <c r="BR16" s="190">
        <v>9</v>
      </c>
      <c r="BS16" s="190">
        <v>9</v>
      </c>
      <c r="BT16" s="190">
        <v>3</v>
      </c>
      <c r="BU16" s="190">
        <v>26</v>
      </c>
      <c r="BV16" s="190">
        <v>29</v>
      </c>
      <c r="BW16" s="190">
        <v>198</v>
      </c>
      <c r="BX16" s="190">
        <v>1339</v>
      </c>
      <c r="BY16" s="190">
        <v>1537</v>
      </c>
      <c r="BZ16" s="190">
        <v>198</v>
      </c>
      <c r="CA16" s="190">
        <v>1331</v>
      </c>
      <c r="CB16" s="190">
        <v>1529</v>
      </c>
      <c r="CC16" s="190">
        <v>3507</v>
      </c>
      <c r="CD16" s="190">
        <v>0</v>
      </c>
      <c r="CE16" s="190">
        <v>8</v>
      </c>
      <c r="CF16" s="190">
        <v>0</v>
      </c>
      <c r="CG16" s="190">
        <v>8</v>
      </c>
      <c r="CH16" s="190">
        <v>8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9</v>
      </c>
      <c r="CO16" s="190">
        <v>118</v>
      </c>
      <c r="CP16" s="190">
        <v>127</v>
      </c>
      <c r="CQ16" s="190">
        <v>0</v>
      </c>
      <c r="CR16" s="190">
        <v>1</v>
      </c>
      <c r="CS16" s="190">
        <v>1</v>
      </c>
      <c r="CT16" s="190">
        <v>189</v>
      </c>
      <c r="CU16" s="190">
        <v>1221</v>
      </c>
      <c r="CV16" s="190">
        <v>1410</v>
      </c>
      <c r="CW16" s="190">
        <v>12</v>
      </c>
      <c r="CX16" s="190">
        <v>60</v>
      </c>
      <c r="CY16" s="190">
        <v>72</v>
      </c>
      <c r="CZ16" s="190">
        <v>12</v>
      </c>
      <c r="DA16" s="190">
        <v>0</v>
      </c>
      <c r="DB16" s="190">
        <v>0</v>
      </c>
      <c r="DC16" s="190">
        <v>59</v>
      </c>
      <c r="DD16" s="190">
        <v>0</v>
      </c>
      <c r="DE16" s="190">
        <v>0</v>
      </c>
      <c r="DF16" s="190">
        <v>12</v>
      </c>
      <c r="DG16" s="190">
        <v>59</v>
      </c>
      <c r="DH16" s="190">
        <v>71</v>
      </c>
      <c r="DI16" s="190">
        <v>0</v>
      </c>
      <c r="DJ16" s="190">
        <v>0</v>
      </c>
      <c r="DK16" s="190">
        <v>0</v>
      </c>
      <c r="DL16" s="190">
        <v>1</v>
      </c>
      <c r="DM16" s="190">
        <v>0</v>
      </c>
      <c r="DN16" s="190">
        <v>0</v>
      </c>
      <c r="DO16" s="190">
        <v>0</v>
      </c>
      <c r="DP16" s="190">
        <v>1</v>
      </c>
      <c r="DQ16" s="190">
        <v>1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1004</v>
      </c>
      <c r="C17" s="190">
        <v>192</v>
      </c>
      <c r="D17" s="190">
        <v>1040</v>
      </c>
      <c r="E17" s="190">
        <v>583</v>
      </c>
      <c r="F17" s="190">
        <v>0</v>
      </c>
      <c r="G17" s="190">
        <v>4</v>
      </c>
      <c r="H17" s="190">
        <v>4</v>
      </c>
      <c r="I17" s="190">
        <v>0</v>
      </c>
      <c r="J17" s="190">
        <v>426</v>
      </c>
      <c r="K17" s="190">
        <v>426</v>
      </c>
      <c r="L17" s="190">
        <v>0</v>
      </c>
      <c r="M17" s="190">
        <v>164</v>
      </c>
      <c r="N17" s="190">
        <v>164</v>
      </c>
      <c r="O17" s="190">
        <v>0</v>
      </c>
      <c r="P17" s="190">
        <v>262</v>
      </c>
      <c r="Q17" s="190">
        <v>262</v>
      </c>
      <c r="R17" s="190">
        <v>0</v>
      </c>
      <c r="S17" s="190">
        <v>5</v>
      </c>
      <c r="T17" s="190">
        <v>5</v>
      </c>
      <c r="U17" s="190">
        <v>0</v>
      </c>
      <c r="V17" s="190">
        <v>31</v>
      </c>
      <c r="W17" s="190">
        <v>31</v>
      </c>
      <c r="X17" s="190">
        <v>15</v>
      </c>
      <c r="Y17" s="190">
        <v>1025</v>
      </c>
      <c r="Z17" s="190">
        <v>1040</v>
      </c>
      <c r="AA17" s="190">
        <v>9</v>
      </c>
      <c r="AB17" s="190">
        <v>421</v>
      </c>
      <c r="AC17" s="190">
        <v>430</v>
      </c>
      <c r="AD17" s="190">
        <v>9</v>
      </c>
      <c r="AE17" s="190">
        <v>408</v>
      </c>
      <c r="AF17" s="190">
        <v>417</v>
      </c>
      <c r="AG17" s="190">
        <v>0</v>
      </c>
      <c r="AH17" s="190">
        <v>12</v>
      </c>
      <c r="AI17" s="190">
        <v>12</v>
      </c>
      <c r="AJ17" s="190">
        <v>0</v>
      </c>
      <c r="AK17" s="190">
        <v>1</v>
      </c>
      <c r="AL17" s="190">
        <v>1</v>
      </c>
      <c r="AM17" s="190">
        <v>6</v>
      </c>
      <c r="AN17" s="190">
        <v>604</v>
      </c>
      <c r="AO17" s="190">
        <v>610</v>
      </c>
      <c r="AP17" s="190">
        <v>841</v>
      </c>
      <c r="AQ17" s="190">
        <v>10520</v>
      </c>
      <c r="AR17" s="190">
        <v>11361</v>
      </c>
      <c r="AS17" s="190">
        <v>841</v>
      </c>
      <c r="AT17" s="190">
        <v>10520</v>
      </c>
      <c r="AU17" s="190">
        <v>11361</v>
      </c>
      <c r="AV17" s="190">
        <v>0</v>
      </c>
      <c r="AW17" s="190">
        <v>0</v>
      </c>
      <c r="AX17" s="190">
        <v>0</v>
      </c>
      <c r="AY17" s="190">
        <v>23</v>
      </c>
      <c r="AZ17" s="190">
        <v>1027</v>
      </c>
      <c r="BA17" s="190">
        <v>1050</v>
      </c>
      <c r="BB17" s="190">
        <v>9</v>
      </c>
      <c r="BC17" s="190">
        <v>0</v>
      </c>
      <c r="BD17" s="190">
        <v>0</v>
      </c>
      <c r="BE17" s="190">
        <v>574</v>
      </c>
      <c r="BF17" s="190">
        <v>0</v>
      </c>
      <c r="BG17" s="190">
        <v>0</v>
      </c>
      <c r="BH17" s="190">
        <v>9</v>
      </c>
      <c r="BI17" s="190">
        <v>574</v>
      </c>
      <c r="BJ17" s="190">
        <v>583</v>
      </c>
      <c r="BK17" s="190">
        <v>-10</v>
      </c>
      <c r="BL17" s="190">
        <v>10</v>
      </c>
      <c r="BM17" s="190">
        <v>0</v>
      </c>
      <c r="BN17" s="190">
        <v>1</v>
      </c>
      <c r="BO17" s="190">
        <v>16</v>
      </c>
      <c r="BP17" s="190">
        <v>17</v>
      </c>
      <c r="BQ17" s="190">
        <v>2</v>
      </c>
      <c r="BR17" s="190">
        <v>121</v>
      </c>
      <c r="BS17" s="190">
        <v>123</v>
      </c>
      <c r="BT17" s="190">
        <v>21</v>
      </c>
      <c r="BU17" s="190">
        <v>306</v>
      </c>
      <c r="BV17" s="190">
        <v>327</v>
      </c>
      <c r="BW17" s="190">
        <v>864</v>
      </c>
      <c r="BX17" s="190">
        <v>11547</v>
      </c>
      <c r="BY17" s="190">
        <v>12411</v>
      </c>
      <c r="BZ17" s="190">
        <v>861</v>
      </c>
      <c r="CA17" s="190">
        <v>11513</v>
      </c>
      <c r="CB17" s="190">
        <v>12374</v>
      </c>
      <c r="CC17" s="190">
        <v>20822</v>
      </c>
      <c r="CD17" s="190">
        <v>8</v>
      </c>
      <c r="CE17" s="190">
        <v>23</v>
      </c>
      <c r="CF17" s="190">
        <v>3</v>
      </c>
      <c r="CG17" s="190">
        <v>26</v>
      </c>
      <c r="CH17" s="190">
        <v>29</v>
      </c>
      <c r="CI17" s="190">
        <v>8</v>
      </c>
      <c r="CJ17" s="190">
        <v>1</v>
      </c>
      <c r="CK17" s="190">
        <v>0</v>
      </c>
      <c r="CL17" s="190">
        <v>8</v>
      </c>
      <c r="CM17" s="190">
        <v>8</v>
      </c>
      <c r="CN17" s="190">
        <v>38</v>
      </c>
      <c r="CO17" s="190">
        <v>999</v>
      </c>
      <c r="CP17" s="190">
        <v>1037</v>
      </c>
      <c r="CQ17" s="190">
        <v>0</v>
      </c>
      <c r="CR17" s="190">
        <v>24</v>
      </c>
      <c r="CS17" s="190">
        <v>24</v>
      </c>
      <c r="CT17" s="190">
        <v>826</v>
      </c>
      <c r="CU17" s="190">
        <v>10548</v>
      </c>
      <c r="CV17" s="190">
        <v>11374</v>
      </c>
      <c r="CW17" s="190">
        <v>66</v>
      </c>
      <c r="CX17" s="190">
        <v>395</v>
      </c>
      <c r="CY17" s="190">
        <v>461</v>
      </c>
      <c r="CZ17" s="190">
        <v>63</v>
      </c>
      <c r="DA17" s="190">
        <v>0</v>
      </c>
      <c r="DB17" s="190">
        <v>0</v>
      </c>
      <c r="DC17" s="190">
        <v>390</v>
      </c>
      <c r="DD17" s="190">
        <v>1</v>
      </c>
      <c r="DE17" s="190">
        <v>0</v>
      </c>
      <c r="DF17" s="190">
        <v>63</v>
      </c>
      <c r="DG17" s="190">
        <v>391</v>
      </c>
      <c r="DH17" s="190">
        <v>454</v>
      </c>
      <c r="DI17" s="190">
        <v>3</v>
      </c>
      <c r="DJ17" s="190">
        <v>0</v>
      </c>
      <c r="DK17" s="190">
        <v>0</v>
      </c>
      <c r="DL17" s="190">
        <v>4</v>
      </c>
      <c r="DM17" s="190">
        <v>0</v>
      </c>
      <c r="DN17" s="190">
        <v>0</v>
      </c>
      <c r="DO17" s="190">
        <v>3</v>
      </c>
      <c r="DP17" s="190">
        <v>4</v>
      </c>
      <c r="DQ17" s="190">
        <v>7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1085</v>
      </c>
      <c r="C18" s="190">
        <v>139</v>
      </c>
      <c r="D18" s="190">
        <v>1059</v>
      </c>
      <c r="E18" s="190">
        <v>717</v>
      </c>
      <c r="F18" s="190">
        <v>1</v>
      </c>
      <c r="G18" s="190">
        <v>20</v>
      </c>
      <c r="H18" s="190">
        <v>21</v>
      </c>
      <c r="I18" s="190">
        <v>1</v>
      </c>
      <c r="J18" s="190">
        <v>287</v>
      </c>
      <c r="K18" s="190">
        <v>288</v>
      </c>
      <c r="L18" s="190">
        <v>1</v>
      </c>
      <c r="M18" s="190">
        <v>158</v>
      </c>
      <c r="N18" s="190">
        <v>159</v>
      </c>
      <c r="O18" s="190">
        <v>0</v>
      </c>
      <c r="P18" s="190">
        <v>129</v>
      </c>
      <c r="Q18" s="190">
        <v>129</v>
      </c>
      <c r="R18" s="190">
        <v>0</v>
      </c>
      <c r="S18" s="190">
        <v>9</v>
      </c>
      <c r="T18" s="190">
        <v>9</v>
      </c>
      <c r="U18" s="190">
        <v>0</v>
      </c>
      <c r="V18" s="190">
        <v>54</v>
      </c>
      <c r="W18" s="190">
        <v>54</v>
      </c>
      <c r="X18" s="190">
        <v>37</v>
      </c>
      <c r="Y18" s="190">
        <v>1022</v>
      </c>
      <c r="Z18" s="190">
        <v>1059</v>
      </c>
      <c r="AA18" s="190">
        <v>23</v>
      </c>
      <c r="AB18" s="190">
        <v>377</v>
      </c>
      <c r="AC18" s="190">
        <v>400</v>
      </c>
      <c r="AD18" s="190">
        <v>23</v>
      </c>
      <c r="AE18" s="190">
        <v>356</v>
      </c>
      <c r="AF18" s="190">
        <v>379</v>
      </c>
      <c r="AG18" s="190">
        <v>0</v>
      </c>
      <c r="AH18" s="190">
        <v>12</v>
      </c>
      <c r="AI18" s="190">
        <v>12</v>
      </c>
      <c r="AJ18" s="190">
        <v>0</v>
      </c>
      <c r="AK18" s="190">
        <v>9</v>
      </c>
      <c r="AL18" s="190">
        <v>9</v>
      </c>
      <c r="AM18" s="190">
        <v>14</v>
      </c>
      <c r="AN18" s="190">
        <v>645</v>
      </c>
      <c r="AO18" s="190">
        <v>659</v>
      </c>
      <c r="AP18" s="190">
        <v>2179</v>
      </c>
      <c r="AQ18" s="190">
        <v>13970</v>
      </c>
      <c r="AR18" s="190">
        <v>16149</v>
      </c>
      <c r="AS18" s="190">
        <v>2179</v>
      </c>
      <c r="AT18" s="190">
        <v>13970</v>
      </c>
      <c r="AU18" s="190">
        <v>16149</v>
      </c>
      <c r="AV18" s="190">
        <v>0</v>
      </c>
      <c r="AW18" s="190">
        <v>0</v>
      </c>
      <c r="AX18" s="190">
        <v>0</v>
      </c>
      <c r="AY18" s="190">
        <v>93</v>
      </c>
      <c r="AZ18" s="190">
        <v>1062</v>
      </c>
      <c r="BA18" s="190">
        <v>1155</v>
      </c>
      <c r="BB18" s="190">
        <v>42</v>
      </c>
      <c r="BC18" s="190">
        <v>2</v>
      </c>
      <c r="BD18" s="190">
        <v>0</v>
      </c>
      <c r="BE18" s="190">
        <v>653</v>
      </c>
      <c r="BF18" s="190">
        <v>16</v>
      </c>
      <c r="BG18" s="190">
        <v>4</v>
      </c>
      <c r="BH18" s="190">
        <v>44</v>
      </c>
      <c r="BI18" s="190">
        <v>673</v>
      </c>
      <c r="BJ18" s="190">
        <v>717</v>
      </c>
      <c r="BK18" s="190">
        <v>-4</v>
      </c>
      <c r="BL18" s="190">
        <v>4</v>
      </c>
      <c r="BM18" s="190">
        <v>0</v>
      </c>
      <c r="BN18" s="190">
        <v>3</v>
      </c>
      <c r="BO18" s="190">
        <v>18</v>
      </c>
      <c r="BP18" s="190">
        <v>21</v>
      </c>
      <c r="BQ18" s="190">
        <v>20</v>
      </c>
      <c r="BR18" s="190">
        <v>159</v>
      </c>
      <c r="BS18" s="190">
        <v>179</v>
      </c>
      <c r="BT18" s="190">
        <v>30</v>
      </c>
      <c r="BU18" s="190">
        <v>208</v>
      </c>
      <c r="BV18" s="190">
        <v>238</v>
      </c>
      <c r="BW18" s="190">
        <v>2272</v>
      </c>
      <c r="BX18" s="190">
        <v>15032</v>
      </c>
      <c r="BY18" s="190">
        <v>17304</v>
      </c>
      <c r="BZ18" s="190">
        <v>2239</v>
      </c>
      <c r="CA18" s="190">
        <v>14658</v>
      </c>
      <c r="CB18" s="190">
        <v>16897</v>
      </c>
      <c r="CC18" s="190">
        <v>41392</v>
      </c>
      <c r="CD18" s="190">
        <v>29</v>
      </c>
      <c r="CE18" s="190">
        <v>351</v>
      </c>
      <c r="CF18" s="190">
        <v>32</v>
      </c>
      <c r="CG18" s="190">
        <v>320</v>
      </c>
      <c r="CH18" s="190">
        <v>352</v>
      </c>
      <c r="CI18" s="190">
        <v>55</v>
      </c>
      <c r="CJ18" s="190">
        <v>3</v>
      </c>
      <c r="CK18" s="190">
        <v>1</v>
      </c>
      <c r="CL18" s="190">
        <v>54</v>
      </c>
      <c r="CM18" s="190">
        <v>55</v>
      </c>
      <c r="CN18" s="190">
        <v>82</v>
      </c>
      <c r="CO18" s="190">
        <v>1021</v>
      </c>
      <c r="CP18" s="190">
        <v>1103</v>
      </c>
      <c r="CQ18" s="190">
        <v>0</v>
      </c>
      <c r="CR18" s="190">
        <v>0</v>
      </c>
      <c r="CS18" s="190">
        <v>0</v>
      </c>
      <c r="CT18" s="190">
        <v>2190</v>
      </c>
      <c r="CU18" s="190">
        <v>14011</v>
      </c>
      <c r="CV18" s="190">
        <v>16201</v>
      </c>
      <c r="CW18" s="190">
        <v>158</v>
      </c>
      <c r="CX18" s="190">
        <v>720</v>
      </c>
      <c r="CY18" s="190">
        <v>878</v>
      </c>
      <c r="CZ18" s="190">
        <v>157</v>
      </c>
      <c r="DA18" s="190">
        <v>1</v>
      </c>
      <c r="DB18" s="190">
        <v>0</v>
      </c>
      <c r="DC18" s="190">
        <v>693</v>
      </c>
      <c r="DD18" s="190">
        <v>18</v>
      </c>
      <c r="DE18" s="190">
        <v>1</v>
      </c>
      <c r="DF18" s="190">
        <v>158</v>
      </c>
      <c r="DG18" s="190">
        <v>712</v>
      </c>
      <c r="DH18" s="190">
        <v>870</v>
      </c>
      <c r="DI18" s="190">
        <v>0</v>
      </c>
      <c r="DJ18" s="190">
        <v>0</v>
      </c>
      <c r="DK18" s="190">
        <v>0</v>
      </c>
      <c r="DL18" s="190">
        <v>7</v>
      </c>
      <c r="DM18" s="190">
        <v>1</v>
      </c>
      <c r="DN18" s="190">
        <v>0</v>
      </c>
      <c r="DO18" s="190">
        <v>0</v>
      </c>
      <c r="DP18" s="190">
        <v>8</v>
      </c>
      <c r="DQ18" s="190">
        <v>8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84</v>
      </c>
      <c r="C19" s="190">
        <v>5</v>
      </c>
      <c r="D19" s="190">
        <v>75</v>
      </c>
      <c r="E19" s="190">
        <v>60</v>
      </c>
      <c r="F19" s="190">
        <v>0</v>
      </c>
      <c r="G19" s="190">
        <v>0</v>
      </c>
      <c r="H19" s="190">
        <v>0</v>
      </c>
      <c r="I19" s="190">
        <v>1</v>
      </c>
      <c r="J19" s="190">
        <v>11</v>
      </c>
      <c r="K19" s="190">
        <v>12</v>
      </c>
      <c r="L19" s="190">
        <v>1</v>
      </c>
      <c r="M19" s="190">
        <v>7</v>
      </c>
      <c r="N19" s="190">
        <v>8</v>
      </c>
      <c r="O19" s="190">
        <v>0</v>
      </c>
      <c r="P19" s="190">
        <v>4</v>
      </c>
      <c r="Q19" s="190">
        <v>4</v>
      </c>
      <c r="R19" s="190">
        <v>0</v>
      </c>
      <c r="S19" s="190">
        <v>0</v>
      </c>
      <c r="T19" s="190">
        <v>0</v>
      </c>
      <c r="U19" s="190">
        <v>0</v>
      </c>
      <c r="V19" s="190">
        <v>3</v>
      </c>
      <c r="W19" s="190">
        <v>3</v>
      </c>
      <c r="X19" s="190">
        <v>3</v>
      </c>
      <c r="Y19" s="190">
        <v>72</v>
      </c>
      <c r="Z19" s="190">
        <v>75</v>
      </c>
      <c r="AA19" s="190">
        <v>2</v>
      </c>
      <c r="AB19" s="190">
        <v>39</v>
      </c>
      <c r="AC19" s="190">
        <v>41</v>
      </c>
      <c r="AD19" s="190">
        <v>2</v>
      </c>
      <c r="AE19" s="190">
        <v>34</v>
      </c>
      <c r="AF19" s="190">
        <v>36</v>
      </c>
      <c r="AG19" s="190">
        <v>0</v>
      </c>
      <c r="AH19" s="190">
        <v>1</v>
      </c>
      <c r="AI19" s="190">
        <v>1</v>
      </c>
      <c r="AJ19" s="190">
        <v>0</v>
      </c>
      <c r="AK19" s="190">
        <v>4</v>
      </c>
      <c r="AL19" s="190">
        <v>4</v>
      </c>
      <c r="AM19" s="190">
        <v>1</v>
      </c>
      <c r="AN19" s="190">
        <v>33</v>
      </c>
      <c r="AO19" s="190">
        <v>34</v>
      </c>
      <c r="AP19" s="190">
        <v>76</v>
      </c>
      <c r="AQ19" s="190">
        <v>888</v>
      </c>
      <c r="AR19" s="190">
        <v>964</v>
      </c>
      <c r="AS19" s="190">
        <v>76</v>
      </c>
      <c r="AT19" s="190">
        <v>888</v>
      </c>
      <c r="AU19" s="190">
        <v>964</v>
      </c>
      <c r="AV19" s="190">
        <v>0</v>
      </c>
      <c r="AW19" s="190">
        <v>0</v>
      </c>
      <c r="AX19" s="190">
        <v>0</v>
      </c>
      <c r="AY19" s="190">
        <v>5</v>
      </c>
      <c r="AZ19" s="190">
        <v>83</v>
      </c>
      <c r="BA19" s="190">
        <v>88</v>
      </c>
      <c r="BB19" s="190">
        <v>3</v>
      </c>
      <c r="BC19" s="190">
        <v>0</v>
      </c>
      <c r="BD19" s="190">
        <v>0</v>
      </c>
      <c r="BE19" s="190">
        <v>56</v>
      </c>
      <c r="BF19" s="190">
        <v>0</v>
      </c>
      <c r="BG19" s="190">
        <v>1</v>
      </c>
      <c r="BH19" s="190">
        <v>3</v>
      </c>
      <c r="BI19" s="190">
        <v>57</v>
      </c>
      <c r="BJ19" s="190">
        <v>60</v>
      </c>
      <c r="BK19" s="190">
        <v>-2</v>
      </c>
      <c r="BL19" s="190">
        <v>2</v>
      </c>
      <c r="BM19" s="190">
        <v>0</v>
      </c>
      <c r="BN19" s="190">
        <v>0</v>
      </c>
      <c r="BO19" s="190">
        <v>4</v>
      </c>
      <c r="BP19" s="190">
        <v>4</v>
      </c>
      <c r="BQ19" s="190">
        <v>0</v>
      </c>
      <c r="BR19" s="190">
        <v>7</v>
      </c>
      <c r="BS19" s="190">
        <v>7</v>
      </c>
      <c r="BT19" s="190">
        <v>4</v>
      </c>
      <c r="BU19" s="190">
        <v>13</v>
      </c>
      <c r="BV19" s="190">
        <v>17</v>
      </c>
      <c r="BW19" s="190">
        <v>81</v>
      </c>
      <c r="BX19" s="190">
        <v>971</v>
      </c>
      <c r="BY19" s="190">
        <v>1052</v>
      </c>
      <c r="BZ19" s="190">
        <v>81</v>
      </c>
      <c r="CA19" s="190">
        <v>963</v>
      </c>
      <c r="CB19" s="190">
        <v>1044</v>
      </c>
      <c r="CC19" s="190">
        <v>1987</v>
      </c>
      <c r="CD19" s="190">
        <v>1</v>
      </c>
      <c r="CE19" s="190">
        <v>5</v>
      </c>
      <c r="CF19" s="190">
        <v>0</v>
      </c>
      <c r="CG19" s="190">
        <v>5</v>
      </c>
      <c r="CH19" s="190">
        <v>5</v>
      </c>
      <c r="CI19" s="190">
        <v>2</v>
      </c>
      <c r="CJ19" s="190">
        <v>1</v>
      </c>
      <c r="CK19" s="190">
        <v>0</v>
      </c>
      <c r="CL19" s="190">
        <v>3</v>
      </c>
      <c r="CM19" s="190">
        <v>3</v>
      </c>
      <c r="CN19" s="190">
        <v>6</v>
      </c>
      <c r="CO19" s="190">
        <v>87</v>
      </c>
      <c r="CP19" s="190">
        <v>93</v>
      </c>
      <c r="CQ19" s="190">
        <v>0</v>
      </c>
      <c r="CR19" s="190">
        <v>0</v>
      </c>
      <c r="CS19" s="190">
        <v>0</v>
      </c>
      <c r="CT19" s="190">
        <v>75</v>
      </c>
      <c r="CU19" s="190">
        <v>884</v>
      </c>
      <c r="CV19" s="190">
        <v>959</v>
      </c>
      <c r="CW19" s="190">
        <v>5</v>
      </c>
      <c r="CX19" s="190">
        <v>38</v>
      </c>
      <c r="CY19" s="190">
        <v>43</v>
      </c>
      <c r="CZ19" s="190">
        <v>5</v>
      </c>
      <c r="DA19" s="190">
        <v>0</v>
      </c>
      <c r="DB19" s="190">
        <v>0</v>
      </c>
      <c r="DC19" s="190">
        <v>37</v>
      </c>
      <c r="DD19" s="190">
        <v>1</v>
      </c>
      <c r="DE19" s="190">
        <v>0</v>
      </c>
      <c r="DF19" s="190">
        <v>5</v>
      </c>
      <c r="DG19" s="190">
        <v>38</v>
      </c>
      <c r="DH19" s="190">
        <v>43</v>
      </c>
      <c r="DI19" s="190">
        <v>0</v>
      </c>
      <c r="DJ19" s="190">
        <v>0</v>
      </c>
      <c r="DK19" s="190">
        <v>0</v>
      </c>
      <c r="DL19" s="190">
        <v>0</v>
      </c>
      <c r="DM19" s="190">
        <v>0</v>
      </c>
      <c r="DN19" s="190">
        <v>0</v>
      </c>
      <c r="DO19" s="190">
        <v>0</v>
      </c>
      <c r="DP19" s="190">
        <v>0</v>
      </c>
      <c r="DQ19" s="190">
        <v>0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5402</v>
      </c>
      <c r="C20" s="190">
        <v>1535</v>
      </c>
      <c r="D20" s="190">
        <v>5389</v>
      </c>
      <c r="E20" s="190">
        <v>3510</v>
      </c>
      <c r="F20" s="190">
        <v>0</v>
      </c>
      <c r="G20" s="190">
        <v>27</v>
      </c>
      <c r="H20" s="190">
        <v>27</v>
      </c>
      <c r="I20" s="190">
        <v>1</v>
      </c>
      <c r="J20" s="190">
        <v>1647</v>
      </c>
      <c r="K20" s="190">
        <v>1648</v>
      </c>
      <c r="L20" s="190">
        <v>1</v>
      </c>
      <c r="M20" s="190">
        <v>806</v>
      </c>
      <c r="N20" s="190">
        <v>807</v>
      </c>
      <c r="O20" s="190">
        <v>0</v>
      </c>
      <c r="P20" s="190">
        <v>841</v>
      </c>
      <c r="Q20" s="190">
        <v>841</v>
      </c>
      <c r="R20" s="190">
        <v>0</v>
      </c>
      <c r="S20" s="190">
        <v>27</v>
      </c>
      <c r="T20" s="190">
        <v>27</v>
      </c>
      <c r="U20" s="190">
        <v>0</v>
      </c>
      <c r="V20" s="190">
        <v>231</v>
      </c>
      <c r="W20" s="190">
        <v>231</v>
      </c>
      <c r="X20" s="190">
        <v>194</v>
      </c>
      <c r="Y20" s="190">
        <v>5194</v>
      </c>
      <c r="Z20" s="190">
        <v>5388</v>
      </c>
      <c r="AA20" s="190">
        <v>118</v>
      </c>
      <c r="AB20" s="190">
        <v>2180</v>
      </c>
      <c r="AC20" s="190">
        <v>2298</v>
      </c>
      <c r="AD20" s="190">
        <v>114</v>
      </c>
      <c r="AE20" s="190">
        <v>2012</v>
      </c>
      <c r="AF20" s="190">
        <v>2126</v>
      </c>
      <c r="AG20" s="190">
        <v>3</v>
      </c>
      <c r="AH20" s="190">
        <v>120</v>
      </c>
      <c r="AI20" s="190">
        <v>123</v>
      </c>
      <c r="AJ20" s="190">
        <v>1</v>
      </c>
      <c r="AK20" s="190">
        <v>48</v>
      </c>
      <c r="AL20" s="190">
        <v>49</v>
      </c>
      <c r="AM20" s="190">
        <v>76</v>
      </c>
      <c r="AN20" s="190">
        <v>3014</v>
      </c>
      <c r="AO20" s="190">
        <v>3090</v>
      </c>
      <c r="AP20" s="190">
        <v>9463</v>
      </c>
      <c r="AQ20" s="190">
        <v>54798</v>
      </c>
      <c r="AR20" s="190">
        <v>64261</v>
      </c>
      <c r="AS20" s="190">
        <v>9463</v>
      </c>
      <c r="AT20" s="190">
        <v>54802</v>
      </c>
      <c r="AU20" s="190">
        <v>64265</v>
      </c>
      <c r="AV20" s="190">
        <v>0</v>
      </c>
      <c r="AW20" s="190">
        <v>-4</v>
      </c>
      <c r="AX20" s="190">
        <v>-4</v>
      </c>
      <c r="AY20" s="190">
        <v>412</v>
      </c>
      <c r="AZ20" s="190">
        <v>5135</v>
      </c>
      <c r="BA20" s="190">
        <v>5547</v>
      </c>
      <c r="BB20" s="190">
        <v>228</v>
      </c>
      <c r="BC20" s="190">
        <v>1</v>
      </c>
      <c r="BD20" s="190">
        <v>1</v>
      </c>
      <c r="BE20" s="190">
        <v>3228</v>
      </c>
      <c r="BF20" s="190">
        <v>36</v>
      </c>
      <c r="BG20" s="190">
        <v>16</v>
      </c>
      <c r="BH20" s="190">
        <v>230</v>
      </c>
      <c r="BI20" s="190">
        <v>3280</v>
      </c>
      <c r="BJ20" s="190">
        <v>3510</v>
      </c>
      <c r="BK20" s="190">
        <v>-84</v>
      </c>
      <c r="BL20" s="190">
        <v>84</v>
      </c>
      <c r="BM20" s="190">
        <v>0</v>
      </c>
      <c r="BN20" s="190">
        <v>21</v>
      </c>
      <c r="BO20" s="190">
        <v>111</v>
      </c>
      <c r="BP20" s="190">
        <v>132</v>
      </c>
      <c r="BQ20" s="190">
        <v>95</v>
      </c>
      <c r="BR20" s="190">
        <v>740</v>
      </c>
      <c r="BS20" s="190">
        <v>835</v>
      </c>
      <c r="BT20" s="190">
        <v>150</v>
      </c>
      <c r="BU20" s="190">
        <v>920</v>
      </c>
      <c r="BV20" s="190">
        <v>1070</v>
      </c>
      <c r="BW20" s="190">
        <v>9875</v>
      </c>
      <c r="BX20" s="190">
        <v>59933</v>
      </c>
      <c r="BY20" s="190">
        <v>69808</v>
      </c>
      <c r="BZ20" s="190">
        <v>9807</v>
      </c>
      <c r="CA20" s="190">
        <v>58929</v>
      </c>
      <c r="CB20" s="190">
        <v>68736</v>
      </c>
      <c r="CC20" s="190">
        <v>160369</v>
      </c>
      <c r="CD20" s="190">
        <v>62</v>
      </c>
      <c r="CE20" s="190">
        <v>855</v>
      </c>
      <c r="CF20" s="190">
        <v>66</v>
      </c>
      <c r="CG20" s="190">
        <v>770</v>
      </c>
      <c r="CH20" s="190">
        <v>836</v>
      </c>
      <c r="CI20" s="190">
        <v>303</v>
      </c>
      <c r="CJ20" s="190">
        <v>11</v>
      </c>
      <c r="CK20" s="190">
        <v>2</v>
      </c>
      <c r="CL20" s="190">
        <v>234</v>
      </c>
      <c r="CM20" s="190">
        <v>236</v>
      </c>
      <c r="CN20" s="190">
        <v>432</v>
      </c>
      <c r="CO20" s="190">
        <v>4603</v>
      </c>
      <c r="CP20" s="190">
        <v>5035</v>
      </c>
      <c r="CQ20" s="190">
        <v>1</v>
      </c>
      <c r="CR20" s="190">
        <v>4</v>
      </c>
      <c r="CS20" s="190">
        <v>5</v>
      </c>
      <c r="CT20" s="190">
        <v>9443</v>
      </c>
      <c r="CU20" s="190">
        <v>55330</v>
      </c>
      <c r="CV20" s="190">
        <v>64773</v>
      </c>
      <c r="CW20" s="190">
        <v>603</v>
      </c>
      <c r="CX20" s="190">
        <v>2459</v>
      </c>
      <c r="CY20" s="190">
        <v>3062</v>
      </c>
      <c r="CZ20" s="190">
        <v>601</v>
      </c>
      <c r="DA20" s="190">
        <v>1</v>
      </c>
      <c r="DB20" s="190">
        <v>0</v>
      </c>
      <c r="DC20" s="190">
        <v>2365</v>
      </c>
      <c r="DD20" s="190">
        <v>28</v>
      </c>
      <c r="DE20" s="190">
        <v>5</v>
      </c>
      <c r="DF20" s="190">
        <v>602</v>
      </c>
      <c r="DG20" s="190">
        <v>2398</v>
      </c>
      <c r="DH20" s="190">
        <v>3000</v>
      </c>
      <c r="DI20" s="190">
        <v>1</v>
      </c>
      <c r="DJ20" s="190">
        <v>0</v>
      </c>
      <c r="DK20" s="190">
        <v>0</v>
      </c>
      <c r="DL20" s="190">
        <v>61</v>
      </c>
      <c r="DM20" s="190">
        <v>0</v>
      </c>
      <c r="DN20" s="190">
        <v>0</v>
      </c>
      <c r="DO20" s="190">
        <v>1</v>
      </c>
      <c r="DP20" s="190">
        <v>61</v>
      </c>
      <c r="DQ20" s="190">
        <v>62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779</v>
      </c>
      <c r="C21" s="190">
        <v>145</v>
      </c>
      <c r="D21" s="190">
        <v>750</v>
      </c>
      <c r="E21" s="190">
        <v>512</v>
      </c>
      <c r="F21" s="190">
        <v>0</v>
      </c>
      <c r="G21" s="190">
        <v>2</v>
      </c>
      <c r="H21" s="190">
        <v>2</v>
      </c>
      <c r="I21" s="190">
        <v>0</v>
      </c>
      <c r="J21" s="190">
        <v>206</v>
      </c>
      <c r="K21" s="190">
        <v>206</v>
      </c>
      <c r="L21" s="190">
        <v>0</v>
      </c>
      <c r="M21" s="190">
        <v>103</v>
      </c>
      <c r="N21" s="190">
        <v>103</v>
      </c>
      <c r="O21" s="190">
        <v>0</v>
      </c>
      <c r="P21" s="190">
        <v>103</v>
      </c>
      <c r="Q21" s="190">
        <v>103</v>
      </c>
      <c r="R21" s="190">
        <v>0</v>
      </c>
      <c r="S21" s="190">
        <v>1</v>
      </c>
      <c r="T21" s="190">
        <v>1</v>
      </c>
      <c r="U21" s="190">
        <v>0</v>
      </c>
      <c r="V21" s="190">
        <v>32</v>
      </c>
      <c r="W21" s="190">
        <v>32</v>
      </c>
      <c r="X21" s="190">
        <v>25</v>
      </c>
      <c r="Y21" s="190">
        <v>725</v>
      </c>
      <c r="Z21" s="190">
        <v>750</v>
      </c>
      <c r="AA21" s="190">
        <v>16</v>
      </c>
      <c r="AB21" s="190">
        <v>338</v>
      </c>
      <c r="AC21" s="190">
        <v>354</v>
      </c>
      <c r="AD21" s="190">
        <v>15</v>
      </c>
      <c r="AE21" s="190">
        <v>324</v>
      </c>
      <c r="AF21" s="190">
        <v>339</v>
      </c>
      <c r="AG21" s="190">
        <v>1</v>
      </c>
      <c r="AH21" s="190">
        <v>7</v>
      </c>
      <c r="AI21" s="190">
        <v>8</v>
      </c>
      <c r="AJ21" s="190">
        <v>0</v>
      </c>
      <c r="AK21" s="190">
        <v>7</v>
      </c>
      <c r="AL21" s="190">
        <v>7</v>
      </c>
      <c r="AM21" s="190">
        <v>9</v>
      </c>
      <c r="AN21" s="190">
        <v>387</v>
      </c>
      <c r="AO21" s="190">
        <v>396</v>
      </c>
      <c r="AP21" s="190">
        <v>1419</v>
      </c>
      <c r="AQ21" s="190">
        <v>8526</v>
      </c>
      <c r="AR21" s="190">
        <v>9945</v>
      </c>
      <c r="AS21" s="190">
        <v>1419</v>
      </c>
      <c r="AT21" s="190">
        <v>8527</v>
      </c>
      <c r="AU21" s="190">
        <v>9946</v>
      </c>
      <c r="AV21" s="190">
        <v>0</v>
      </c>
      <c r="AW21" s="190">
        <v>-1</v>
      </c>
      <c r="AX21" s="190">
        <v>-1</v>
      </c>
      <c r="AY21" s="190">
        <v>82</v>
      </c>
      <c r="AZ21" s="190">
        <v>749</v>
      </c>
      <c r="BA21" s="190">
        <v>831</v>
      </c>
      <c r="BB21" s="190">
        <v>29</v>
      </c>
      <c r="BC21" s="190">
        <v>1</v>
      </c>
      <c r="BD21" s="190">
        <v>0</v>
      </c>
      <c r="BE21" s="190">
        <v>475</v>
      </c>
      <c r="BF21" s="190">
        <v>5</v>
      </c>
      <c r="BG21" s="190">
        <v>2</v>
      </c>
      <c r="BH21" s="190">
        <v>30</v>
      </c>
      <c r="BI21" s="190">
        <v>482</v>
      </c>
      <c r="BJ21" s="190">
        <v>512</v>
      </c>
      <c r="BK21" s="190">
        <v>13</v>
      </c>
      <c r="BL21" s="190">
        <v>-13</v>
      </c>
      <c r="BM21" s="190">
        <v>0</v>
      </c>
      <c r="BN21" s="190">
        <v>1</v>
      </c>
      <c r="BO21" s="190">
        <v>17</v>
      </c>
      <c r="BP21" s="190">
        <v>18</v>
      </c>
      <c r="BQ21" s="190">
        <v>13</v>
      </c>
      <c r="BR21" s="190">
        <v>132</v>
      </c>
      <c r="BS21" s="190">
        <v>145</v>
      </c>
      <c r="BT21" s="190">
        <v>25</v>
      </c>
      <c r="BU21" s="190">
        <v>131</v>
      </c>
      <c r="BV21" s="190">
        <v>156</v>
      </c>
      <c r="BW21" s="190">
        <v>1501</v>
      </c>
      <c r="BX21" s="190">
        <v>9275</v>
      </c>
      <c r="BY21" s="190">
        <v>10776</v>
      </c>
      <c r="BZ21" s="190">
        <v>1486</v>
      </c>
      <c r="CA21" s="190">
        <v>9124</v>
      </c>
      <c r="CB21" s="190">
        <v>10610</v>
      </c>
      <c r="CC21" s="190">
        <v>24146</v>
      </c>
      <c r="CD21" s="190">
        <v>13</v>
      </c>
      <c r="CE21" s="190">
        <v>134</v>
      </c>
      <c r="CF21" s="190">
        <v>15</v>
      </c>
      <c r="CG21" s="190">
        <v>123</v>
      </c>
      <c r="CH21" s="190">
        <v>138</v>
      </c>
      <c r="CI21" s="190">
        <v>32</v>
      </c>
      <c r="CJ21" s="190">
        <v>0</v>
      </c>
      <c r="CK21" s="190">
        <v>0</v>
      </c>
      <c r="CL21" s="190">
        <v>28</v>
      </c>
      <c r="CM21" s="190">
        <v>28</v>
      </c>
      <c r="CN21" s="190">
        <v>85</v>
      </c>
      <c r="CO21" s="190">
        <v>797</v>
      </c>
      <c r="CP21" s="190">
        <v>882</v>
      </c>
      <c r="CQ21" s="190">
        <v>0</v>
      </c>
      <c r="CR21" s="190">
        <v>0</v>
      </c>
      <c r="CS21" s="190">
        <v>0</v>
      </c>
      <c r="CT21" s="190">
        <v>1416</v>
      </c>
      <c r="CU21" s="190">
        <v>8478</v>
      </c>
      <c r="CV21" s="190">
        <v>9894</v>
      </c>
      <c r="CW21" s="190">
        <v>84</v>
      </c>
      <c r="CX21" s="190">
        <v>342</v>
      </c>
      <c r="CY21" s="190">
        <v>426</v>
      </c>
      <c r="CZ21" s="190">
        <v>83</v>
      </c>
      <c r="DA21" s="190">
        <v>1</v>
      </c>
      <c r="DB21" s="190">
        <v>0</v>
      </c>
      <c r="DC21" s="190">
        <v>332</v>
      </c>
      <c r="DD21" s="190">
        <v>3</v>
      </c>
      <c r="DE21" s="190">
        <v>0</v>
      </c>
      <c r="DF21" s="190">
        <v>84</v>
      </c>
      <c r="DG21" s="190">
        <v>335</v>
      </c>
      <c r="DH21" s="190">
        <v>419</v>
      </c>
      <c r="DI21" s="190">
        <v>0</v>
      </c>
      <c r="DJ21" s="190">
        <v>0</v>
      </c>
      <c r="DK21" s="190">
        <v>0</v>
      </c>
      <c r="DL21" s="190">
        <v>7</v>
      </c>
      <c r="DM21" s="190">
        <v>0</v>
      </c>
      <c r="DN21" s="190">
        <v>0</v>
      </c>
      <c r="DO21" s="190">
        <v>0</v>
      </c>
      <c r="DP21" s="190">
        <v>7</v>
      </c>
      <c r="DQ21" s="190">
        <v>7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415</v>
      </c>
      <c r="C22" s="190">
        <v>65</v>
      </c>
      <c r="D22" s="190">
        <v>404</v>
      </c>
      <c r="E22" s="190">
        <v>297</v>
      </c>
      <c r="F22" s="190">
        <v>1</v>
      </c>
      <c r="G22" s="190">
        <v>15</v>
      </c>
      <c r="H22" s="190">
        <v>16</v>
      </c>
      <c r="I22" s="190">
        <v>0</v>
      </c>
      <c r="J22" s="190">
        <v>88</v>
      </c>
      <c r="K22" s="190">
        <v>88</v>
      </c>
      <c r="L22" s="190">
        <v>0</v>
      </c>
      <c r="M22" s="190">
        <v>27</v>
      </c>
      <c r="N22" s="190">
        <v>27</v>
      </c>
      <c r="O22" s="190">
        <v>0</v>
      </c>
      <c r="P22" s="190">
        <v>61</v>
      </c>
      <c r="Q22" s="190">
        <v>61</v>
      </c>
      <c r="R22" s="190">
        <v>0</v>
      </c>
      <c r="S22" s="190">
        <v>3</v>
      </c>
      <c r="T22" s="190">
        <v>3</v>
      </c>
      <c r="U22" s="190">
        <v>0</v>
      </c>
      <c r="V22" s="190">
        <v>19</v>
      </c>
      <c r="W22" s="190">
        <v>19</v>
      </c>
      <c r="X22" s="190">
        <v>8</v>
      </c>
      <c r="Y22" s="190">
        <v>396</v>
      </c>
      <c r="Z22" s="190">
        <v>404</v>
      </c>
      <c r="AA22" s="190">
        <v>3</v>
      </c>
      <c r="AB22" s="190">
        <v>189</v>
      </c>
      <c r="AC22" s="190">
        <v>192</v>
      </c>
      <c r="AD22" s="190">
        <v>3</v>
      </c>
      <c r="AE22" s="190">
        <v>183</v>
      </c>
      <c r="AF22" s="190">
        <v>186</v>
      </c>
      <c r="AG22" s="190">
        <v>0</v>
      </c>
      <c r="AH22" s="190">
        <v>3</v>
      </c>
      <c r="AI22" s="190">
        <v>3</v>
      </c>
      <c r="AJ22" s="190">
        <v>0</v>
      </c>
      <c r="AK22" s="190">
        <v>3</v>
      </c>
      <c r="AL22" s="190">
        <v>3</v>
      </c>
      <c r="AM22" s="190">
        <v>5</v>
      </c>
      <c r="AN22" s="190">
        <v>207</v>
      </c>
      <c r="AO22" s="190">
        <v>212</v>
      </c>
      <c r="AP22" s="190">
        <v>520</v>
      </c>
      <c r="AQ22" s="190">
        <v>5498</v>
      </c>
      <c r="AR22" s="190">
        <v>6018</v>
      </c>
      <c r="AS22" s="190">
        <v>520</v>
      </c>
      <c r="AT22" s="190">
        <v>5498</v>
      </c>
      <c r="AU22" s="190">
        <v>6018</v>
      </c>
      <c r="AV22" s="190">
        <v>0</v>
      </c>
      <c r="AW22" s="190">
        <v>0</v>
      </c>
      <c r="AX22" s="190">
        <v>0</v>
      </c>
      <c r="AY22" s="190">
        <v>15</v>
      </c>
      <c r="AZ22" s="190">
        <v>502</v>
      </c>
      <c r="BA22" s="190">
        <v>517</v>
      </c>
      <c r="BB22" s="190">
        <v>12</v>
      </c>
      <c r="BC22" s="190">
        <v>0</v>
      </c>
      <c r="BD22" s="190">
        <v>0</v>
      </c>
      <c r="BE22" s="190">
        <v>283</v>
      </c>
      <c r="BF22" s="190">
        <v>1</v>
      </c>
      <c r="BG22" s="190">
        <v>1</v>
      </c>
      <c r="BH22" s="190">
        <v>12</v>
      </c>
      <c r="BI22" s="190">
        <v>285</v>
      </c>
      <c r="BJ22" s="190">
        <v>297</v>
      </c>
      <c r="BK22" s="190">
        <v>-15</v>
      </c>
      <c r="BL22" s="190">
        <v>15</v>
      </c>
      <c r="BM22" s="190">
        <v>0</v>
      </c>
      <c r="BN22" s="190">
        <v>1</v>
      </c>
      <c r="BO22" s="190">
        <v>13</v>
      </c>
      <c r="BP22" s="190">
        <v>14</v>
      </c>
      <c r="BQ22" s="190">
        <v>4</v>
      </c>
      <c r="BR22" s="190">
        <v>33</v>
      </c>
      <c r="BS22" s="190">
        <v>37</v>
      </c>
      <c r="BT22" s="190">
        <v>13</v>
      </c>
      <c r="BU22" s="190">
        <v>156</v>
      </c>
      <c r="BV22" s="190">
        <v>169</v>
      </c>
      <c r="BW22" s="190">
        <v>535</v>
      </c>
      <c r="BX22" s="190">
        <v>6000</v>
      </c>
      <c r="BY22" s="190">
        <v>6535</v>
      </c>
      <c r="BZ22" s="190">
        <v>533</v>
      </c>
      <c r="CA22" s="190">
        <v>5972</v>
      </c>
      <c r="CB22" s="190">
        <v>6505</v>
      </c>
      <c r="CC22" s="190">
        <v>12057</v>
      </c>
      <c r="CD22" s="190">
        <v>4</v>
      </c>
      <c r="CE22" s="190">
        <v>23</v>
      </c>
      <c r="CF22" s="190">
        <v>2</v>
      </c>
      <c r="CG22" s="190">
        <v>22</v>
      </c>
      <c r="CH22" s="190">
        <v>24</v>
      </c>
      <c r="CI22" s="190">
        <v>8</v>
      </c>
      <c r="CJ22" s="190">
        <v>1</v>
      </c>
      <c r="CK22" s="190">
        <v>0</v>
      </c>
      <c r="CL22" s="190">
        <v>6</v>
      </c>
      <c r="CM22" s="190">
        <v>6</v>
      </c>
      <c r="CN22" s="190">
        <v>28</v>
      </c>
      <c r="CO22" s="190">
        <v>511</v>
      </c>
      <c r="CP22" s="190">
        <v>539</v>
      </c>
      <c r="CQ22" s="190">
        <v>0</v>
      </c>
      <c r="CR22" s="190">
        <v>0</v>
      </c>
      <c r="CS22" s="190">
        <v>0</v>
      </c>
      <c r="CT22" s="190">
        <v>507</v>
      </c>
      <c r="CU22" s="190">
        <v>5489</v>
      </c>
      <c r="CV22" s="190">
        <v>5996</v>
      </c>
      <c r="CW22" s="190">
        <v>28</v>
      </c>
      <c r="CX22" s="190">
        <v>239</v>
      </c>
      <c r="CY22" s="190">
        <v>267</v>
      </c>
      <c r="CZ22" s="190">
        <v>28</v>
      </c>
      <c r="DA22" s="190">
        <v>0</v>
      </c>
      <c r="DB22" s="190">
        <v>0</v>
      </c>
      <c r="DC22" s="190">
        <v>236</v>
      </c>
      <c r="DD22" s="190">
        <v>1</v>
      </c>
      <c r="DE22" s="190">
        <v>0</v>
      </c>
      <c r="DF22" s="190">
        <v>28</v>
      </c>
      <c r="DG22" s="190">
        <v>237</v>
      </c>
      <c r="DH22" s="190">
        <v>265</v>
      </c>
      <c r="DI22" s="190">
        <v>0</v>
      </c>
      <c r="DJ22" s="190">
        <v>0</v>
      </c>
      <c r="DK22" s="190">
        <v>0</v>
      </c>
      <c r="DL22" s="190">
        <v>2</v>
      </c>
      <c r="DM22" s="190">
        <v>0</v>
      </c>
      <c r="DN22" s="190">
        <v>0</v>
      </c>
      <c r="DO22" s="190">
        <v>0</v>
      </c>
      <c r="DP22" s="190">
        <v>2</v>
      </c>
      <c r="DQ22" s="190">
        <v>2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112</v>
      </c>
      <c r="C23" s="190">
        <v>10</v>
      </c>
      <c r="D23" s="190">
        <v>99</v>
      </c>
      <c r="E23" s="190">
        <v>77</v>
      </c>
      <c r="F23" s="190">
        <v>0</v>
      </c>
      <c r="G23" s="190">
        <v>5</v>
      </c>
      <c r="H23" s="190">
        <v>5</v>
      </c>
      <c r="I23" s="190">
        <v>0</v>
      </c>
      <c r="J23" s="190">
        <v>21</v>
      </c>
      <c r="K23" s="190">
        <v>21</v>
      </c>
      <c r="L23" s="190">
        <v>0</v>
      </c>
      <c r="M23" s="190">
        <v>10</v>
      </c>
      <c r="N23" s="190">
        <v>10</v>
      </c>
      <c r="O23" s="190">
        <v>0</v>
      </c>
      <c r="P23" s="190">
        <v>11</v>
      </c>
      <c r="Q23" s="190">
        <v>11</v>
      </c>
      <c r="R23" s="190">
        <v>0</v>
      </c>
      <c r="S23" s="190">
        <v>1</v>
      </c>
      <c r="T23" s="190">
        <v>1</v>
      </c>
      <c r="U23" s="190">
        <v>0</v>
      </c>
      <c r="V23" s="190">
        <v>1</v>
      </c>
      <c r="W23" s="190">
        <v>1</v>
      </c>
      <c r="X23" s="190">
        <v>5</v>
      </c>
      <c r="Y23" s="190">
        <v>94</v>
      </c>
      <c r="Z23" s="190">
        <v>99</v>
      </c>
      <c r="AA23" s="190">
        <v>1</v>
      </c>
      <c r="AB23" s="190">
        <v>45</v>
      </c>
      <c r="AC23" s="190">
        <v>46</v>
      </c>
      <c r="AD23" s="190">
        <v>1</v>
      </c>
      <c r="AE23" s="190">
        <v>36</v>
      </c>
      <c r="AF23" s="190">
        <v>37</v>
      </c>
      <c r="AG23" s="190">
        <v>0</v>
      </c>
      <c r="AH23" s="190">
        <v>5</v>
      </c>
      <c r="AI23" s="190">
        <v>5</v>
      </c>
      <c r="AJ23" s="190">
        <v>0</v>
      </c>
      <c r="AK23" s="190">
        <v>4</v>
      </c>
      <c r="AL23" s="190">
        <v>4</v>
      </c>
      <c r="AM23" s="190">
        <v>4</v>
      </c>
      <c r="AN23" s="190">
        <v>49</v>
      </c>
      <c r="AO23" s="190">
        <v>53</v>
      </c>
      <c r="AP23" s="190">
        <v>210</v>
      </c>
      <c r="AQ23" s="190">
        <v>1236</v>
      </c>
      <c r="AR23" s="190">
        <v>1446</v>
      </c>
      <c r="AS23" s="190">
        <v>210</v>
      </c>
      <c r="AT23" s="190">
        <v>1236</v>
      </c>
      <c r="AU23" s="190">
        <v>1446</v>
      </c>
      <c r="AV23" s="190">
        <v>0</v>
      </c>
      <c r="AW23" s="190">
        <v>0</v>
      </c>
      <c r="AX23" s="190">
        <v>0</v>
      </c>
      <c r="AY23" s="190">
        <v>14</v>
      </c>
      <c r="AZ23" s="190">
        <v>145</v>
      </c>
      <c r="BA23" s="190">
        <v>159</v>
      </c>
      <c r="BB23" s="190">
        <v>6</v>
      </c>
      <c r="BC23" s="190">
        <v>0</v>
      </c>
      <c r="BD23" s="190">
        <v>0</v>
      </c>
      <c r="BE23" s="190">
        <v>71</v>
      </c>
      <c r="BF23" s="190">
        <v>0</v>
      </c>
      <c r="BG23" s="190">
        <v>0</v>
      </c>
      <c r="BH23" s="190">
        <v>6</v>
      </c>
      <c r="BI23" s="190">
        <v>71</v>
      </c>
      <c r="BJ23" s="190">
        <v>77</v>
      </c>
      <c r="BK23" s="190">
        <v>-7</v>
      </c>
      <c r="BL23" s="190">
        <v>7</v>
      </c>
      <c r="BM23" s="190">
        <v>0</v>
      </c>
      <c r="BN23" s="190">
        <v>2</v>
      </c>
      <c r="BO23" s="190">
        <v>4</v>
      </c>
      <c r="BP23" s="190">
        <v>6</v>
      </c>
      <c r="BQ23" s="190">
        <v>5</v>
      </c>
      <c r="BR23" s="190">
        <v>34</v>
      </c>
      <c r="BS23" s="190">
        <v>39</v>
      </c>
      <c r="BT23" s="190">
        <v>8</v>
      </c>
      <c r="BU23" s="190">
        <v>29</v>
      </c>
      <c r="BV23" s="190">
        <v>37</v>
      </c>
      <c r="BW23" s="190">
        <v>224</v>
      </c>
      <c r="BX23" s="190">
        <v>1381</v>
      </c>
      <c r="BY23" s="190">
        <v>1605</v>
      </c>
      <c r="BZ23" s="190">
        <v>224</v>
      </c>
      <c r="CA23" s="190">
        <v>1378</v>
      </c>
      <c r="CB23" s="190">
        <v>1602</v>
      </c>
      <c r="CC23" s="190">
        <v>3162</v>
      </c>
      <c r="CD23" s="190">
        <v>0</v>
      </c>
      <c r="CE23" s="190">
        <v>4</v>
      </c>
      <c r="CF23" s="190">
        <v>0</v>
      </c>
      <c r="CG23" s="190">
        <v>3</v>
      </c>
      <c r="CH23" s="190">
        <v>3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18</v>
      </c>
      <c r="CO23" s="190">
        <v>148</v>
      </c>
      <c r="CP23" s="190">
        <v>166</v>
      </c>
      <c r="CQ23" s="190">
        <v>0</v>
      </c>
      <c r="CR23" s="190">
        <v>0</v>
      </c>
      <c r="CS23" s="190">
        <v>0</v>
      </c>
      <c r="CT23" s="190">
        <v>206</v>
      </c>
      <c r="CU23" s="190">
        <v>1233</v>
      </c>
      <c r="CV23" s="190">
        <v>1439</v>
      </c>
      <c r="CW23" s="190">
        <v>16</v>
      </c>
      <c r="CX23" s="190">
        <v>68</v>
      </c>
      <c r="CY23" s="190">
        <v>84</v>
      </c>
      <c r="CZ23" s="190">
        <v>16</v>
      </c>
      <c r="DA23" s="190">
        <v>0</v>
      </c>
      <c r="DB23" s="190">
        <v>0</v>
      </c>
      <c r="DC23" s="190">
        <v>66</v>
      </c>
      <c r="DD23" s="190">
        <v>0</v>
      </c>
      <c r="DE23" s="190">
        <v>0</v>
      </c>
      <c r="DF23" s="190">
        <v>16</v>
      </c>
      <c r="DG23" s="190">
        <v>66</v>
      </c>
      <c r="DH23" s="190">
        <v>82</v>
      </c>
      <c r="DI23" s="190">
        <v>0</v>
      </c>
      <c r="DJ23" s="190">
        <v>0</v>
      </c>
      <c r="DK23" s="190">
        <v>0</v>
      </c>
      <c r="DL23" s="190">
        <v>2</v>
      </c>
      <c r="DM23" s="190">
        <v>0</v>
      </c>
      <c r="DN23" s="190">
        <v>0</v>
      </c>
      <c r="DO23" s="190">
        <v>0</v>
      </c>
      <c r="DP23" s="190">
        <v>2</v>
      </c>
      <c r="DQ23" s="190">
        <v>2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33455</v>
      </c>
      <c r="C24" s="190">
        <v>6584</v>
      </c>
      <c r="D24" s="190">
        <v>34745</v>
      </c>
      <c r="E24" s="190">
        <v>27120</v>
      </c>
      <c r="F24" s="190">
        <v>61</v>
      </c>
      <c r="G24" s="190">
        <v>199</v>
      </c>
      <c r="H24" s="190">
        <v>260</v>
      </c>
      <c r="I24" s="190">
        <v>23</v>
      </c>
      <c r="J24" s="190">
        <v>6411</v>
      </c>
      <c r="K24" s="190">
        <v>6434</v>
      </c>
      <c r="L24" s="190">
        <v>16</v>
      </c>
      <c r="M24" s="190">
        <v>2308</v>
      </c>
      <c r="N24" s="190">
        <v>2324</v>
      </c>
      <c r="O24" s="190">
        <v>7</v>
      </c>
      <c r="P24" s="190">
        <v>4103</v>
      </c>
      <c r="Q24" s="190">
        <v>4110</v>
      </c>
      <c r="R24" s="190">
        <v>0</v>
      </c>
      <c r="S24" s="190">
        <v>83</v>
      </c>
      <c r="T24" s="190">
        <v>83</v>
      </c>
      <c r="U24" s="190">
        <v>0</v>
      </c>
      <c r="V24" s="190">
        <v>1191</v>
      </c>
      <c r="W24" s="190">
        <v>1191</v>
      </c>
      <c r="X24" s="190">
        <v>2173</v>
      </c>
      <c r="Y24" s="190">
        <v>30040</v>
      </c>
      <c r="Z24" s="190">
        <v>32213</v>
      </c>
      <c r="AA24" s="190">
        <v>1547</v>
      </c>
      <c r="AB24" s="190">
        <v>15833</v>
      </c>
      <c r="AC24" s="190">
        <v>17380</v>
      </c>
      <c r="AD24" s="190">
        <v>1285</v>
      </c>
      <c r="AE24" s="190">
        <v>14655</v>
      </c>
      <c r="AF24" s="190">
        <v>15940</v>
      </c>
      <c r="AG24" s="190">
        <v>92</v>
      </c>
      <c r="AH24" s="190">
        <v>488</v>
      </c>
      <c r="AI24" s="190">
        <v>580</v>
      </c>
      <c r="AJ24" s="190">
        <v>170</v>
      </c>
      <c r="AK24" s="190">
        <v>690</v>
      </c>
      <c r="AL24" s="190">
        <v>860</v>
      </c>
      <c r="AM24" s="190">
        <v>626</v>
      </c>
      <c r="AN24" s="190">
        <v>14207</v>
      </c>
      <c r="AO24" s="190">
        <v>14833</v>
      </c>
      <c r="AP24" s="190">
        <v>80508</v>
      </c>
      <c r="AQ24" s="190">
        <v>416046</v>
      </c>
      <c r="AR24" s="190">
        <v>496554</v>
      </c>
      <c r="AS24" s="190">
        <v>82049</v>
      </c>
      <c r="AT24" s="190">
        <v>430119</v>
      </c>
      <c r="AU24" s="190">
        <v>512168</v>
      </c>
      <c r="AV24" s="190">
        <v>-1541</v>
      </c>
      <c r="AW24" s="190">
        <v>-14073</v>
      </c>
      <c r="AX24" s="190">
        <v>-15614</v>
      </c>
      <c r="AY24" s="190">
        <v>4202</v>
      </c>
      <c r="AZ24" s="190">
        <v>41850</v>
      </c>
      <c r="BA24" s="190">
        <v>46052</v>
      </c>
      <c r="BB24" s="190">
        <v>2472</v>
      </c>
      <c r="BC24" s="190">
        <v>64</v>
      </c>
      <c r="BD24" s="190">
        <v>4</v>
      </c>
      <c r="BE24" s="190">
        <v>24146</v>
      </c>
      <c r="BF24" s="190">
        <v>234</v>
      </c>
      <c r="BG24" s="190">
        <v>200</v>
      </c>
      <c r="BH24" s="190">
        <v>2540</v>
      </c>
      <c r="BI24" s="190">
        <v>24580</v>
      </c>
      <c r="BJ24" s="190">
        <v>27120</v>
      </c>
      <c r="BK24" s="190">
        <v>-1699</v>
      </c>
      <c r="BL24" s="190">
        <v>1699</v>
      </c>
      <c r="BM24" s="190">
        <v>0</v>
      </c>
      <c r="BN24" s="190">
        <v>43</v>
      </c>
      <c r="BO24" s="190">
        <v>243</v>
      </c>
      <c r="BP24" s="190">
        <v>286</v>
      </c>
      <c r="BQ24" s="190">
        <v>367</v>
      </c>
      <c r="BR24" s="190">
        <v>2643</v>
      </c>
      <c r="BS24" s="190">
        <v>3010</v>
      </c>
      <c r="BT24" s="190">
        <v>2951</v>
      </c>
      <c r="BU24" s="190">
        <v>12685</v>
      </c>
      <c r="BV24" s="190">
        <v>15636</v>
      </c>
      <c r="BW24" s="190">
        <v>84710</v>
      </c>
      <c r="BX24" s="190">
        <v>457896</v>
      </c>
      <c r="BY24" s="190">
        <v>542606</v>
      </c>
      <c r="BZ24" s="190">
        <v>82226</v>
      </c>
      <c r="CA24" s="190">
        <v>449302</v>
      </c>
      <c r="CB24" s="190">
        <v>531528</v>
      </c>
      <c r="CC24" s="190">
        <v>1071128</v>
      </c>
      <c r="CD24" s="190">
        <v>612</v>
      </c>
      <c r="CE24" s="190">
        <v>9026</v>
      </c>
      <c r="CF24" s="190">
        <v>2261</v>
      </c>
      <c r="CG24" s="190">
        <v>5241</v>
      </c>
      <c r="CH24" s="190">
        <v>7502</v>
      </c>
      <c r="CI24" s="190">
        <v>4030</v>
      </c>
      <c r="CJ24" s="190">
        <v>537</v>
      </c>
      <c r="CK24" s="190">
        <v>223</v>
      </c>
      <c r="CL24" s="190">
        <v>3353</v>
      </c>
      <c r="CM24" s="190">
        <v>3576</v>
      </c>
      <c r="CN24" s="190">
        <v>3618</v>
      </c>
      <c r="CO24" s="190">
        <v>25734</v>
      </c>
      <c r="CP24" s="190">
        <v>29352</v>
      </c>
      <c r="CQ24" s="190">
        <v>59</v>
      </c>
      <c r="CR24" s="190">
        <v>277</v>
      </c>
      <c r="CS24" s="190">
        <v>336</v>
      </c>
      <c r="CT24" s="190">
        <v>81092</v>
      </c>
      <c r="CU24" s="190">
        <v>432162</v>
      </c>
      <c r="CV24" s="190">
        <v>513254</v>
      </c>
      <c r="CW24" s="190">
        <v>5565</v>
      </c>
      <c r="CX24" s="190">
        <v>18620</v>
      </c>
      <c r="CY24" s="190">
        <v>24185</v>
      </c>
      <c r="CZ24" s="190">
        <v>5323</v>
      </c>
      <c r="DA24" s="190">
        <v>207</v>
      </c>
      <c r="DB24" s="190">
        <v>2</v>
      </c>
      <c r="DC24" s="190">
        <v>17990</v>
      </c>
      <c r="DD24" s="190">
        <v>317</v>
      </c>
      <c r="DE24" s="190">
        <v>112</v>
      </c>
      <c r="DF24" s="190">
        <v>5532</v>
      </c>
      <c r="DG24" s="190">
        <v>18419</v>
      </c>
      <c r="DH24" s="190">
        <v>23951</v>
      </c>
      <c r="DI24" s="190">
        <v>33</v>
      </c>
      <c r="DJ24" s="190">
        <v>0</v>
      </c>
      <c r="DK24" s="190">
        <v>0</v>
      </c>
      <c r="DL24" s="190">
        <v>197</v>
      </c>
      <c r="DM24" s="190">
        <v>3</v>
      </c>
      <c r="DN24" s="190">
        <v>1</v>
      </c>
      <c r="DO24" s="190">
        <v>33</v>
      </c>
      <c r="DP24" s="190">
        <v>201</v>
      </c>
      <c r="DQ24" s="190">
        <v>234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592</v>
      </c>
      <c r="C25" s="190">
        <v>81</v>
      </c>
      <c r="D25" s="190">
        <v>605</v>
      </c>
      <c r="E25" s="190">
        <v>406</v>
      </c>
      <c r="F25" s="190">
        <v>1</v>
      </c>
      <c r="G25" s="190">
        <v>2</v>
      </c>
      <c r="H25" s="190">
        <v>3</v>
      </c>
      <c r="I25" s="190">
        <v>0</v>
      </c>
      <c r="J25" s="190">
        <v>181</v>
      </c>
      <c r="K25" s="190">
        <v>181</v>
      </c>
      <c r="L25" s="190">
        <v>0</v>
      </c>
      <c r="M25" s="190">
        <v>77</v>
      </c>
      <c r="N25" s="190">
        <v>77</v>
      </c>
      <c r="O25" s="190">
        <v>0</v>
      </c>
      <c r="P25" s="190">
        <v>104</v>
      </c>
      <c r="Q25" s="190">
        <v>104</v>
      </c>
      <c r="R25" s="190">
        <v>0</v>
      </c>
      <c r="S25" s="190">
        <v>1</v>
      </c>
      <c r="T25" s="190">
        <v>1</v>
      </c>
      <c r="U25" s="190">
        <v>0</v>
      </c>
      <c r="V25" s="190">
        <v>18</v>
      </c>
      <c r="W25" s="190">
        <v>18</v>
      </c>
      <c r="X25" s="190">
        <v>21</v>
      </c>
      <c r="Y25" s="190">
        <v>584</v>
      </c>
      <c r="Z25" s="190">
        <v>605</v>
      </c>
      <c r="AA25" s="190">
        <v>10</v>
      </c>
      <c r="AB25" s="190">
        <v>242</v>
      </c>
      <c r="AC25" s="190">
        <v>252</v>
      </c>
      <c r="AD25" s="190">
        <v>9</v>
      </c>
      <c r="AE25" s="190">
        <v>230</v>
      </c>
      <c r="AF25" s="190">
        <v>239</v>
      </c>
      <c r="AG25" s="190">
        <v>1</v>
      </c>
      <c r="AH25" s="190">
        <v>10</v>
      </c>
      <c r="AI25" s="190">
        <v>11</v>
      </c>
      <c r="AJ25" s="190">
        <v>0</v>
      </c>
      <c r="AK25" s="190">
        <v>2</v>
      </c>
      <c r="AL25" s="190">
        <v>2</v>
      </c>
      <c r="AM25" s="190">
        <v>11</v>
      </c>
      <c r="AN25" s="190">
        <v>342</v>
      </c>
      <c r="AO25" s="190">
        <v>353</v>
      </c>
      <c r="AP25" s="190">
        <v>1713</v>
      </c>
      <c r="AQ25" s="190">
        <v>9280</v>
      </c>
      <c r="AR25" s="190">
        <v>10993</v>
      </c>
      <c r="AS25" s="190">
        <v>1713</v>
      </c>
      <c r="AT25" s="190">
        <v>9280</v>
      </c>
      <c r="AU25" s="190">
        <v>10993</v>
      </c>
      <c r="AV25" s="190">
        <v>0</v>
      </c>
      <c r="AW25" s="190">
        <v>0</v>
      </c>
      <c r="AX25" s="190">
        <v>0</v>
      </c>
      <c r="AY25" s="190">
        <v>-1</v>
      </c>
      <c r="AZ25" s="190">
        <v>754</v>
      </c>
      <c r="BA25" s="190">
        <v>753</v>
      </c>
      <c r="BB25" s="190">
        <v>25</v>
      </c>
      <c r="BC25" s="190">
        <v>1</v>
      </c>
      <c r="BD25" s="190">
        <v>0</v>
      </c>
      <c r="BE25" s="190">
        <v>378</v>
      </c>
      <c r="BF25" s="190">
        <v>2</v>
      </c>
      <c r="BG25" s="190">
        <v>0</v>
      </c>
      <c r="BH25" s="190">
        <v>26</v>
      </c>
      <c r="BI25" s="190">
        <v>380</v>
      </c>
      <c r="BJ25" s="190">
        <v>406</v>
      </c>
      <c r="BK25" s="190">
        <v>-69</v>
      </c>
      <c r="BL25" s="190">
        <v>69</v>
      </c>
      <c r="BM25" s="190">
        <v>0</v>
      </c>
      <c r="BN25" s="190">
        <v>4</v>
      </c>
      <c r="BO25" s="190">
        <v>22</v>
      </c>
      <c r="BP25" s="190">
        <v>26</v>
      </c>
      <c r="BQ25" s="190">
        <v>19</v>
      </c>
      <c r="BR25" s="190">
        <v>168</v>
      </c>
      <c r="BS25" s="190">
        <v>187</v>
      </c>
      <c r="BT25" s="190">
        <v>19</v>
      </c>
      <c r="BU25" s="190">
        <v>115</v>
      </c>
      <c r="BV25" s="190">
        <v>134</v>
      </c>
      <c r="BW25" s="190">
        <v>1712</v>
      </c>
      <c r="BX25" s="190">
        <v>10034</v>
      </c>
      <c r="BY25" s="190">
        <v>11746</v>
      </c>
      <c r="BZ25" s="190">
        <v>1696</v>
      </c>
      <c r="CA25" s="190">
        <v>9964</v>
      </c>
      <c r="CB25" s="190">
        <v>11660</v>
      </c>
      <c r="CC25" s="190">
        <v>28308</v>
      </c>
      <c r="CD25" s="190">
        <v>2</v>
      </c>
      <c r="CE25" s="190">
        <v>81</v>
      </c>
      <c r="CF25" s="190">
        <v>15</v>
      </c>
      <c r="CG25" s="190">
        <v>63</v>
      </c>
      <c r="CH25" s="190">
        <v>78</v>
      </c>
      <c r="CI25" s="190">
        <v>8</v>
      </c>
      <c r="CJ25" s="190">
        <v>5</v>
      </c>
      <c r="CK25" s="190">
        <v>1</v>
      </c>
      <c r="CL25" s="190">
        <v>7</v>
      </c>
      <c r="CM25" s="190">
        <v>8</v>
      </c>
      <c r="CN25" s="190">
        <v>66</v>
      </c>
      <c r="CO25" s="190">
        <v>714</v>
      </c>
      <c r="CP25" s="190">
        <v>780</v>
      </c>
      <c r="CQ25" s="190">
        <v>0</v>
      </c>
      <c r="CR25" s="190">
        <v>0</v>
      </c>
      <c r="CS25" s="190">
        <v>0</v>
      </c>
      <c r="CT25" s="190">
        <v>1646</v>
      </c>
      <c r="CU25" s="190">
        <v>9320</v>
      </c>
      <c r="CV25" s="190">
        <v>10966</v>
      </c>
      <c r="CW25" s="190">
        <v>112</v>
      </c>
      <c r="CX25" s="190">
        <v>485</v>
      </c>
      <c r="CY25" s="190">
        <v>597</v>
      </c>
      <c r="CZ25" s="190">
        <v>109</v>
      </c>
      <c r="DA25" s="190">
        <v>2</v>
      </c>
      <c r="DB25" s="190">
        <v>1</v>
      </c>
      <c r="DC25" s="190">
        <v>476</v>
      </c>
      <c r="DD25" s="190">
        <v>5</v>
      </c>
      <c r="DE25" s="190">
        <v>0</v>
      </c>
      <c r="DF25" s="190">
        <v>112</v>
      </c>
      <c r="DG25" s="190">
        <v>481</v>
      </c>
      <c r="DH25" s="190">
        <v>593</v>
      </c>
      <c r="DI25" s="190">
        <v>0</v>
      </c>
      <c r="DJ25" s="190">
        <v>0</v>
      </c>
      <c r="DK25" s="190">
        <v>0</v>
      </c>
      <c r="DL25" s="190">
        <v>4</v>
      </c>
      <c r="DM25" s="190">
        <v>0</v>
      </c>
      <c r="DN25" s="190">
        <v>0</v>
      </c>
      <c r="DO25" s="190">
        <v>0</v>
      </c>
      <c r="DP25" s="190">
        <v>4</v>
      </c>
      <c r="DQ25" s="190">
        <v>4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481</v>
      </c>
      <c r="C26" s="190">
        <v>123</v>
      </c>
      <c r="D26" s="190">
        <v>508</v>
      </c>
      <c r="E26" s="190">
        <v>325</v>
      </c>
      <c r="F26" s="190">
        <v>0</v>
      </c>
      <c r="G26" s="190">
        <v>6</v>
      </c>
      <c r="H26" s="190">
        <v>6</v>
      </c>
      <c r="I26" s="190">
        <v>0</v>
      </c>
      <c r="J26" s="190">
        <v>158</v>
      </c>
      <c r="K26" s="190">
        <v>158</v>
      </c>
      <c r="L26" s="190">
        <v>0</v>
      </c>
      <c r="M26" s="190">
        <v>69</v>
      </c>
      <c r="N26" s="190">
        <v>69</v>
      </c>
      <c r="O26" s="190">
        <v>0</v>
      </c>
      <c r="P26" s="190">
        <v>89</v>
      </c>
      <c r="Q26" s="190">
        <v>89</v>
      </c>
      <c r="R26" s="190">
        <v>0</v>
      </c>
      <c r="S26" s="190">
        <v>2</v>
      </c>
      <c r="T26" s="190">
        <v>2</v>
      </c>
      <c r="U26" s="190">
        <v>0</v>
      </c>
      <c r="V26" s="190">
        <v>25</v>
      </c>
      <c r="W26" s="190">
        <v>25</v>
      </c>
      <c r="X26" s="190">
        <v>8</v>
      </c>
      <c r="Y26" s="190">
        <v>500</v>
      </c>
      <c r="Z26" s="190">
        <v>508</v>
      </c>
      <c r="AA26" s="190">
        <v>6</v>
      </c>
      <c r="AB26" s="190">
        <v>217</v>
      </c>
      <c r="AC26" s="190">
        <v>223</v>
      </c>
      <c r="AD26" s="190">
        <v>5</v>
      </c>
      <c r="AE26" s="190">
        <v>200</v>
      </c>
      <c r="AF26" s="190">
        <v>205</v>
      </c>
      <c r="AG26" s="190">
        <v>0</v>
      </c>
      <c r="AH26" s="190">
        <v>4</v>
      </c>
      <c r="AI26" s="190">
        <v>4</v>
      </c>
      <c r="AJ26" s="190">
        <v>1</v>
      </c>
      <c r="AK26" s="190">
        <v>13</v>
      </c>
      <c r="AL26" s="190">
        <v>14</v>
      </c>
      <c r="AM26" s="190">
        <v>2</v>
      </c>
      <c r="AN26" s="190">
        <v>283</v>
      </c>
      <c r="AO26" s="190">
        <v>285</v>
      </c>
      <c r="AP26" s="190">
        <v>543</v>
      </c>
      <c r="AQ26" s="190">
        <v>5014</v>
      </c>
      <c r="AR26" s="190">
        <v>5557</v>
      </c>
      <c r="AS26" s="190">
        <v>543</v>
      </c>
      <c r="AT26" s="190">
        <v>5014</v>
      </c>
      <c r="AU26" s="190">
        <v>5557</v>
      </c>
      <c r="AV26" s="190">
        <v>0</v>
      </c>
      <c r="AW26" s="190">
        <v>0</v>
      </c>
      <c r="AX26" s="190">
        <v>0</v>
      </c>
      <c r="AY26" s="190">
        <v>24</v>
      </c>
      <c r="AZ26" s="190">
        <v>490</v>
      </c>
      <c r="BA26" s="190">
        <v>514</v>
      </c>
      <c r="BB26" s="190">
        <v>8</v>
      </c>
      <c r="BC26" s="190">
        <v>0</v>
      </c>
      <c r="BD26" s="190">
        <v>0</v>
      </c>
      <c r="BE26" s="190">
        <v>302</v>
      </c>
      <c r="BF26" s="190">
        <v>9</v>
      </c>
      <c r="BG26" s="190">
        <v>6</v>
      </c>
      <c r="BH26" s="190">
        <v>8</v>
      </c>
      <c r="BI26" s="190">
        <v>317</v>
      </c>
      <c r="BJ26" s="190">
        <v>325</v>
      </c>
      <c r="BK26" s="190">
        <v>2</v>
      </c>
      <c r="BL26" s="190">
        <v>-2</v>
      </c>
      <c r="BM26" s="190">
        <v>0</v>
      </c>
      <c r="BN26" s="190">
        <v>3</v>
      </c>
      <c r="BO26" s="190">
        <v>11</v>
      </c>
      <c r="BP26" s="190">
        <v>14</v>
      </c>
      <c r="BQ26" s="190">
        <v>0</v>
      </c>
      <c r="BR26" s="190">
        <v>55</v>
      </c>
      <c r="BS26" s="190">
        <v>55</v>
      </c>
      <c r="BT26" s="190">
        <v>11</v>
      </c>
      <c r="BU26" s="190">
        <v>109</v>
      </c>
      <c r="BV26" s="190">
        <v>120</v>
      </c>
      <c r="BW26" s="190">
        <v>567</v>
      </c>
      <c r="BX26" s="190">
        <v>5504</v>
      </c>
      <c r="BY26" s="190">
        <v>6071</v>
      </c>
      <c r="BZ26" s="190">
        <v>528</v>
      </c>
      <c r="CA26" s="190">
        <v>5196</v>
      </c>
      <c r="CB26" s="190">
        <v>5724</v>
      </c>
      <c r="CC26" s="190">
        <v>9571</v>
      </c>
      <c r="CD26" s="190">
        <v>8</v>
      </c>
      <c r="CE26" s="190">
        <v>321</v>
      </c>
      <c r="CF26" s="190">
        <v>37</v>
      </c>
      <c r="CG26" s="190">
        <v>237</v>
      </c>
      <c r="CH26" s="190">
        <v>274</v>
      </c>
      <c r="CI26" s="190">
        <v>72</v>
      </c>
      <c r="CJ26" s="190">
        <v>15</v>
      </c>
      <c r="CK26" s="190">
        <v>2</v>
      </c>
      <c r="CL26" s="190">
        <v>71</v>
      </c>
      <c r="CM26" s="190">
        <v>73</v>
      </c>
      <c r="CN26" s="190">
        <v>26</v>
      </c>
      <c r="CO26" s="190">
        <v>467</v>
      </c>
      <c r="CP26" s="190">
        <v>493</v>
      </c>
      <c r="CQ26" s="190">
        <v>0</v>
      </c>
      <c r="CR26" s="190">
        <v>0</v>
      </c>
      <c r="CS26" s="190">
        <v>0</v>
      </c>
      <c r="CT26" s="190">
        <v>541</v>
      </c>
      <c r="CU26" s="190">
        <v>5037</v>
      </c>
      <c r="CV26" s="190">
        <v>5578</v>
      </c>
      <c r="CW26" s="190">
        <v>37</v>
      </c>
      <c r="CX26" s="190">
        <v>214</v>
      </c>
      <c r="CY26" s="190">
        <v>251</v>
      </c>
      <c r="CZ26" s="190">
        <v>36</v>
      </c>
      <c r="DA26" s="190">
        <v>1</v>
      </c>
      <c r="DB26" s="190">
        <v>0</v>
      </c>
      <c r="DC26" s="190">
        <v>194</v>
      </c>
      <c r="DD26" s="190">
        <v>11</v>
      </c>
      <c r="DE26" s="190">
        <v>6</v>
      </c>
      <c r="DF26" s="190">
        <v>37</v>
      </c>
      <c r="DG26" s="190">
        <v>211</v>
      </c>
      <c r="DH26" s="190">
        <v>248</v>
      </c>
      <c r="DI26" s="190">
        <v>0</v>
      </c>
      <c r="DJ26" s="190">
        <v>0</v>
      </c>
      <c r="DK26" s="190">
        <v>0</v>
      </c>
      <c r="DL26" s="190">
        <v>2</v>
      </c>
      <c r="DM26" s="190">
        <v>1</v>
      </c>
      <c r="DN26" s="190">
        <v>0</v>
      </c>
      <c r="DO26" s="190">
        <v>0</v>
      </c>
      <c r="DP26" s="190">
        <v>3</v>
      </c>
      <c r="DQ26" s="190">
        <v>3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86</v>
      </c>
      <c r="C27" s="190">
        <v>19</v>
      </c>
      <c r="D27" s="190">
        <v>69</v>
      </c>
      <c r="E27" s="190">
        <v>41</v>
      </c>
      <c r="F27" s="190">
        <v>0</v>
      </c>
      <c r="G27" s="190">
        <v>5</v>
      </c>
      <c r="H27" s="190">
        <v>5</v>
      </c>
      <c r="I27" s="190">
        <v>0</v>
      </c>
      <c r="J27" s="190">
        <v>25</v>
      </c>
      <c r="K27" s="190">
        <v>25</v>
      </c>
      <c r="L27" s="190">
        <v>0</v>
      </c>
      <c r="M27" s="190">
        <v>11</v>
      </c>
      <c r="N27" s="190">
        <v>11</v>
      </c>
      <c r="O27" s="190">
        <v>0</v>
      </c>
      <c r="P27" s="190">
        <v>14</v>
      </c>
      <c r="Q27" s="190">
        <v>14</v>
      </c>
      <c r="R27" s="190">
        <v>0</v>
      </c>
      <c r="S27" s="190">
        <v>0</v>
      </c>
      <c r="T27" s="190">
        <v>0</v>
      </c>
      <c r="U27" s="190">
        <v>0</v>
      </c>
      <c r="V27" s="190">
        <v>3</v>
      </c>
      <c r="W27" s="190">
        <v>3</v>
      </c>
      <c r="X27" s="190">
        <v>1</v>
      </c>
      <c r="Y27" s="190">
        <v>68</v>
      </c>
      <c r="Z27" s="190">
        <v>69</v>
      </c>
      <c r="AA27" s="190">
        <v>0</v>
      </c>
      <c r="AB27" s="190">
        <v>26</v>
      </c>
      <c r="AC27" s="190">
        <v>26</v>
      </c>
      <c r="AD27" s="190">
        <v>0</v>
      </c>
      <c r="AE27" s="190">
        <v>14</v>
      </c>
      <c r="AF27" s="190">
        <v>14</v>
      </c>
      <c r="AG27" s="190">
        <v>0</v>
      </c>
      <c r="AH27" s="190">
        <v>11</v>
      </c>
      <c r="AI27" s="190">
        <v>11</v>
      </c>
      <c r="AJ27" s="190">
        <v>0</v>
      </c>
      <c r="AK27" s="190">
        <v>1</v>
      </c>
      <c r="AL27" s="190">
        <v>1</v>
      </c>
      <c r="AM27" s="190">
        <v>1</v>
      </c>
      <c r="AN27" s="190">
        <v>42</v>
      </c>
      <c r="AO27" s="190">
        <v>43</v>
      </c>
      <c r="AP27" s="190">
        <v>74</v>
      </c>
      <c r="AQ27" s="190">
        <v>875</v>
      </c>
      <c r="AR27" s="190">
        <v>949</v>
      </c>
      <c r="AS27" s="190">
        <v>74</v>
      </c>
      <c r="AT27" s="190">
        <v>875</v>
      </c>
      <c r="AU27" s="190">
        <v>949</v>
      </c>
      <c r="AV27" s="190">
        <v>0</v>
      </c>
      <c r="AW27" s="190">
        <v>0</v>
      </c>
      <c r="AX27" s="190">
        <v>0</v>
      </c>
      <c r="AY27" s="190">
        <v>7</v>
      </c>
      <c r="AZ27" s="190">
        <v>69</v>
      </c>
      <c r="BA27" s="190">
        <v>76</v>
      </c>
      <c r="BB27" s="190">
        <v>1</v>
      </c>
      <c r="BC27" s="190">
        <v>0</v>
      </c>
      <c r="BD27" s="190">
        <v>0</v>
      </c>
      <c r="BE27" s="190">
        <v>40</v>
      </c>
      <c r="BF27" s="190">
        <v>0</v>
      </c>
      <c r="BG27" s="190">
        <v>0</v>
      </c>
      <c r="BH27" s="190">
        <v>1</v>
      </c>
      <c r="BI27" s="190">
        <v>40</v>
      </c>
      <c r="BJ27" s="190">
        <v>41</v>
      </c>
      <c r="BK27" s="190">
        <v>1</v>
      </c>
      <c r="BL27" s="190">
        <v>-1</v>
      </c>
      <c r="BM27" s="190">
        <v>0</v>
      </c>
      <c r="BN27" s="190">
        <v>0</v>
      </c>
      <c r="BO27" s="190">
        <v>3</v>
      </c>
      <c r="BP27" s="190">
        <v>3</v>
      </c>
      <c r="BQ27" s="190">
        <v>0</v>
      </c>
      <c r="BR27" s="190">
        <v>6</v>
      </c>
      <c r="BS27" s="190">
        <v>6</v>
      </c>
      <c r="BT27" s="190">
        <v>5</v>
      </c>
      <c r="BU27" s="190">
        <v>21</v>
      </c>
      <c r="BV27" s="190">
        <v>26</v>
      </c>
      <c r="BW27" s="190">
        <v>81</v>
      </c>
      <c r="BX27" s="190">
        <v>944</v>
      </c>
      <c r="BY27" s="190">
        <v>1025</v>
      </c>
      <c r="BZ27" s="190">
        <v>81</v>
      </c>
      <c r="CA27" s="190">
        <v>940</v>
      </c>
      <c r="CB27" s="190">
        <v>1021</v>
      </c>
      <c r="CC27" s="190">
        <v>1826</v>
      </c>
      <c r="CD27" s="190">
        <v>1</v>
      </c>
      <c r="CE27" s="190">
        <v>2</v>
      </c>
      <c r="CF27" s="190">
        <v>0</v>
      </c>
      <c r="CG27" s="190">
        <v>3</v>
      </c>
      <c r="CH27" s="190">
        <v>3</v>
      </c>
      <c r="CI27" s="190">
        <v>1</v>
      </c>
      <c r="CJ27" s="190">
        <v>0</v>
      </c>
      <c r="CK27" s="190">
        <v>0</v>
      </c>
      <c r="CL27" s="190">
        <v>1</v>
      </c>
      <c r="CM27" s="190">
        <v>1</v>
      </c>
      <c r="CN27" s="190">
        <v>5</v>
      </c>
      <c r="CO27" s="190">
        <v>66</v>
      </c>
      <c r="CP27" s="190">
        <v>71</v>
      </c>
      <c r="CQ27" s="190">
        <v>0</v>
      </c>
      <c r="CR27" s="190">
        <v>2</v>
      </c>
      <c r="CS27" s="190">
        <v>2</v>
      </c>
      <c r="CT27" s="190">
        <v>76</v>
      </c>
      <c r="CU27" s="190">
        <v>878</v>
      </c>
      <c r="CV27" s="190">
        <v>954</v>
      </c>
      <c r="CW27" s="190">
        <v>7</v>
      </c>
      <c r="CX27" s="190">
        <v>48</v>
      </c>
      <c r="CY27" s="190">
        <v>55</v>
      </c>
      <c r="CZ27" s="190">
        <v>7</v>
      </c>
      <c r="DA27" s="190">
        <v>0</v>
      </c>
      <c r="DB27" s="190">
        <v>0</v>
      </c>
      <c r="DC27" s="190">
        <v>47</v>
      </c>
      <c r="DD27" s="190">
        <v>1</v>
      </c>
      <c r="DE27" s="190">
        <v>0</v>
      </c>
      <c r="DF27" s="190">
        <v>7</v>
      </c>
      <c r="DG27" s="190">
        <v>48</v>
      </c>
      <c r="DH27" s="190">
        <v>55</v>
      </c>
      <c r="DI27" s="190">
        <v>0</v>
      </c>
      <c r="DJ27" s="190">
        <v>0</v>
      </c>
      <c r="DK27" s="190">
        <v>0</v>
      </c>
      <c r="DL27" s="190">
        <v>0</v>
      </c>
      <c r="DM27" s="190">
        <v>0</v>
      </c>
      <c r="DN27" s="190">
        <v>0</v>
      </c>
      <c r="DO27" s="190">
        <v>0</v>
      </c>
      <c r="DP27" s="190">
        <v>0</v>
      </c>
      <c r="DQ27" s="190">
        <v>0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526</v>
      </c>
      <c r="C28" s="190">
        <v>68</v>
      </c>
      <c r="D28" s="190">
        <v>517</v>
      </c>
      <c r="E28" s="190">
        <v>408</v>
      </c>
      <c r="F28" s="190">
        <v>0</v>
      </c>
      <c r="G28" s="190">
        <v>25</v>
      </c>
      <c r="H28" s="190">
        <v>25</v>
      </c>
      <c r="I28" s="190">
        <v>0</v>
      </c>
      <c r="J28" s="190">
        <v>105</v>
      </c>
      <c r="K28" s="190">
        <v>105</v>
      </c>
      <c r="L28" s="190">
        <v>0</v>
      </c>
      <c r="M28" s="190">
        <v>49</v>
      </c>
      <c r="N28" s="190">
        <v>49</v>
      </c>
      <c r="O28" s="190">
        <v>0</v>
      </c>
      <c r="P28" s="190">
        <v>56</v>
      </c>
      <c r="Q28" s="190">
        <v>56</v>
      </c>
      <c r="R28" s="190">
        <v>0</v>
      </c>
      <c r="S28" s="190">
        <v>6</v>
      </c>
      <c r="T28" s="190">
        <v>6</v>
      </c>
      <c r="U28" s="190">
        <v>0</v>
      </c>
      <c r="V28" s="190">
        <v>4</v>
      </c>
      <c r="W28" s="190">
        <v>4</v>
      </c>
      <c r="X28" s="190">
        <v>18</v>
      </c>
      <c r="Y28" s="190">
        <v>499</v>
      </c>
      <c r="Z28" s="190">
        <v>517</v>
      </c>
      <c r="AA28" s="190">
        <v>11</v>
      </c>
      <c r="AB28" s="190">
        <v>261</v>
      </c>
      <c r="AC28" s="190">
        <v>272</v>
      </c>
      <c r="AD28" s="190">
        <v>11</v>
      </c>
      <c r="AE28" s="190">
        <v>242</v>
      </c>
      <c r="AF28" s="190">
        <v>253</v>
      </c>
      <c r="AG28" s="190">
        <v>0</v>
      </c>
      <c r="AH28" s="190">
        <v>7</v>
      </c>
      <c r="AI28" s="190">
        <v>7</v>
      </c>
      <c r="AJ28" s="190">
        <v>0</v>
      </c>
      <c r="AK28" s="190">
        <v>12</v>
      </c>
      <c r="AL28" s="190">
        <v>12</v>
      </c>
      <c r="AM28" s="190">
        <v>7</v>
      </c>
      <c r="AN28" s="190">
        <v>238</v>
      </c>
      <c r="AO28" s="190">
        <v>245</v>
      </c>
      <c r="AP28" s="190">
        <v>495</v>
      </c>
      <c r="AQ28" s="190">
        <v>5230</v>
      </c>
      <c r="AR28" s="190">
        <v>5725</v>
      </c>
      <c r="AS28" s="190">
        <v>495</v>
      </c>
      <c r="AT28" s="190">
        <v>5230</v>
      </c>
      <c r="AU28" s="190">
        <v>5725</v>
      </c>
      <c r="AV28" s="190">
        <v>0</v>
      </c>
      <c r="AW28" s="190">
        <v>0</v>
      </c>
      <c r="AX28" s="190">
        <v>0</v>
      </c>
      <c r="AY28" s="190">
        <v>29</v>
      </c>
      <c r="AZ28" s="190">
        <v>619</v>
      </c>
      <c r="BA28" s="190">
        <v>648</v>
      </c>
      <c r="BB28" s="190">
        <v>20</v>
      </c>
      <c r="BC28" s="190">
        <v>0</v>
      </c>
      <c r="BD28" s="190">
        <v>0</v>
      </c>
      <c r="BE28" s="190">
        <v>387</v>
      </c>
      <c r="BF28" s="190">
        <v>1</v>
      </c>
      <c r="BG28" s="190">
        <v>0</v>
      </c>
      <c r="BH28" s="190">
        <v>20</v>
      </c>
      <c r="BI28" s="190">
        <v>388</v>
      </c>
      <c r="BJ28" s="190">
        <v>408</v>
      </c>
      <c r="BK28" s="190">
        <v>-7</v>
      </c>
      <c r="BL28" s="190">
        <v>7</v>
      </c>
      <c r="BM28" s="190">
        <v>0</v>
      </c>
      <c r="BN28" s="190">
        <v>1</v>
      </c>
      <c r="BO28" s="190">
        <v>16</v>
      </c>
      <c r="BP28" s="190">
        <v>17</v>
      </c>
      <c r="BQ28" s="190">
        <v>6</v>
      </c>
      <c r="BR28" s="190">
        <v>80</v>
      </c>
      <c r="BS28" s="190">
        <v>86</v>
      </c>
      <c r="BT28" s="190">
        <v>9</v>
      </c>
      <c r="BU28" s="190">
        <v>128</v>
      </c>
      <c r="BV28" s="190">
        <v>137</v>
      </c>
      <c r="BW28" s="190">
        <v>524</v>
      </c>
      <c r="BX28" s="190">
        <v>5849</v>
      </c>
      <c r="BY28" s="190">
        <v>6373</v>
      </c>
      <c r="BZ28" s="190">
        <v>520</v>
      </c>
      <c r="CA28" s="190">
        <v>5797</v>
      </c>
      <c r="CB28" s="190">
        <v>6317</v>
      </c>
      <c r="CC28" s="190">
        <v>11883</v>
      </c>
      <c r="CD28" s="190">
        <v>2</v>
      </c>
      <c r="CE28" s="190">
        <v>47</v>
      </c>
      <c r="CF28" s="190">
        <v>4</v>
      </c>
      <c r="CG28" s="190">
        <v>40</v>
      </c>
      <c r="CH28" s="190">
        <v>44</v>
      </c>
      <c r="CI28" s="190">
        <v>13</v>
      </c>
      <c r="CJ28" s="190">
        <v>1</v>
      </c>
      <c r="CK28" s="190">
        <v>0</v>
      </c>
      <c r="CL28" s="190">
        <v>12</v>
      </c>
      <c r="CM28" s="190">
        <v>12</v>
      </c>
      <c r="CN28" s="190">
        <v>36</v>
      </c>
      <c r="CO28" s="190">
        <v>482</v>
      </c>
      <c r="CP28" s="190">
        <v>518</v>
      </c>
      <c r="CQ28" s="190">
        <v>0</v>
      </c>
      <c r="CR28" s="190">
        <v>1</v>
      </c>
      <c r="CS28" s="190">
        <v>1</v>
      </c>
      <c r="CT28" s="190">
        <v>488</v>
      </c>
      <c r="CU28" s="190">
        <v>5367</v>
      </c>
      <c r="CV28" s="190">
        <v>5855</v>
      </c>
      <c r="CW28" s="190">
        <v>28</v>
      </c>
      <c r="CX28" s="190">
        <v>197</v>
      </c>
      <c r="CY28" s="190">
        <v>225</v>
      </c>
      <c r="CZ28" s="190">
        <v>28</v>
      </c>
      <c r="DA28" s="190">
        <v>0</v>
      </c>
      <c r="DB28" s="190">
        <v>0</v>
      </c>
      <c r="DC28" s="190">
        <v>194</v>
      </c>
      <c r="DD28" s="190">
        <v>1</v>
      </c>
      <c r="DE28" s="190">
        <v>1</v>
      </c>
      <c r="DF28" s="190">
        <v>28</v>
      </c>
      <c r="DG28" s="190">
        <v>196</v>
      </c>
      <c r="DH28" s="190">
        <v>224</v>
      </c>
      <c r="DI28" s="190">
        <v>0</v>
      </c>
      <c r="DJ28" s="190">
        <v>0</v>
      </c>
      <c r="DK28" s="190">
        <v>0</v>
      </c>
      <c r="DL28" s="190">
        <v>1</v>
      </c>
      <c r="DM28" s="190">
        <v>0</v>
      </c>
      <c r="DN28" s="190">
        <v>0</v>
      </c>
      <c r="DO28" s="190">
        <v>0</v>
      </c>
      <c r="DP28" s="190">
        <v>1</v>
      </c>
      <c r="DQ28" s="190">
        <v>1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1491</v>
      </c>
      <c r="C29" s="190">
        <v>250</v>
      </c>
      <c r="D29" s="190">
        <v>1451</v>
      </c>
      <c r="E29" s="190">
        <v>885</v>
      </c>
      <c r="F29" s="190">
        <v>1</v>
      </c>
      <c r="G29" s="190">
        <v>5</v>
      </c>
      <c r="H29" s="190">
        <v>6</v>
      </c>
      <c r="I29" s="190">
        <v>0</v>
      </c>
      <c r="J29" s="190">
        <v>441</v>
      </c>
      <c r="K29" s="190">
        <v>441</v>
      </c>
      <c r="L29" s="190">
        <v>0</v>
      </c>
      <c r="M29" s="190">
        <v>188</v>
      </c>
      <c r="N29" s="190">
        <v>188</v>
      </c>
      <c r="O29" s="190">
        <v>0</v>
      </c>
      <c r="P29" s="190">
        <v>253</v>
      </c>
      <c r="Q29" s="190">
        <v>253</v>
      </c>
      <c r="R29" s="190">
        <v>0</v>
      </c>
      <c r="S29" s="190">
        <v>6</v>
      </c>
      <c r="T29" s="190">
        <v>6</v>
      </c>
      <c r="U29" s="190">
        <v>0</v>
      </c>
      <c r="V29" s="190">
        <v>125</v>
      </c>
      <c r="W29" s="190">
        <v>125</v>
      </c>
      <c r="X29" s="190">
        <v>53</v>
      </c>
      <c r="Y29" s="190">
        <v>1398</v>
      </c>
      <c r="Z29" s="190">
        <v>1451</v>
      </c>
      <c r="AA29" s="190">
        <v>34</v>
      </c>
      <c r="AB29" s="190">
        <v>571</v>
      </c>
      <c r="AC29" s="190">
        <v>605</v>
      </c>
      <c r="AD29" s="190">
        <v>33</v>
      </c>
      <c r="AE29" s="190">
        <v>551</v>
      </c>
      <c r="AF29" s="190">
        <v>584</v>
      </c>
      <c r="AG29" s="190">
        <v>1</v>
      </c>
      <c r="AH29" s="190">
        <v>11</v>
      </c>
      <c r="AI29" s="190">
        <v>12</v>
      </c>
      <c r="AJ29" s="190">
        <v>0</v>
      </c>
      <c r="AK29" s="190">
        <v>9</v>
      </c>
      <c r="AL29" s="190">
        <v>9</v>
      </c>
      <c r="AM29" s="190">
        <v>19</v>
      </c>
      <c r="AN29" s="190">
        <v>827</v>
      </c>
      <c r="AO29" s="190">
        <v>846</v>
      </c>
      <c r="AP29" s="190">
        <v>3473</v>
      </c>
      <c r="AQ29" s="190">
        <v>18925</v>
      </c>
      <c r="AR29" s="190">
        <v>22398</v>
      </c>
      <c r="AS29" s="190">
        <v>3473</v>
      </c>
      <c r="AT29" s="190">
        <v>18926</v>
      </c>
      <c r="AU29" s="190">
        <v>22399</v>
      </c>
      <c r="AV29" s="190">
        <v>0</v>
      </c>
      <c r="AW29" s="190">
        <v>-1</v>
      </c>
      <c r="AX29" s="190">
        <v>-1</v>
      </c>
      <c r="AY29" s="190">
        <v>88</v>
      </c>
      <c r="AZ29" s="190">
        <v>1566</v>
      </c>
      <c r="BA29" s="190">
        <v>1654</v>
      </c>
      <c r="BB29" s="190">
        <v>54</v>
      </c>
      <c r="BC29" s="190">
        <v>2</v>
      </c>
      <c r="BD29" s="190">
        <v>0</v>
      </c>
      <c r="BE29" s="190">
        <v>825</v>
      </c>
      <c r="BF29" s="190">
        <v>3</v>
      </c>
      <c r="BG29" s="190">
        <v>1</v>
      </c>
      <c r="BH29" s="190">
        <v>56</v>
      </c>
      <c r="BI29" s="190">
        <v>829</v>
      </c>
      <c r="BJ29" s="190">
        <v>885</v>
      </c>
      <c r="BK29" s="190">
        <v>-60</v>
      </c>
      <c r="BL29" s="190">
        <v>60</v>
      </c>
      <c r="BM29" s="190">
        <v>0</v>
      </c>
      <c r="BN29" s="190">
        <v>21</v>
      </c>
      <c r="BO29" s="190">
        <v>49</v>
      </c>
      <c r="BP29" s="190">
        <v>70</v>
      </c>
      <c r="BQ29" s="190">
        <v>17</v>
      </c>
      <c r="BR29" s="190">
        <v>193</v>
      </c>
      <c r="BS29" s="190">
        <v>210</v>
      </c>
      <c r="BT29" s="190">
        <v>54</v>
      </c>
      <c r="BU29" s="190">
        <v>435</v>
      </c>
      <c r="BV29" s="190">
        <v>489</v>
      </c>
      <c r="BW29" s="190">
        <v>3561</v>
      </c>
      <c r="BX29" s="190">
        <v>20491</v>
      </c>
      <c r="BY29" s="190">
        <v>24052</v>
      </c>
      <c r="BZ29" s="190">
        <v>3543</v>
      </c>
      <c r="CA29" s="190">
        <v>20388</v>
      </c>
      <c r="CB29" s="190">
        <v>23931</v>
      </c>
      <c r="CC29" s="190">
        <v>55398</v>
      </c>
      <c r="CD29" s="190">
        <v>4</v>
      </c>
      <c r="CE29" s="190">
        <v>108</v>
      </c>
      <c r="CF29" s="190">
        <v>17</v>
      </c>
      <c r="CG29" s="190">
        <v>86</v>
      </c>
      <c r="CH29" s="190">
        <v>103</v>
      </c>
      <c r="CI29" s="190">
        <v>14</v>
      </c>
      <c r="CJ29" s="190">
        <v>4</v>
      </c>
      <c r="CK29" s="190">
        <v>1</v>
      </c>
      <c r="CL29" s="190">
        <v>17</v>
      </c>
      <c r="CM29" s="190">
        <v>18</v>
      </c>
      <c r="CN29" s="190">
        <v>154</v>
      </c>
      <c r="CO29" s="190">
        <v>1589</v>
      </c>
      <c r="CP29" s="190">
        <v>1743</v>
      </c>
      <c r="CQ29" s="190">
        <v>1</v>
      </c>
      <c r="CR29" s="190">
        <v>20</v>
      </c>
      <c r="CS29" s="190">
        <v>21</v>
      </c>
      <c r="CT29" s="190">
        <v>3407</v>
      </c>
      <c r="CU29" s="190">
        <v>18902</v>
      </c>
      <c r="CV29" s="190">
        <v>22309</v>
      </c>
      <c r="CW29" s="190">
        <v>235</v>
      </c>
      <c r="CX29" s="190">
        <v>949</v>
      </c>
      <c r="CY29" s="190">
        <v>1184</v>
      </c>
      <c r="CZ29" s="190">
        <v>233</v>
      </c>
      <c r="DA29" s="190">
        <v>2</v>
      </c>
      <c r="DB29" s="190">
        <v>0</v>
      </c>
      <c r="DC29" s="190">
        <v>928</v>
      </c>
      <c r="DD29" s="190">
        <v>5</v>
      </c>
      <c r="DE29" s="190">
        <v>0</v>
      </c>
      <c r="DF29" s="190">
        <v>235</v>
      </c>
      <c r="DG29" s="190">
        <v>933</v>
      </c>
      <c r="DH29" s="190">
        <v>1168</v>
      </c>
      <c r="DI29" s="190">
        <v>0</v>
      </c>
      <c r="DJ29" s="190">
        <v>0</v>
      </c>
      <c r="DK29" s="190">
        <v>0</v>
      </c>
      <c r="DL29" s="190">
        <v>16</v>
      </c>
      <c r="DM29" s="190">
        <v>0</v>
      </c>
      <c r="DN29" s="190">
        <v>0</v>
      </c>
      <c r="DO29" s="190">
        <v>0</v>
      </c>
      <c r="DP29" s="190">
        <v>16</v>
      </c>
      <c r="DQ29" s="190">
        <v>16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35</v>
      </c>
      <c r="C30" s="190">
        <v>2</v>
      </c>
      <c r="D30" s="190">
        <v>36</v>
      </c>
      <c r="E30" s="190">
        <v>26</v>
      </c>
      <c r="F30" s="190">
        <v>0</v>
      </c>
      <c r="G30" s="190">
        <v>1</v>
      </c>
      <c r="H30" s="190">
        <v>1</v>
      </c>
      <c r="I30" s="190">
        <v>0</v>
      </c>
      <c r="J30" s="190">
        <v>7</v>
      </c>
      <c r="K30" s="190">
        <v>7</v>
      </c>
      <c r="L30" s="190">
        <v>0</v>
      </c>
      <c r="M30" s="190">
        <v>5</v>
      </c>
      <c r="N30" s="190">
        <v>5</v>
      </c>
      <c r="O30" s="190">
        <v>0</v>
      </c>
      <c r="P30" s="190">
        <v>2</v>
      </c>
      <c r="Q30" s="190">
        <v>2</v>
      </c>
      <c r="R30" s="190">
        <v>0</v>
      </c>
      <c r="S30" s="190">
        <v>1</v>
      </c>
      <c r="T30" s="190">
        <v>1</v>
      </c>
      <c r="U30" s="190">
        <v>0</v>
      </c>
      <c r="V30" s="190">
        <v>3</v>
      </c>
      <c r="W30" s="190">
        <v>3</v>
      </c>
      <c r="X30" s="190">
        <v>1</v>
      </c>
      <c r="Y30" s="190">
        <v>35</v>
      </c>
      <c r="Z30" s="190">
        <v>36</v>
      </c>
      <c r="AA30" s="190">
        <v>0</v>
      </c>
      <c r="AB30" s="190">
        <v>19</v>
      </c>
      <c r="AC30" s="190">
        <v>19</v>
      </c>
      <c r="AD30" s="190">
        <v>0</v>
      </c>
      <c r="AE30" s="190">
        <v>17</v>
      </c>
      <c r="AF30" s="190">
        <v>17</v>
      </c>
      <c r="AG30" s="190">
        <v>0</v>
      </c>
      <c r="AH30" s="190">
        <v>2</v>
      </c>
      <c r="AI30" s="190">
        <v>2</v>
      </c>
      <c r="AJ30" s="190">
        <v>0</v>
      </c>
      <c r="AK30" s="190">
        <v>0</v>
      </c>
      <c r="AL30" s="190">
        <v>0</v>
      </c>
      <c r="AM30" s="190">
        <v>1</v>
      </c>
      <c r="AN30" s="190">
        <v>16</v>
      </c>
      <c r="AO30" s="190">
        <v>17</v>
      </c>
      <c r="AP30" s="190">
        <v>72</v>
      </c>
      <c r="AQ30" s="190">
        <v>429</v>
      </c>
      <c r="AR30" s="190">
        <v>501</v>
      </c>
      <c r="AS30" s="190">
        <v>72</v>
      </c>
      <c r="AT30" s="190">
        <v>429</v>
      </c>
      <c r="AU30" s="190">
        <v>501</v>
      </c>
      <c r="AV30" s="190">
        <v>0</v>
      </c>
      <c r="AW30" s="190">
        <v>0</v>
      </c>
      <c r="AX30" s="190">
        <v>0</v>
      </c>
      <c r="AY30" s="190">
        <v>13</v>
      </c>
      <c r="AZ30" s="190">
        <v>42</v>
      </c>
      <c r="BA30" s="190">
        <v>55</v>
      </c>
      <c r="BB30" s="190">
        <v>1</v>
      </c>
      <c r="BC30" s="190">
        <v>0</v>
      </c>
      <c r="BD30" s="190">
        <v>0</v>
      </c>
      <c r="BE30" s="190">
        <v>25</v>
      </c>
      <c r="BF30" s="190">
        <v>0</v>
      </c>
      <c r="BG30" s="190">
        <v>0</v>
      </c>
      <c r="BH30" s="190">
        <v>1</v>
      </c>
      <c r="BI30" s="190">
        <v>25</v>
      </c>
      <c r="BJ30" s="190">
        <v>26</v>
      </c>
      <c r="BK30" s="190">
        <v>3</v>
      </c>
      <c r="BL30" s="190">
        <v>-3</v>
      </c>
      <c r="BM30" s="190">
        <v>0</v>
      </c>
      <c r="BN30" s="190">
        <v>0</v>
      </c>
      <c r="BO30" s="190">
        <v>1</v>
      </c>
      <c r="BP30" s="190">
        <v>1</v>
      </c>
      <c r="BQ30" s="190">
        <v>1</v>
      </c>
      <c r="BR30" s="190">
        <v>5</v>
      </c>
      <c r="BS30" s="190">
        <v>6</v>
      </c>
      <c r="BT30" s="190">
        <v>8</v>
      </c>
      <c r="BU30" s="190">
        <v>14</v>
      </c>
      <c r="BV30" s="190">
        <v>22</v>
      </c>
      <c r="BW30" s="190">
        <v>85</v>
      </c>
      <c r="BX30" s="190">
        <v>471</v>
      </c>
      <c r="BY30" s="190">
        <v>556</v>
      </c>
      <c r="BZ30" s="190">
        <v>84</v>
      </c>
      <c r="CA30" s="190">
        <v>470</v>
      </c>
      <c r="CB30" s="190">
        <v>554</v>
      </c>
      <c r="CC30" s="190">
        <v>1169</v>
      </c>
      <c r="CD30" s="190">
        <v>0</v>
      </c>
      <c r="CE30" s="190">
        <v>1</v>
      </c>
      <c r="CF30" s="190">
        <v>1</v>
      </c>
      <c r="CG30" s="190">
        <v>0</v>
      </c>
      <c r="CH30" s="190">
        <v>1</v>
      </c>
      <c r="CI30" s="190">
        <v>2</v>
      </c>
      <c r="CJ30" s="190">
        <v>0</v>
      </c>
      <c r="CK30" s="190">
        <v>0</v>
      </c>
      <c r="CL30" s="190">
        <v>1</v>
      </c>
      <c r="CM30" s="190">
        <v>1</v>
      </c>
      <c r="CN30" s="190">
        <v>7</v>
      </c>
      <c r="CO30" s="190">
        <v>47</v>
      </c>
      <c r="CP30" s="190">
        <v>54</v>
      </c>
      <c r="CQ30" s="190">
        <v>0</v>
      </c>
      <c r="CR30" s="190">
        <v>0</v>
      </c>
      <c r="CS30" s="190">
        <v>0</v>
      </c>
      <c r="CT30" s="190">
        <v>78</v>
      </c>
      <c r="CU30" s="190">
        <v>424</v>
      </c>
      <c r="CV30" s="190">
        <v>502</v>
      </c>
      <c r="CW30" s="190">
        <v>7</v>
      </c>
      <c r="CX30" s="190">
        <v>24</v>
      </c>
      <c r="CY30" s="190">
        <v>31</v>
      </c>
      <c r="CZ30" s="190">
        <v>7</v>
      </c>
      <c r="DA30" s="190">
        <v>0</v>
      </c>
      <c r="DB30" s="190">
        <v>0</v>
      </c>
      <c r="DC30" s="190">
        <v>24</v>
      </c>
      <c r="DD30" s="190">
        <v>0</v>
      </c>
      <c r="DE30" s="190">
        <v>0</v>
      </c>
      <c r="DF30" s="190">
        <v>7</v>
      </c>
      <c r="DG30" s="190">
        <v>24</v>
      </c>
      <c r="DH30" s="190">
        <v>31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54</v>
      </c>
      <c r="C31" s="190">
        <v>9</v>
      </c>
      <c r="D31" s="190">
        <v>54</v>
      </c>
      <c r="E31" s="190">
        <v>38</v>
      </c>
      <c r="F31" s="190">
        <v>0</v>
      </c>
      <c r="G31" s="190">
        <v>0</v>
      </c>
      <c r="H31" s="190">
        <v>0</v>
      </c>
      <c r="I31" s="190">
        <v>0</v>
      </c>
      <c r="J31" s="190">
        <v>10</v>
      </c>
      <c r="K31" s="190">
        <v>10</v>
      </c>
      <c r="L31" s="190">
        <v>0</v>
      </c>
      <c r="M31" s="190">
        <v>1</v>
      </c>
      <c r="N31" s="190">
        <v>1</v>
      </c>
      <c r="O31" s="190">
        <v>0</v>
      </c>
      <c r="P31" s="190">
        <v>9</v>
      </c>
      <c r="Q31" s="190">
        <v>9</v>
      </c>
      <c r="R31" s="190">
        <v>0</v>
      </c>
      <c r="S31" s="190">
        <v>0</v>
      </c>
      <c r="T31" s="190">
        <v>0</v>
      </c>
      <c r="U31" s="190">
        <v>0</v>
      </c>
      <c r="V31" s="190">
        <v>6</v>
      </c>
      <c r="W31" s="190">
        <v>6</v>
      </c>
      <c r="X31" s="190">
        <v>0</v>
      </c>
      <c r="Y31" s="190">
        <v>54</v>
      </c>
      <c r="Z31" s="190">
        <v>54</v>
      </c>
      <c r="AA31" s="190">
        <v>0</v>
      </c>
      <c r="AB31" s="190">
        <v>27</v>
      </c>
      <c r="AC31" s="190">
        <v>27</v>
      </c>
      <c r="AD31" s="190">
        <v>0</v>
      </c>
      <c r="AE31" s="190">
        <v>25</v>
      </c>
      <c r="AF31" s="190">
        <v>25</v>
      </c>
      <c r="AG31" s="190">
        <v>0</v>
      </c>
      <c r="AH31" s="190">
        <v>1</v>
      </c>
      <c r="AI31" s="190">
        <v>1</v>
      </c>
      <c r="AJ31" s="190">
        <v>0</v>
      </c>
      <c r="AK31" s="190">
        <v>1</v>
      </c>
      <c r="AL31" s="190">
        <v>1</v>
      </c>
      <c r="AM31" s="190">
        <v>0</v>
      </c>
      <c r="AN31" s="190">
        <v>27</v>
      </c>
      <c r="AO31" s="190">
        <v>27</v>
      </c>
      <c r="AP31" s="190">
        <v>8</v>
      </c>
      <c r="AQ31" s="190">
        <v>340</v>
      </c>
      <c r="AR31" s="190">
        <v>348</v>
      </c>
      <c r="AS31" s="190">
        <v>8</v>
      </c>
      <c r="AT31" s="190">
        <v>340</v>
      </c>
      <c r="AU31" s="190">
        <v>348</v>
      </c>
      <c r="AV31" s="190">
        <v>0</v>
      </c>
      <c r="AW31" s="190">
        <v>0</v>
      </c>
      <c r="AX31" s="190">
        <v>0</v>
      </c>
      <c r="AY31" s="190">
        <v>-1</v>
      </c>
      <c r="AZ31" s="190">
        <v>57</v>
      </c>
      <c r="BA31" s="190">
        <v>56</v>
      </c>
      <c r="BB31" s="190">
        <v>0</v>
      </c>
      <c r="BC31" s="190">
        <v>0</v>
      </c>
      <c r="BD31" s="190">
        <v>0</v>
      </c>
      <c r="BE31" s="190">
        <v>38</v>
      </c>
      <c r="BF31" s="190">
        <v>0</v>
      </c>
      <c r="BG31" s="190">
        <v>0</v>
      </c>
      <c r="BH31" s="190">
        <v>0</v>
      </c>
      <c r="BI31" s="190">
        <v>38</v>
      </c>
      <c r="BJ31" s="190">
        <v>38</v>
      </c>
      <c r="BK31" s="190">
        <v>-1</v>
      </c>
      <c r="BL31" s="190">
        <v>1</v>
      </c>
      <c r="BM31" s="190">
        <v>0</v>
      </c>
      <c r="BN31" s="190">
        <v>0</v>
      </c>
      <c r="BO31" s="190">
        <v>0</v>
      </c>
      <c r="BP31" s="190">
        <v>0</v>
      </c>
      <c r="BQ31" s="190">
        <v>0</v>
      </c>
      <c r="BR31" s="190">
        <v>6</v>
      </c>
      <c r="BS31" s="190">
        <v>6</v>
      </c>
      <c r="BT31" s="190">
        <v>0</v>
      </c>
      <c r="BU31" s="190">
        <v>12</v>
      </c>
      <c r="BV31" s="190">
        <v>12</v>
      </c>
      <c r="BW31" s="190">
        <v>7</v>
      </c>
      <c r="BX31" s="190">
        <v>397</v>
      </c>
      <c r="BY31" s="190">
        <v>404</v>
      </c>
      <c r="BZ31" s="190">
        <v>7</v>
      </c>
      <c r="CA31" s="190">
        <v>394</v>
      </c>
      <c r="CB31" s="190">
        <v>401</v>
      </c>
      <c r="CC31" s="190">
        <v>677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0</v>
      </c>
      <c r="CO31" s="190">
        <v>55</v>
      </c>
      <c r="CP31" s="190">
        <v>55</v>
      </c>
      <c r="CQ31" s="190">
        <v>0</v>
      </c>
      <c r="CR31" s="190">
        <v>0</v>
      </c>
      <c r="CS31" s="190">
        <v>0</v>
      </c>
      <c r="CT31" s="190">
        <v>7</v>
      </c>
      <c r="CU31" s="190">
        <v>342</v>
      </c>
      <c r="CV31" s="190">
        <v>349</v>
      </c>
      <c r="CW31" s="190">
        <v>0</v>
      </c>
      <c r="CX31" s="190">
        <v>14</v>
      </c>
      <c r="CY31" s="190">
        <v>14</v>
      </c>
      <c r="CZ31" s="190">
        <v>0</v>
      </c>
      <c r="DA31" s="190">
        <v>0</v>
      </c>
      <c r="DB31" s="190">
        <v>0</v>
      </c>
      <c r="DC31" s="190">
        <v>14</v>
      </c>
      <c r="DD31" s="190">
        <v>0</v>
      </c>
      <c r="DE31" s="190">
        <v>0</v>
      </c>
      <c r="DF31" s="190">
        <v>0</v>
      </c>
      <c r="DG31" s="190">
        <v>14</v>
      </c>
      <c r="DH31" s="190">
        <v>14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1381</v>
      </c>
      <c r="C32" s="190">
        <v>300</v>
      </c>
      <c r="D32" s="190">
        <v>1360</v>
      </c>
      <c r="E32" s="190">
        <v>867</v>
      </c>
      <c r="F32" s="190">
        <v>0</v>
      </c>
      <c r="G32" s="190">
        <v>3</v>
      </c>
      <c r="H32" s="190">
        <v>3</v>
      </c>
      <c r="I32" s="190">
        <v>0</v>
      </c>
      <c r="J32" s="190">
        <v>438</v>
      </c>
      <c r="K32" s="190">
        <v>438</v>
      </c>
      <c r="L32" s="190">
        <v>0</v>
      </c>
      <c r="M32" s="190">
        <v>277</v>
      </c>
      <c r="N32" s="190">
        <v>277</v>
      </c>
      <c r="O32" s="190">
        <v>0</v>
      </c>
      <c r="P32" s="190">
        <v>161</v>
      </c>
      <c r="Q32" s="190">
        <v>161</v>
      </c>
      <c r="R32" s="190">
        <v>0</v>
      </c>
      <c r="S32" s="190">
        <v>0</v>
      </c>
      <c r="T32" s="190">
        <v>0</v>
      </c>
      <c r="U32" s="190">
        <v>0</v>
      </c>
      <c r="V32" s="190">
        <v>55</v>
      </c>
      <c r="W32" s="190">
        <v>55</v>
      </c>
      <c r="X32" s="190">
        <v>26</v>
      </c>
      <c r="Y32" s="190">
        <v>1334</v>
      </c>
      <c r="Z32" s="190">
        <v>1360</v>
      </c>
      <c r="AA32" s="190">
        <v>12</v>
      </c>
      <c r="AB32" s="190">
        <v>492</v>
      </c>
      <c r="AC32" s="190">
        <v>504</v>
      </c>
      <c r="AD32" s="190">
        <v>12</v>
      </c>
      <c r="AE32" s="190">
        <v>478</v>
      </c>
      <c r="AF32" s="190">
        <v>490</v>
      </c>
      <c r="AG32" s="190">
        <v>0</v>
      </c>
      <c r="AH32" s="190">
        <v>9</v>
      </c>
      <c r="AI32" s="190">
        <v>9</v>
      </c>
      <c r="AJ32" s="190">
        <v>0</v>
      </c>
      <c r="AK32" s="190">
        <v>5</v>
      </c>
      <c r="AL32" s="190">
        <v>5</v>
      </c>
      <c r="AM32" s="190">
        <v>14</v>
      </c>
      <c r="AN32" s="190">
        <v>842</v>
      </c>
      <c r="AO32" s="190">
        <v>856</v>
      </c>
      <c r="AP32" s="190">
        <v>3080</v>
      </c>
      <c r="AQ32" s="190">
        <v>17794</v>
      </c>
      <c r="AR32" s="190">
        <v>20874</v>
      </c>
      <c r="AS32" s="190">
        <v>3080</v>
      </c>
      <c r="AT32" s="190">
        <v>17794</v>
      </c>
      <c r="AU32" s="190">
        <v>20874</v>
      </c>
      <c r="AV32" s="190">
        <v>0</v>
      </c>
      <c r="AW32" s="190">
        <v>0</v>
      </c>
      <c r="AX32" s="190">
        <v>0</v>
      </c>
      <c r="AY32" s="190">
        <v>-251</v>
      </c>
      <c r="AZ32" s="190">
        <v>1837</v>
      </c>
      <c r="BA32" s="190">
        <v>1586</v>
      </c>
      <c r="BB32" s="190">
        <v>26</v>
      </c>
      <c r="BC32" s="190">
        <v>1</v>
      </c>
      <c r="BD32" s="190">
        <v>0</v>
      </c>
      <c r="BE32" s="190">
        <v>828</v>
      </c>
      <c r="BF32" s="190">
        <v>8</v>
      </c>
      <c r="BG32" s="190">
        <v>4</v>
      </c>
      <c r="BH32" s="190">
        <v>27</v>
      </c>
      <c r="BI32" s="190">
        <v>840</v>
      </c>
      <c r="BJ32" s="190">
        <v>867</v>
      </c>
      <c r="BK32" s="190">
        <v>-380</v>
      </c>
      <c r="BL32" s="190">
        <v>380</v>
      </c>
      <c r="BM32" s="190">
        <v>0</v>
      </c>
      <c r="BN32" s="190">
        <v>2</v>
      </c>
      <c r="BO32" s="190">
        <v>31</v>
      </c>
      <c r="BP32" s="190">
        <v>33</v>
      </c>
      <c r="BQ32" s="190">
        <v>29</v>
      </c>
      <c r="BR32" s="190">
        <v>208</v>
      </c>
      <c r="BS32" s="190">
        <v>237</v>
      </c>
      <c r="BT32" s="190">
        <v>71</v>
      </c>
      <c r="BU32" s="190">
        <v>378</v>
      </c>
      <c r="BV32" s="190">
        <v>449</v>
      </c>
      <c r="BW32" s="190">
        <v>2829</v>
      </c>
      <c r="BX32" s="190">
        <v>19631</v>
      </c>
      <c r="BY32" s="190">
        <v>22460</v>
      </c>
      <c r="BZ32" s="190">
        <v>2803</v>
      </c>
      <c r="CA32" s="190">
        <v>19384</v>
      </c>
      <c r="CB32" s="190">
        <v>22187</v>
      </c>
      <c r="CC32" s="190">
        <v>49442</v>
      </c>
      <c r="CD32" s="190">
        <v>12</v>
      </c>
      <c r="CE32" s="190">
        <v>258</v>
      </c>
      <c r="CF32" s="190">
        <v>26</v>
      </c>
      <c r="CG32" s="190">
        <v>215</v>
      </c>
      <c r="CH32" s="190">
        <v>241</v>
      </c>
      <c r="CI32" s="190">
        <v>39</v>
      </c>
      <c r="CJ32" s="190">
        <v>8</v>
      </c>
      <c r="CK32" s="190">
        <v>0</v>
      </c>
      <c r="CL32" s="190">
        <v>32</v>
      </c>
      <c r="CM32" s="190">
        <v>32</v>
      </c>
      <c r="CN32" s="190">
        <v>219</v>
      </c>
      <c r="CO32" s="190">
        <v>2553</v>
      </c>
      <c r="CP32" s="190">
        <v>2772</v>
      </c>
      <c r="CQ32" s="190">
        <v>0</v>
      </c>
      <c r="CR32" s="190">
        <v>4</v>
      </c>
      <c r="CS32" s="190">
        <v>4</v>
      </c>
      <c r="CT32" s="190">
        <v>2610</v>
      </c>
      <c r="CU32" s="190">
        <v>17078</v>
      </c>
      <c r="CV32" s="190">
        <v>19688</v>
      </c>
      <c r="CW32" s="190">
        <v>193</v>
      </c>
      <c r="CX32" s="190">
        <v>469</v>
      </c>
      <c r="CY32" s="190">
        <v>662</v>
      </c>
      <c r="CZ32" s="190">
        <v>190</v>
      </c>
      <c r="DA32" s="190">
        <v>2</v>
      </c>
      <c r="DB32" s="190">
        <v>0</v>
      </c>
      <c r="DC32" s="190">
        <v>455</v>
      </c>
      <c r="DD32" s="190">
        <v>6</v>
      </c>
      <c r="DE32" s="190">
        <v>2</v>
      </c>
      <c r="DF32" s="190">
        <v>192</v>
      </c>
      <c r="DG32" s="190">
        <v>463</v>
      </c>
      <c r="DH32" s="190">
        <v>655</v>
      </c>
      <c r="DI32" s="190">
        <v>1</v>
      </c>
      <c r="DJ32" s="190">
        <v>0</v>
      </c>
      <c r="DK32" s="190">
        <v>0</v>
      </c>
      <c r="DL32" s="190">
        <v>5</v>
      </c>
      <c r="DM32" s="190">
        <v>1</v>
      </c>
      <c r="DN32" s="190">
        <v>0</v>
      </c>
      <c r="DO32" s="190">
        <v>1</v>
      </c>
      <c r="DP32" s="190">
        <v>6</v>
      </c>
      <c r="DQ32" s="190">
        <v>7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227</v>
      </c>
      <c r="C33" s="190">
        <v>71</v>
      </c>
      <c r="D33" s="190">
        <v>229</v>
      </c>
      <c r="E33" s="190">
        <v>103</v>
      </c>
      <c r="F33" s="190">
        <v>0</v>
      </c>
      <c r="G33" s="190">
        <v>6</v>
      </c>
      <c r="H33" s="190">
        <v>6</v>
      </c>
      <c r="I33" s="190">
        <v>0</v>
      </c>
      <c r="J33" s="190">
        <v>101</v>
      </c>
      <c r="K33" s="190">
        <v>101</v>
      </c>
      <c r="L33" s="190">
        <v>0</v>
      </c>
      <c r="M33" s="190">
        <v>40</v>
      </c>
      <c r="N33" s="190">
        <v>40</v>
      </c>
      <c r="O33" s="190">
        <v>0</v>
      </c>
      <c r="P33" s="190">
        <v>61</v>
      </c>
      <c r="Q33" s="190">
        <v>61</v>
      </c>
      <c r="R33" s="190">
        <v>0</v>
      </c>
      <c r="S33" s="190">
        <v>2</v>
      </c>
      <c r="T33" s="190">
        <v>2</v>
      </c>
      <c r="U33" s="190">
        <v>0</v>
      </c>
      <c r="V33" s="190">
        <v>25</v>
      </c>
      <c r="W33" s="190">
        <v>25</v>
      </c>
      <c r="X33" s="190">
        <v>1</v>
      </c>
      <c r="Y33" s="190">
        <v>228</v>
      </c>
      <c r="Z33" s="190">
        <v>229</v>
      </c>
      <c r="AA33" s="190">
        <v>0</v>
      </c>
      <c r="AB33" s="190">
        <v>66</v>
      </c>
      <c r="AC33" s="190">
        <v>66</v>
      </c>
      <c r="AD33" s="190">
        <v>0</v>
      </c>
      <c r="AE33" s="190">
        <v>62</v>
      </c>
      <c r="AF33" s="190">
        <v>62</v>
      </c>
      <c r="AG33" s="190">
        <v>0</v>
      </c>
      <c r="AH33" s="190">
        <v>1</v>
      </c>
      <c r="AI33" s="190">
        <v>1</v>
      </c>
      <c r="AJ33" s="190">
        <v>0</v>
      </c>
      <c r="AK33" s="190">
        <v>3</v>
      </c>
      <c r="AL33" s="190">
        <v>3</v>
      </c>
      <c r="AM33" s="190">
        <v>1</v>
      </c>
      <c r="AN33" s="190">
        <v>162</v>
      </c>
      <c r="AO33" s="190">
        <v>163</v>
      </c>
      <c r="AP33" s="190">
        <v>279</v>
      </c>
      <c r="AQ33" s="190">
        <v>2795</v>
      </c>
      <c r="AR33" s="190">
        <v>3074</v>
      </c>
      <c r="AS33" s="190">
        <v>279</v>
      </c>
      <c r="AT33" s="190">
        <v>2795</v>
      </c>
      <c r="AU33" s="190">
        <v>3074</v>
      </c>
      <c r="AV33" s="190">
        <v>0</v>
      </c>
      <c r="AW33" s="190">
        <v>0</v>
      </c>
      <c r="AX33" s="190">
        <v>0</v>
      </c>
      <c r="AY33" s="190">
        <v>18</v>
      </c>
      <c r="AZ33" s="190">
        <v>219</v>
      </c>
      <c r="BA33" s="190">
        <v>237</v>
      </c>
      <c r="BB33" s="190">
        <v>2</v>
      </c>
      <c r="BC33" s="190">
        <v>0</v>
      </c>
      <c r="BD33" s="190">
        <v>0</v>
      </c>
      <c r="BE33" s="190">
        <v>98</v>
      </c>
      <c r="BF33" s="190">
        <v>2</v>
      </c>
      <c r="BG33" s="190">
        <v>1</v>
      </c>
      <c r="BH33" s="190">
        <v>2</v>
      </c>
      <c r="BI33" s="190">
        <v>101</v>
      </c>
      <c r="BJ33" s="190">
        <v>103</v>
      </c>
      <c r="BK33" s="190">
        <v>5</v>
      </c>
      <c r="BL33" s="190">
        <v>-5</v>
      </c>
      <c r="BM33" s="190">
        <v>0</v>
      </c>
      <c r="BN33" s="190">
        <v>3</v>
      </c>
      <c r="BO33" s="190">
        <v>7</v>
      </c>
      <c r="BP33" s="190">
        <v>10</v>
      </c>
      <c r="BQ33" s="190">
        <v>3</v>
      </c>
      <c r="BR33" s="190">
        <v>14</v>
      </c>
      <c r="BS33" s="190">
        <v>17</v>
      </c>
      <c r="BT33" s="190">
        <v>5</v>
      </c>
      <c r="BU33" s="190">
        <v>102</v>
      </c>
      <c r="BV33" s="190">
        <v>107</v>
      </c>
      <c r="BW33" s="190">
        <v>297</v>
      </c>
      <c r="BX33" s="190">
        <v>3014</v>
      </c>
      <c r="BY33" s="190">
        <v>3311</v>
      </c>
      <c r="BZ33" s="190">
        <v>293</v>
      </c>
      <c r="CA33" s="190">
        <v>2955</v>
      </c>
      <c r="CB33" s="190">
        <v>3248</v>
      </c>
      <c r="CC33" s="190">
        <v>6520</v>
      </c>
      <c r="CD33" s="190">
        <v>3</v>
      </c>
      <c r="CE33" s="190">
        <v>61</v>
      </c>
      <c r="CF33" s="190">
        <v>4</v>
      </c>
      <c r="CG33" s="190">
        <v>52</v>
      </c>
      <c r="CH33" s="190">
        <v>56</v>
      </c>
      <c r="CI33" s="190">
        <v>8</v>
      </c>
      <c r="CJ33" s="190">
        <v>0</v>
      </c>
      <c r="CK33" s="190">
        <v>0</v>
      </c>
      <c r="CL33" s="190">
        <v>7</v>
      </c>
      <c r="CM33" s="190">
        <v>7</v>
      </c>
      <c r="CN33" s="190">
        <v>16</v>
      </c>
      <c r="CO33" s="190">
        <v>287</v>
      </c>
      <c r="CP33" s="190">
        <v>303</v>
      </c>
      <c r="CQ33" s="190">
        <v>0</v>
      </c>
      <c r="CR33" s="190">
        <v>0</v>
      </c>
      <c r="CS33" s="190">
        <v>0</v>
      </c>
      <c r="CT33" s="190">
        <v>281</v>
      </c>
      <c r="CU33" s="190">
        <v>2727</v>
      </c>
      <c r="CV33" s="190">
        <v>3008</v>
      </c>
      <c r="CW33" s="190">
        <v>17</v>
      </c>
      <c r="CX33" s="190">
        <v>104</v>
      </c>
      <c r="CY33" s="190">
        <v>121</v>
      </c>
      <c r="CZ33" s="190">
        <v>17</v>
      </c>
      <c r="DA33" s="190">
        <v>0</v>
      </c>
      <c r="DB33" s="190">
        <v>0</v>
      </c>
      <c r="DC33" s="190">
        <v>103</v>
      </c>
      <c r="DD33" s="190">
        <v>1</v>
      </c>
      <c r="DE33" s="190">
        <v>0</v>
      </c>
      <c r="DF33" s="190">
        <v>17</v>
      </c>
      <c r="DG33" s="190">
        <v>104</v>
      </c>
      <c r="DH33" s="190">
        <v>121</v>
      </c>
      <c r="DI33" s="190">
        <v>0</v>
      </c>
      <c r="DJ33" s="190">
        <v>0</v>
      </c>
      <c r="DK33" s="190">
        <v>0</v>
      </c>
      <c r="DL33" s="190">
        <v>0</v>
      </c>
      <c r="DM33" s="190">
        <v>0</v>
      </c>
      <c r="DN33" s="190">
        <v>0</v>
      </c>
      <c r="DO33" s="190">
        <v>0</v>
      </c>
      <c r="DP33" s="190">
        <v>0</v>
      </c>
      <c r="DQ33" s="190">
        <v>0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320</v>
      </c>
      <c r="C34" s="190">
        <v>92</v>
      </c>
      <c r="D34" s="190">
        <v>338</v>
      </c>
      <c r="E34" s="190">
        <v>213</v>
      </c>
      <c r="F34" s="190">
        <v>1</v>
      </c>
      <c r="G34" s="190">
        <v>22</v>
      </c>
      <c r="H34" s="190">
        <v>23</v>
      </c>
      <c r="I34" s="190">
        <v>0</v>
      </c>
      <c r="J34" s="190">
        <v>111</v>
      </c>
      <c r="K34" s="190">
        <v>111</v>
      </c>
      <c r="L34" s="190">
        <v>0</v>
      </c>
      <c r="M34" s="190">
        <v>42</v>
      </c>
      <c r="N34" s="190">
        <v>42</v>
      </c>
      <c r="O34" s="190">
        <v>0</v>
      </c>
      <c r="P34" s="190">
        <v>69</v>
      </c>
      <c r="Q34" s="190">
        <v>69</v>
      </c>
      <c r="R34" s="190">
        <v>0</v>
      </c>
      <c r="S34" s="190">
        <v>1</v>
      </c>
      <c r="T34" s="190">
        <v>1</v>
      </c>
      <c r="U34" s="190">
        <v>0</v>
      </c>
      <c r="V34" s="190">
        <v>14</v>
      </c>
      <c r="W34" s="190">
        <v>14</v>
      </c>
      <c r="X34" s="190">
        <v>7</v>
      </c>
      <c r="Y34" s="190">
        <v>331</v>
      </c>
      <c r="Z34" s="190">
        <v>338</v>
      </c>
      <c r="AA34" s="190">
        <v>4</v>
      </c>
      <c r="AB34" s="190">
        <v>152</v>
      </c>
      <c r="AC34" s="190">
        <v>156</v>
      </c>
      <c r="AD34" s="190">
        <v>3</v>
      </c>
      <c r="AE34" s="190">
        <v>126</v>
      </c>
      <c r="AF34" s="190">
        <v>129</v>
      </c>
      <c r="AG34" s="190">
        <v>0</v>
      </c>
      <c r="AH34" s="190">
        <v>9</v>
      </c>
      <c r="AI34" s="190">
        <v>9</v>
      </c>
      <c r="AJ34" s="190">
        <v>1</v>
      </c>
      <c r="AK34" s="190">
        <v>17</v>
      </c>
      <c r="AL34" s="190">
        <v>18</v>
      </c>
      <c r="AM34" s="190">
        <v>3</v>
      </c>
      <c r="AN34" s="190">
        <v>179</v>
      </c>
      <c r="AO34" s="190">
        <v>182</v>
      </c>
      <c r="AP34" s="190">
        <v>242</v>
      </c>
      <c r="AQ34" s="190">
        <v>3597</v>
      </c>
      <c r="AR34" s="190">
        <v>3839</v>
      </c>
      <c r="AS34" s="190">
        <v>242</v>
      </c>
      <c r="AT34" s="190">
        <v>3597</v>
      </c>
      <c r="AU34" s="190">
        <v>3839</v>
      </c>
      <c r="AV34" s="190">
        <v>0</v>
      </c>
      <c r="AW34" s="190">
        <v>0</v>
      </c>
      <c r="AX34" s="190">
        <v>0</v>
      </c>
      <c r="AY34" s="190">
        <v>21</v>
      </c>
      <c r="AZ34" s="190">
        <v>378</v>
      </c>
      <c r="BA34" s="190">
        <v>399</v>
      </c>
      <c r="BB34" s="190">
        <v>9</v>
      </c>
      <c r="BC34" s="190">
        <v>0</v>
      </c>
      <c r="BD34" s="190">
        <v>0</v>
      </c>
      <c r="BE34" s="190">
        <v>203</v>
      </c>
      <c r="BF34" s="190">
        <v>1</v>
      </c>
      <c r="BG34" s="190">
        <v>0</v>
      </c>
      <c r="BH34" s="190">
        <v>9</v>
      </c>
      <c r="BI34" s="190">
        <v>204</v>
      </c>
      <c r="BJ34" s="190">
        <v>213</v>
      </c>
      <c r="BK34" s="190">
        <v>-4</v>
      </c>
      <c r="BL34" s="190">
        <v>4</v>
      </c>
      <c r="BM34" s="190">
        <v>0</v>
      </c>
      <c r="BN34" s="190">
        <v>0</v>
      </c>
      <c r="BO34" s="190">
        <v>7</v>
      </c>
      <c r="BP34" s="190">
        <v>7</v>
      </c>
      <c r="BQ34" s="190">
        <v>3</v>
      </c>
      <c r="BR34" s="190">
        <v>60</v>
      </c>
      <c r="BS34" s="190">
        <v>63</v>
      </c>
      <c r="BT34" s="190">
        <v>13</v>
      </c>
      <c r="BU34" s="190">
        <v>103</v>
      </c>
      <c r="BV34" s="190">
        <v>116</v>
      </c>
      <c r="BW34" s="190">
        <v>263</v>
      </c>
      <c r="BX34" s="190">
        <v>3975</v>
      </c>
      <c r="BY34" s="190">
        <v>4238</v>
      </c>
      <c r="BZ34" s="190">
        <v>262</v>
      </c>
      <c r="CA34" s="190">
        <v>3962</v>
      </c>
      <c r="CB34" s="190">
        <v>4224</v>
      </c>
      <c r="CC34" s="190">
        <v>7313</v>
      </c>
      <c r="CD34" s="190">
        <v>3</v>
      </c>
      <c r="CE34" s="190">
        <v>11</v>
      </c>
      <c r="CF34" s="190">
        <v>1</v>
      </c>
      <c r="CG34" s="190">
        <v>12</v>
      </c>
      <c r="CH34" s="190">
        <v>13</v>
      </c>
      <c r="CI34" s="190">
        <v>1</v>
      </c>
      <c r="CJ34" s="190">
        <v>0</v>
      </c>
      <c r="CK34" s="190">
        <v>0</v>
      </c>
      <c r="CL34" s="190">
        <v>1</v>
      </c>
      <c r="CM34" s="190">
        <v>1</v>
      </c>
      <c r="CN34" s="190">
        <v>21</v>
      </c>
      <c r="CO34" s="190">
        <v>346</v>
      </c>
      <c r="CP34" s="190">
        <v>367</v>
      </c>
      <c r="CQ34" s="190">
        <v>0</v>
      </c>
      <c r="CR34" s="190">
        <v>1</v>
      </c>
      <c r="CS34" s="190">
        <v>1</v>
      </c>
      <c r="CT34" s="190">
        <v>242</v>
      </c>
      <c r="CU34" s="190">
        <v>3629</v>
      </c>
      <c r="CV34" s="190">
        <v>3871</v>
      </c>
      <c r="CW34" s="190">
        <v>19</v>
      </c>
      <c r="CX34" s="190">
        <v>156</v>
      </c>
      <c r="CY34" s="190">
        <v>175</v>
      </c>
      <c r="CZ34" s="190">
        <v>18</v>
      </c>
      <c r="DA34" s="190">
        <v>0</v>
      </c>
      <c r="DB34" s="190">
        <v>0</v>
      </c>
      <c r="DC34" s="190">
        <v>154</v>
      </c>
      <c r="DD34" s="190">
        <v>1</v>
      </c>
      <c r="DE34" s="190">
        <v>0</v>
      </c>
      <c r="DF34" s="190">
        <v>18</v>
      </c>
      <c r="DG34" s="190">
        <v>155</v>
      </c>
      <c r="DH34" s="190">
        <v>173</v>
      </c>
      <c r="DI34" s="190">
        <v>1</v>
      </c>
      <c r="DJ34" s="190">
        <v>0</v>
      </c>
      <c r="DK34" s="190">
        <v>0</v>
      </c>
      <c r="DL34" s="190">
        <v>1</v>
      </c>
      <c r="DM34" s="190">
        <v>0</v>
      </c>
      <c r="DN34" s="190">
        <v>0</v>
      </c>
      <c r="DO34" s="190">
        <v>1</v>
      </c>
      <c r="DP34" s="190">
        <v>1</v>
      </c>
      <c r="DQ34" s="190">
        <v>2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7085</v>
      </c>
      <c r="C35" s="190">
        <v>1669</v>
      </c>
      <c r="D35" s="190">
        <v>6771</v>
      </c>
      <c r="E35" s="190">
        <v>4723</v>
      </c>
      <c r="F35" s="190">
        <v>1</v>
      </c>
      <c r="G35" s="190">
        <v>20</v>
      </c>
      <c r="H35" s="190">
        <v>21</v>
      </c>
      <c r="I35" s="190">
        <v>106</v>
      </c>
      <c r="J35" s="190">
        <v>1669</v>
      </c>
      <c r="K35" s="190">
        <v>1775</v>
      </c>
      <c r="L35" s="190">
        <v>50</v>
      </c>
      <c r="M35" s="190">
        <v>852</v>
      </c>
      <c r="N35" s="190">
        <v>902</v>
      </c>
      <c r="O35" s="190">
        <v>56</v>
      </c>
      <c r="P35" s="190">
        <v>817</v>
      </c>
      <c r="Q35" s="190">
        <v>873</v>
      </c>
      <c r="R35" s="190">
        <v>20</v>
      </c>
      <c r="S35" s="190">
        <v>93</v>
      </c>
      <c r="T35" s="190">
        <v>113</v>
      </c>
      <c r="U35" s="190">
        <v>46</v>
      </c>
      <c r="V35" s="190">
        <v>227</v>
      </c>
      <c r="W35" s="190">
        <v>273</v>
      </c>
      <c r="X35" s="190">
        <v>114</v>
      </c>
      <c r="Y35" s="190">
        <v>5352</v>
      </c>
      <c r="Z35" s="190">
        <v>5466</v>
      </c>
      <c r="AA35" s="190">
        <v>53</v>
      </c>
      <c r="AB35" s="190">
        <v>2137</v>
      </c>
      <c r="AC35" s="190">
        <v>2190</v>
      </c>
      <c r="AD35" s="190">
        <v>51</v>
      </c>
      <c r="AE35" s="190">
        <v>2118</v>
      </c>
      <c r="AF35" s="190">
        <v>2169</v>
      </c>
      <c r="AG35" s="190">
        <v>1</v>
      </c>
      <c r="AH35" s="190">
        <v>10</v>
      </c>
      <c r="AI35" s="190">
        <v>11</v>
      </c>
      <c r="AJ35" s="190">
        <v>1</v>
      </c>
      <c r="AK35" s="190">
        <v>9</v>
      </c>
      <c r="AL35" s="190">
        <v>10</v>
      </c>
      <c r="AM35" s="190">
        <v>61</v>
      </c>
      <c r="AN35" s="190">
        <v>3215</v>
      </c>
      <c r="AO35" s="190">
        <v>3276</v>
      </c>
      <c r="AP35" s="190">
        <v>9417</v>
      </c>
      <c r="AQ35" s="190">
        <v>98374</v>
      </c>
      <c r="AR35" s="190">
        <v>107791</v>
      </c>
      <c r="AS35" s="190">
        <v>9381</v>
      </c>
      <c r="AT35" s="190">
        <v>98547</v>
      </c>
      <c r="AU35" s="190">
        <v>107928</v>
      </c>
      <c r="AV35" s="190">
        <v>36</v>
      </c>
      <c r="AW35" s="190">
        <v>-173</v>
      </c>
      <c r="AX35" s="190">
        <v>-137</v>
      </c>
      <c r="AY35" s="190">
        <v>382</v>
      </c>
      <c r="AZ35" s="190">
        <v>8390</v>
      </c>
      <c r="BA35" s="190">
        <v>8772</v>
      </c>
      <c r="BB35" s="190">
        <v>252</v>
      </c>
      <c r="BC35" s="190">
        <v>2</v>
      </c>
      <c r="BD35" s="190">
        <v>0</v>
      </c>
      <c r="BE35" s="190">
        <v>4311</v>
      </c>
      <c r="BF35" s="190">
        <v>91</v>
      </c>
      <c r="BG35" s="190">
        <v>67</v>
      </c>
      <c r="BH35" s="190">
        <v>254</v>
      </c>
      <c r="BI35" s="190">
        <v>4469</v>
      </c>
      <c r="BJ35" s="190">
        <v>4723</v>
      </c>
      <c r="BK35" s="190">
        <v>-188</v>
      </c>
      <c r="BL35" s="190">
        <v>188</v>
      </c>
      <c r="BM35" s="190">
        <v>0</v>
      </c>
      <c r="BN35" s="190">
        <v>12</v>
      </c>
      <c r="BO35" s="190">
        <v>90</v>
      </c>
      <c r="BP35" s="190">
        <v>102</v>
      </c>
      <c r="BQ35" s="190">
        <v>48</v>
      </c>
      <c r="BR35" s="190">
        <v>901</v>
      </c>
      <c r="BS35" s="190">
        <v>949</v>
      </c>
      <c r="BT35" s="190">
        <v>256</v>
      </c>
      <c r="BU35" s="190">
        <v>2742</v>
      </c>
      <c r="BV35" s="190">
        <v>2998</v>
      </c>
      <c r="BW35" s="190">
        <v>9799</v>
      </c>
      <c r="BX35" s="190">
        <v>106764</v>
      </c>
      <c r="BY35" s="190">
        <v>116563</v>
      </c>
      <c r="BZ35" s="190">
        <v>9605</v>
      </c>
      <c r="CA35" s="190">
        <v>103618</v>
      </c>
      <c r="CB35" s="190">
        <v>113223</v>
      </c>
      <c r="CC35" s="190">
        <v>236842</v>
      </c>
      <c r="CD35" s="190">
        <v>268</v>
      </c>
      <c r="CE35" s="190">
        <v>2943</v>
      </c>
      <c r="CF35" s="190">
        <v>191</v>
      </c>
      <c r="CG35" s="190">
        <v>2039</v>
      </c>
      <c r="CH35" s="190">
        <v>2230</v>
      </c>
      <c r="CI35" s="190">
        <v>1517</v>
      </c>
      <c r="CJ35" s="190">
        <v>13</v>
      </c>
      <c r="CK35" s="190">
        <v>3</v>
      </c>
      <c r="CL35" s="190">
        <v>1107</v>
      </c>
      <c r="CM35" s="190">
        <v>1110</v>
      </c>
      <c r="CN35" s="190">
        <v>515</v>
      </c>
      <c r="CO35" s="190">
        <v>8609</v>
      </c>
      <c r="CP35" s="190">
        <v>9124</v>
      </c>
      <c r="CQ35" s="190">
        <v>0</v>
      </c>
      <c r="CR35" s="190">
        <v>0</v>
      </c>
      <c r="CS35" s="190">
        <v>0</v>
      </c>
      <c r="CT35" s="190">
        <v>9284</v>
      </c>
      <c r="CU35" s="190">
        <v>98155</v>
      </c>
      <c r="CV35" s="190">
        <v>107439</v>
      </c>
      <c r="CW35" s="190">
        <v>729</v>
      </c>
      <c r="CX35" s="190">
        <v>6101</v>
      </c>
      <c r="CY35" s="190">
        <v>6830</v>
      </c>
      <c r="CZ35" s="190">
        <v>703</v>
      </c>
      <c r="DA35" s="190">
        <v>19</v>
      </c>
      <c r="DB35" s="190">
        <v>0</v>
      </c>
      <c r="DC35" s="190">
        <v>4741</v>
      </c>
      <c r="DD35" s="190">
        <v>125</v>
      </c>
      <c r="DE35" s="190">
        <v>36</v>
      </c>
      <c r="DF35" s="190">
        <v>722</v>
      </c>
      <c r="DG35" s="190">
        <v>4902</v>
      </c>
      <c r="DH35" s="190">
        <v>5624</v>
      </c>
      <c r="DI35" s="190">
        <v>7</v>
      </c>
      <c r="DJ35" s="190">
        <v>0</v>
      </c>
      <c r="DK35" s="190">
        <v>0</v>
      </c>
      <c r="DL35" s="190">
        <v>1166</v>
      </c>
      <c r="DM35" s="190">
        <v>20</v>
      </c>
      <c r="DN35" s="190">
        <v>13</v>
      </c>
      <c r="DO35" s="190">
        <v>7</v>
      </c>
      <c r="DP35" s="190">
        <v>1199</v>
      </c>
      <c r="DQ35" s="190">
        <v>1206</v>
      </c>
      <c r="DR35" s="190">
        <v>1</v>
      </c>
      <c r="DS35" s="190">
        <v>0</v>
      </c>
      <c r="DT35" s="191">
        <v>1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610</v>
      </c>
      <c r="C36" s="190">
        <v>254</v>
      </c>
      <c r="D36" s="190">
        <v>584</v>
      </c>
      <c r="E36" s="190">
        <v>280</v>
      </c>
      <c r="F36" s="190">
        <v>0</v>
      </c>
      <c r="G36" s="190">
        <v>0</v>
      </c>
      <c r="H36" s="190">
        <v>0</v>
      </c>
      <c r="I36" s="190">
        <v>0</v>
      </c>
      <c r="J36" s="190">
        <v>273</v>
      </c>
      <c r="K36" s="190">
        <v>273</v>
      </c>
      <c r="L36" s="190">
        <v>0</v>
      </c>
      <c r="M36" s="190">
        <v>67</v>
      </c>
      <c r="N36" s="190">
        <v>67</v>
      </c>
      <c r="O36" s="190">
        <v>0</v>
      </c>
      <c r="P36" s="190">
        <v>206</v>
      </c>
      <c r="Q36" s="190">
        <v>206</v>
      </c>
      <c r="R36" s="190">
        <v>0</v>
      </c>
      <c r="S36" s="190">
        <v>5</v>
      </c>
      <c r="T36" s="190">
        <v>5</v>
      </c>
      <c r="U36" s="190">
        <v>0</v>
      </c>
      <c r="V36" s="190">
        <v>31</v>
      </c>
      <c r="W36" s="190">
        <v>31</v>
      </c>
      <c r="X36" s="190">
        <v>0</v>
      </c>
      <c r="Y36" s="190">
        <v>382</v>
      </c>
      <c r="Z36" s="190">
        <v>382</v>
      </c>
      <c r="AA36" s="190">
        <v>0</v>
      </c>
      <c r="AB36" s="190">
        <v>195</v>
      </c>
      <c r="AC36" s="190">
        <v>195</v>
      </c>
      <c r="AD36" s="190">
        <v>0</v>
      </c>
      <c r="AE36" s="190">
        <v>178</v>
      </c>
      <c r="AF36" s="190">
        <v>178</v>
      </c>
      <c r="AG36" s="190">
        <v>0</v>
      </c>
      <c r="AH36" s="190">
        <v>8</v>
      </c>
      <c r="AI36" s="190">
        <v>8</v>
      </c>
      <c r="AJ36" s="190">
        <v>0</v>
      </c>
      <c r="AK36" s="190">
        <v>9</v>
      </c>
      <c r="AL36" s="190">
        <v>9</v>
      </c>
      <c r="AM36" s="190">
        <v>0</v>
      </c>
      <c r="AN36" s="190">
        <v>187</v>
      </c>
      <c r="AO36" s="190">
        <v>187</v>
      </c>
      <c r="AP36" s="190">
        <v>631</v>
      </c>
      <c r="AQ36" s="190">
        <v>7554</v>
      </c>
      <c r="AR36" s="190">
        <v>8185</v>
      </c>
      <c r="AS36" s="190">
        <v>622</v>
      </c>
      <c r="AT36" s="190">
        <v>7327</v>
      </c>
      <c r="AU36" s="190">
        <v>7949</v>
      </c>
      <c r="AV36" s="190">
        <v>9</v>
      </c>
      <c r="AW36" s="190">
        <v>227</v>
      </c>
      <c r="AX36" s="190">
        <v>236</v>
      </c>
      <c r="AY36" s="190">
        <v>19</v>
      </c>
      <c r="AZ36" s="190">
        <v>570</v>
      </c>
      <c r="BA36" s="190">
        <v>589</v>
      </c>
      <c r="BB36" s="190">
        <v>13</v>
      </c>
      <c r="BC36" s="190">
        <v>1</v>
      </c>
      <c r="BD36" s="190">
        <v>0</v>
      </c>
      <c r="BE36" s="190">
        <v>261</v>
      </c>
      <c r="BF36" s="190">
        <v>2</v>
      </c>
      <c r="BG36" s="190">
        <v>3</v>
      </c>
      <c r="BH36" s="190">
        <v>14</v>
      </c>
      <c r="BI36" s="190">
        <v>266</v>
      </c>
      <c r="BJ36" s="190">
        <v>280</v>
      </c>
      <c r="BK36" s="190">
        <v>-24</v>
      </c>
      <c r="BL36" s="190">
        <v>24</v>
      </c>
      <c r="BM36" s="190">
        <v>0</v>
      </c>
      <c r="BN36" s="190">
        <v>9</v>
      </c>
      <c r="BO36" s="190">
        <v>23</v>
      </c>
      <c r="BP36" s="190">
        <v>32</v>
      </c>
      <c r="BQ36" s="190">
        <v>7</v>
      </c>
      <c r="BR36" s="190">
        <v>75</v>
      </c>
      <c r="BS36" s="190">
        <v>82</v>
      </c>
      <c r="BT36" s="190">
        <v>13</v>
      </c>
      <c r="BU36" s="190">
        <v>182</v>
      </c>
      <c r="BV36" s="190">
        <v>195</v>
      </c>
      <c r="BW36" s="190">
        <v>650</v>
      </c>
      <c r="BX36" s="190">
        <v>8124</v>
      </c>
      <c r="BY36" s="190">
        <v>8774</v>
      </c>
      <c r="BZ36" s="190">
        <v>638</v>
      </c>
      <c r="CA36" s="190">
        <v>8050</v>
      </c>
      <c r="CB36" s="190">
        <v>8688</v>
      </c>
      <c r="CC36" s="190">
        <v>15964</v>
      </c>
      <c r="CD36" s="190">
        <v>1</v>
      </c>
      <c r="CE36" s="190">
        <v>64</v>
      </c>
      <c r="CF36" s="190">
        <v>10</v>
      </c>
      <c r="CG36" s="190">
        <v>37</v>
      </c>
      <c r="CH36" s="190">
        <v>47</v>
      </c>
      <c r="CI36" s="190">
        <v>54</v>
      </c>
      <c r="CJ36" s="190">
        <v>7</v>
      </c>
      <c r="CK36" s="190">
        <v>2</v>
      </c>
      <c r="CL36" s="190">
        <v>37</v>
      </c>
      <c r="CM36" s="190">
        <v>39</v>
      </c>
      <c r="CN36" s="190">
        <v>65</v>
      </c>
      <c r="CO36" s="190">
        <v>768</v>
      </c>
      <c r="CP36" s="190">
        <v>833</v>
      </c>
      <c r="CQ36" s="190">
        <v>0</v>
      </c>
      <c r="CR36" s="190">
        <v>0</v>
      </c>
      <c r="CS36" s="190">
        <v>0</v>
      </c>
      <c r="CT36" s="190">
        <v>585</v>
      </c>
      <c r="CU36" s="190">
        <v>7356</v>
      </c>
      <c r="CV36" s="190">
        <v>7941</v>
      </c>
      <c r="CW36" s="190">
        <v>38</v>
      </c>
      <c r="CX36" s="190">
        <v>304</v>
      </c>
      <c r="CY36" s="190">
        <v>342</v>
      </c>
      <c r="CZ36" s="190">
        <v>37</v>
      </c>
      <c r="DA36" s="190">
        <v>0</v>
      </c>
      <c r="DB36" s="190">
        <v>1</v>
      </c>
      <c r="DC36" s="190">
        <v>297</v>
      </c>
      <c r="DD36" s="190">
        <v>0</v>
      </c>
      <c r="DE36" s="190">
        <v>1</v>
      </c>
      <c r="DF36" s="190">
        <v>38</v>
      </c>
      <c r="DG36" s="190">
        <v>298</v>
      </c>
      <c r="DH36" s="190">
        <v>336</v>
      </c>
      <c r="DI36" s="190">
        <v>0</v>
      </c>
      <c r="DJ36" s="190">
        <v>0</v>
      </c>
      <c r="DK36" s="190">
        <v>0</v>
      </c>
      <c r="DL36" s="190">
        <v>6</v>
      </c>
      <c r="DM36" s="190">
        <v>0</v>
      </c>
      <c r="DN36" s="190">
        <v>0</v>
      </c>
      <c r="DO36" s="190">
        <v>0</v>
      </c>
      <c r="DP36" s="190">
        <v>6</v>
      </c>
      <c r="DQ36" s="190">
        <v>6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76</v>
      </c>
      <c r="C37" s="190">
        <v>7</v>
      </c>
      <c r="D37" s="190">
        <v>83</v>
      </c>
      <c r="E37" s="190">
        <v>49</v>
      </c>
      <c r="F37" s="190">
        <v>0</v>
      </c>
      <c r="G37" s="190">
        <v>2</v>
      </c>
      <c r="H37" s="190">
        <v>2</v>
      </c>
      <c r="I37" s="190">
        <v>0</v>
      </c>
      <c r="J37" s="190">
        <v>34</v>
      </c>
      <c r="K37" s="190">
        <v>34</v>
      </c>
      <c r="L37" s="190">
        <v>0</v>
      </c>
      <c r="M37" s="190">
        <v>15</v>
      </c>
      <c r="N37" s="190">
        <v>15</v>
      </c>
      <c r="O37" s="190">
        <v>0</v>
      </c>
      <c r="P37" s="190">
        <v>19</v>
      </c>
      <c r="Q37" s="190">
        <v>19</v>
      </c>
      <c r="R37" s="190">
        <v>0</v>
      </c>
      <c r="S37" s="190">
        <v>0</v>
      </c>
      <c r="T37" s="190">
        <v>0</v>
      </c>
      <c r="U37" s="190">
        <v>0</v>
      </c>
      <c r="V37" s="190">
        <v>0</v>
      </c>
      <c r="W37" s="190">
        <v>0</v>
      </c>
      <c r="X37" s="190">
        <v>2</v>
      </c>
      <c r="Y37" s="190">
        <v>81</v>
      </c>
      <c r="Z37" s="190">
        <v>83</v>
      </c>
      <c r="AA37" s="190">
        <v>1</v>
      </c>
      <c r="AB37" s="190">
        <v>30</v>
      </c>
      <c r="AC37" s="190">
        <v>31</v>
      </c>
      <c r="AD37" s="190">
        <v>1</v>
      </c>
      <c r="AE37" s="190">
        <v>26</v>
      </c>
      <c r="AF37" s="190">
        <v>27</v>
      </c>
      <c r="AG37" s="190">
        <v>0</v>
      </c>
      <c r="AH37" s="190">
        <v>3</v>
      </c>
      <c r="AI37" s="190">
        <v>3</v>
      </c>
      <c r="AJ37" s="190">
        <v>0</v>
      </c>
      <c r="AK37" s="190">
        <v>1</v>
      </c>
      <c r="AL37" s="190">
        <v>1</v>
      </c>
      <c r="AM37" s="190">
        <v>1</v>
      </c>
      <c r="AN37" s="190">
        <v>51</v>
      </c>
      <c r="AO37" s="190">
        <v>52</v>
      </c>
      <c r="AP37" s="190">
        <v>83</v>
      </c>
      <c r="AQ37" s="190">
        <v>1028</v>
      </c>
      <c r="AR37" s="190">
        <v>1111</v>
      </c>
      <c r="AS37" s="190">
        <v>83</v>
      </c>
      <c r="AT37" s="190">
        <v>1028</v>
      </c>
      <c r="AU37" s="190">
        <v>1111</v>
      </c>
      <c r="AV37" s="190">
        <v>0</v>
      </c>
      <c r="AW37" s="190">
        <v>0</v>
      </c>
      <c r="AX37" s="190">
        <v>0</v>
      </c>
      <c r="AY37" s="190">
        <v>2</v>
      </c>
      <c r="AZ37" s="190">
        <v>85</v>
      </c>
      <c r="BA37" s="190">
        <v>87</v>
      </c>
      <c r="BB37" s="190">
        <v>3</v>
      </c>
      <c r="BC37" s="190">
        <v>0</v>
      </c>
      <c r="BD37" s="190">
        <v>0</v>
      </c>
      <c r="BE37" s="190">
        <v>46</v>
      </c>
      <c r="BF37" s="190">
        <v>0</v>
      </c>
      <c r="BG37" s="190">
        <v>0</v>
      </c>
      <c r="BH37" s="190">
        <v>3</v>
      </c>
      <c r="BI37" s="190">
        <v>46</v>
      </c>
      <c r="BJ37" s="190">
        <v>49</v>
      </c>
      <c r="BK37" s="190">
        <v>-5</v>
      </c>
      <c r="BL37" s="190">
        <v>5</v>
      </c>
      <c r="BM37" s="190">
        <v>0</v>
      </c>
      <c r="BN37" s="190">
        <v>0</v>
      </c>
      <c r="BO37" s="190">
        <v>4</v>
      </c>
      <c r="BP37" s="190">
        <v>4</v>
      </c>
      <c r="BQ37" s="190">
        <v>2</v>
      </c>
      <c r="BR37" s="190">
        <v>18</v>
      </c>
      <c r="BS37" s="190">
        <v>20</v>
      </c>
      <c r="BT37" s="190">
        <v>2</v>
      </c>
      <c r="BU37" s="190">
        <v>12</v>
      </c>
      <c r="BV37" s="190">
        <v>14</v>
      </c>
      <c r="BW37" s="190">
        <v>85</v>
      </c>
      <c r="BX37" s="190">
        <v>1113</v>
      </c>
      <c r="BY37" s="190">
        <v>1198</v>
      </c>
      <c r="BZ37" s="190">
        <v>85</v>
      </c>
      <c r="CA37" s="190">
        <v>1112</v>
      </c>
      <c r="CB37" s="190">
        <v>1197</v>
      </c>
      <c r="CC37" s="190">
        <v>2184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2</v>
      </c>
      <c r="CO37" s="190">
        <v>125</v>
      </c>
      <c r="CP37" s="190">
        <v>127</v>
      </c>
      <c r="CQ37" s="190">
        <v>0</v>
      </c>
      <c r="CR37" s="190">
        <v>0</v>
      </c>
      <c r="CS37" s="190">
        <v>0</v>
      </c>
      <c r="CT37" s="190">
        <v>83</v>
      </c>
      <c r="CU37" s="190">
        <v>988</v>
      </c>
      <c r="CV37" s="190">
        <v>1071</v>
      </c>
      <c r="CW37" s="190">
        <v>5</v>
      </c>
      <c r="CX37" s="190">
        <v>38</v>
      </c>
      <c r="CY37" s="190">
        <v>43</v>
      </c>
      <c r="CZ37" s="190">
        <v>5</v>
      </c>
      <c r="DA37" s="190">
        <v>0</v>
      </c>
      <c r="DB37" s="190">
        <v>0</v>
      </c>
      <c r="DC37" s="190">
        <v>36</v>
      </c>
      <c r="DD37" s="190">
        <v>0</v>
      </c>
      <c r="DE37" s="190">
        <v>0</v>
      </c>
      <c r="DF37" s="190">
        <v>5</v>
      </c>
      <c r="DG37" s="190">
        <v>36</v>
      </c>
      <c r="DH37" s="190">
        <v>41</v>
      </c>
      <c r="DI37" s="190">
        <v>0</v>
      </c>
      <c r="DJ37" s="190">
        <v>0</v>
      </c>
      <c r="DK37" s="190">
        <v>0</v>
      </c>
      <c r="DL37" s="190">
        <v>2</v>
      </c>
      <c r="DM37" s="190">
        <v>0</v>
      </c>
      <c r="DN37" s="190">
        <v>0</v>
      </c>
      <c r="DO37" s="190">
        <v>0</v>
      </c>
      <c r="DP37" s="190">
        <v>2</v>
      </c>
      <c r="DQ37" s="190">
        <v>2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10426</v>
      </c>
      <c r="C38" s="190">
        <v>2851</v>
      </c>
      <c r="D38" s="190">
        <v>10109</v>
      </c>
      <c r="E38" s="190">
        <v>6144</v>
      </c>
      <c r="F38" s="190">
        <v>6</v>
      </c>
      <c r="G38" s="190">
        <v>13</v>
      </c>
      <c r="H38" s="190">
        <v>19</v>
      </c>
      <c r="I38" s="190">
        <v>4</v>
      </c>
      <c r="J38" s="190">
        <v>3610</v>
      </c>
      <c r="K38" s="190">
        <v>3614</v>
      </c>
      <c r="L38" s="190">
        <v>4</v>
      </c>
      <c r="M38" s="190">
        <v>1421</v>
      </c>
      <c r="N38" s="190">
        <v>1425</v>
      </c>
      <c r="O38" s="190">
        <v>0</v>
      </c>
      <c r="P38" s="190">
        <v>2189</v>
      </c>
      <c r="Q38" s="190">
        <v>2189</v>
      </c>
      <c r="R38" s="190">
        <v>0</v>
      </c>
      <c r="S38" s="190">
        <v>8</v>
      </c>
      <c r="T38" s="190">
        <v>8</v>
      </c>
      <c r="U38" s="190">
        <v>0</v>
      </c>
      <c r="V38" s="190">
        <v>351</v>
      </c>
      <c r="W38" s="190">
        <v>351</v>
      </c>
      <c r="X38" s="190">
        <v>284</v>
      </c>
      <c r="Y38" s="190">
        <v>9824</v>
      </c>
      <c r="Z38" s="190">
        <v>10108</v>
      </c>
      <c r="AA38" s="190">
        <v>196</v>
      </c>
      <c r="AB38" s="190">
        <v>4196</v>
      </c>
      <c r="AC38" s="190">
        <v>4392</v>
      </c>
      <c r="AD38" s="190">
        <v>184</v>
      </c>
      <c r="AE38" s="190">
        <v>3967</v>
      </c>
      <c r="AF38" s="190">
        <v>4151</v>
      </c>
      <c r="AG38" s="190">
        <v>5</v>
      </c>
      <c r="AH38" s="190">
        <v>140</v>
      </c>
      <c r="AI38" s="190">
        <v>145</v>
      </c>
      <c r="AJ38" s="190">
        <v>7</v>
      </c>
      <c r="AK38" s="190">
        <v>89</v>
      </c>
      <c r="AL38" s="190">
        <v>96</v>
      </c>
      <c r="AM38" s="190">
        <v>88</v>
      </c>
      <c r="AN38" s="190">
        <v>5628</v>
      </c>
      <c r="AO38" s="190">
        <v>5716</v>
      </c>
      <c r="AP38" s="190">
        <v>13805</v>
      </c>
      <c r="AQ38" s="190">
        <v>99737</v>
      </c>
      <c r="AR38" s="190">
        <v>113542</v>
      </c>
      <c r="AS38" s="190">
        <v>13805</v>
      </c>
      <c r="AT38" s="190">
        <v>99737</v>
      </c>
      <c r="AU38" s="190">
        <v>113542</v>
      </c>
      <c r="AV38" s="190">
        <v>0</v>
      </c>
      <c r="AW38" s="190">
        <v>0</v>
      </c>
      <c r="AX38" s="190">
        <v>0</v>
      </c>
      <c r="AY38" s="190">
        <v>621</v>
      </c>
      <c r="AZ38" s="190">
        <v>9728</v>
      </c>
      <c r="BA38" s="190">
        <v>10349</v>
      </c>
      <c r="BB38" s="190">
        <v>294</v>
      </c>
      <c r="BC38" s="190">
        <v>3</v>
      </c>
      <c r="BD38" s="190">
        <v>1</v>
      </c>
      <c r="BE38" s="190">
        <v>5801</v>
      </c>
      <c r="BF38" s="190">
        <v>32</v>
      </c>
      <c r="BG38" s="190">
        <v>13</v>
      </c>
      <c r="BH38" s="190">
        <v>298</v>
      </c>
      <c r="BI38" s="190">
        <v>5846</v>
      </c>
      <c r="BJ38" s="190">
        <v>6144</v>
      </c>
      <c r="BK38" s="190">
        <v>-97</v>
      </c>
      <c r="BL38" s="190">
        <v>97</v>
      </c>
      <c r="BM38" s="190">
        <v>0</v>
      </c>
      <c r="BN38" s="190">
        <v>32</v>
      </c>
      <c r="BO38" s="190">
        <v>230</v>
      </c>
      <c r="BP38" s="190">
        <v>262</v>
      </c>
      <c r="BQ38" s="190">
        <v>108</v>
      </c>
      <c r="BR38" s="190">
        <v>1615</v>
      </c>
      <c r="BS38" s="190">
        <v>1723</v>
      </c>
      <c r="BT38" s="190">
        <v>280</v>
      </c>
      <c r="BU38" s="190">
        <v>1940</v>
      </c>
      <c r="BV38" s="190">
        <v>2220</v>
      </c>
      <c r="BW38" s="190">
        <v>14426</v>
      </c>
      <c r="BX38" s="190">
        <v>109465</v>
      </c>
      <c r="BY38" s="190">
        <v>123891</v>
      </c>
      <c r="BZ38" s="190">
        <v>14322</v>
      </c>
      <c r="CA38" s="190">
        <v>108526</v>
      </c>
      <c r="CB38" s="190">
        <v>122848</v>
      </c>
      <c r="CC38" s="190">
        <v>271353</v>
      </c>
      <c r="CD38" s="190">
        <v>107</v>
      </c>
      <c r="CE38" s="190">
        <v>888</v>
      </c>
      <c r="CF38" s="190">
        <v>96</v>
      </c>
      <c r="CG38" s="190">
        <v>768</v>
      </c>
      <c r="CH38" s="190">
        <v>864</v>
      </c>
      <c r="CI38" s="190">
        <v>208</v>
      </c>
      <c r="CJ38" s="190">
        <v>25</v>
      </c>
      <c r="CK38" s="190">
        <v>8</v>
      </c>
      <c r="CL38" s="190">
        <v>171</v>
      </c>
      <c r="CM38" s="190">
        <v>179</v>
      </c>
      <c r="CN38" s="190">
        <v>688</v>
      </c>
      <c r="CO38" s="190">
        <v>9030</v>
      </c>
      <c r="CP38" s="190">
        <v>9718</v>
      </c>
      <c r="CQ38" s="190">
        <v>0</v>
      </c>
      <c r="CR38" s="190">
        <v>104</v>
      </c>
      <c r="CS38" s="190">
        <v>104</v>
      </c>
      <c r="CT38" s="190">
        <v>13738</v>
      </c>
      <c r="CU38" s="190">
        <v>100435</v>
      </c>
      <c r="CV38" s="190">
        <v>114173</v>
      </c>
      <c r="CW38" s="190">
        <v>1004</v>
      </c>
      <c r="CX38" s="190">
        <v>4719</v>
      </c>
      <c r="CY38" s="190">
        <v>5723</v>
      </c>
      <c r="CZ38" s="190">
        <v>996</v>
      </c>
      <c r="DA38" s="190">
        <v>6</v>
      </c>
      <c r="DB38" s="190">
        <v>0</v>
      </c>
      <c r="DC38" s="190">
        <v>4630</v>
      </c>
      <c r="DD38" s="190">
        <v>38</v>
      </c>
      <c r="DE38" s="190">
        <v>5</v>
      </c>
      <c r="DF38" s="190">
        <v>1002</v>
      </c>
      <c r="DG38" s="190">
        <v>4673</v>
      </c>
      <c r="DH38" s="190">
        <v>5675</v>
      </c>
      <c r="DI38" s="190">
        <v>2</v>
      </c>
      <c r="DJ38" s="190">
        <v>0</v>
      </c>
      <c r="DK38" s="190">
        <v>0</v>
      </c>
      <c r="DL38" s="190">
        <v>46</v>
      </c>
      <c r="DM38" s="190">
        <v>0</v>
      </c>
      <c r="DN38" s="190">
        <v>0</v>
      </c>
      <c r="DO38" s="190">
        <v>2</v>
      </c>
      <c r="DP38" s="190">
        <v>46</v>
      </c>
      <c r="DQ38" s="190">
        <v>48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7898</v>
      </c>
      <c r="C39" s="190">
        <v>2148</v>
      </c>
      <c r="D39" s="190">
        <v>6687</v>
      </c>
      <c r="E39" s="190">
        <v>4158</v>
      </c>
      <c r="F39" s="190">
        <v>0</v>
      </c>
      <c r="G39" s="190">
        <v>27</v>
      </c>
      <c r="H39" s="190">
        <v>27</v>
      </c>
      <c r="I39" s="190">
        <v>5</v>
      </c>
      <c r="J39" s="190">
        <v>2334</v>
      </c>
      <c r="K39" s="190">
        <v>2339</v>
      </c>
      <c r="L39" s="190">
        <v>1</v>
      </c>
      <c r="M39" s="190">
        <v>746</v>
      </c>
      <c r="N39" s="190">
        <v>747</v>
      </c>
      <c r="O39" s="190">
        <v>4</v>
      </c>
      <c r="P39" s="190">
        <v>1588</v>
      </c>
      <c r="Q39" s="190">
        <v>1592</v>
      </c>
      <c r="R39" s="190">
        <v>0</v>
      </c>
      <c r="S39" s="190">
        <v>83</v>
      </c>
      <c r="T39" s="190">
        <v>83</v>
      </c>
      <c r="U39" s="190">
        <v>0</v>
      </c>
      <c r="V39" s="190">
        <v>190</v>
      </c>
      <c r="W39" s="190">
        <v>190</v>
      </c>
      <c r="X39" s="190">
        <v>266</v>
      </c>
      <c r="Y39" s="190">
        <v>6421</v>
      </c>
      <c r="Z39" s="190">
        <v>6687</v>
      </c>
      <c r="AA39" s="190">
        <v>127</v>
      </c>
      <c r="AB39" s="190">
        <v>1824</v>
      </c>
      <c r="AC39" s="190">
        <v>1951</v>
      </c>
      <c r="AD39" s="190">
        <v>127</v>
      </c>
      <c r="AE39" s="190">
        <v>1809</v>
      </c>
      <c r="AF39" s="190">
        <v>1936</v>
      </c>
      <c r="AG39" s="190">
        <v>0</v>
      </c>
      <c r="AH39" s="190">
        <v>12</v>
      </c>
      <c r="AI39" s="190">
        <v>12</v>
      </c>
      <c r="AJ39" s="190">
        <v>0</v>
      </c>
      <c r="AK39" s="190">
        <v>3</v>
      </c>
      <c r="AL39" s="190">
        <v>3</v>
      </c>
      <c r="AM39" s="190">
        <v>139</v>
      </c>
      <c r="AN39" s="190">
        <v>4597</v>
      </c>
      <c r="AO39" s="190">
        <v>4736</v>
      </c>
      <c r="AP39" s="190">
        <v>13254</v>
      </c>
      <c r="AQ39" s="190">
        <v>77319</v>
      </c>
      <c r="AR39" s="190">
        <v>90573</v>
      </c>
      <c r="AS39" s="190">
        <v>13173</v>
      </c>
      <c r="AT39" s="190">
        <v>76966</v>
      </c>
      <c r="AU39" s="190">
        <v>90139</v>
      </c>
      <c r="AV39" s="190">
        <v>81</v>
      </c>
      <c r="AW39" s="190">
        <v>353</v>
      </c>
      <c r="AX39" s="190">
        <v>434</v>
      </c>
      <c r="AY39" s="190">
        <v>675</v>
      </c>
      <c r="AZ39" s="190">
        <v>8124</v>
      </c>
      <c r="BA39" s="190">
        <v>8799</v>
      </c>
      <c r="BB39" s="190">
        <v>397</v>
      </c>
      <c r="BC39" s="190">
        <v>8</v>
      </c>
      <c r="BD39" s="190">
        <v>0</v>
      </c>
      <c r="BE39" s="190">
        <v>3676</v>
      </c>
      <c r="BF39" s="190">
        <v>39</v>
      </c>
      <c r="BG39" s="190">
        <v>38</v>
      </c>
      <c r="BH39" s="190">
        <v>405</v>
      </c>
      <c r="BI39" s="190">
        <v>3753</v>
      </c>
      <c r="BJ39" s="190">
        <v>4158</v>
      </c>
      <c r="BK39" s="190">
        <v>-327</v>
      </c>
      <c r="BL39" s="190">
        <v>327</v>
      </c>
      <c r="BM39" s="190">
        <v>0</v>
      </c>
      <c r="BN39" s="190">
        <v>11</v>
      </c>
      <c r="BO39" s="190">
        <v>106</v>
      </c>
      <c r="BP39" s="190">
        <v>117</v>
      </c>
      <c r="BQ39" s="190">
        <v>58</v>
      </c>
      <c r="BR39" s="190">
        <v>759</v>
      </c>
      <c r="BS39" s="190">
        <v>817</v>
      </c>
      <c r="BT39" s="190">
        <v>528</v>
      </c>
      <c r="BU39" s="190">
        <v>3179</v>
      </c>
      <c r="BV39" s="190">
        <v>3707</v>
      </c>
      <c r="BW39" s="190">
        <v>13929</v>
      </c>
      <c r="BX39" s="190">
        <v>85443</v>
      </c>
      <c r="BY39" s="190">
        <v>99372</v>
      </c>
      <c r="BZ39" s="190">
        <v>13362</v>
      </c>
      <c r="CA39" s="190">
        <v>83242</v>
      </c>
      <c r="CB39" s="190">
        <v>96604</v>
      </c>
      <c r="CC39" s="190">
        <v>206722</v>
      </c>
      <c r="CD39" s="190">
        <v>117</v>
      </c>
      <c r="CE39" s="190">
        <v>2711</v>
      </c>
      <c r="CF39" s="190">
        <v>563</v>
      </c>
      <c r="CG39" s="190">
        <v>1630</v>
      </c>
      <c r="CH39" s="190">
        <v>2193</v>
      </c>
      <c r="CI39" s="190">
        <v>762</v>
      </c>
      <c r="CJ39" s="190">
        <v>15</v>
      </c>
      <c r="CK39" s="190">
        <v>4</v>
      </c>
      <c r="CL39" s="190">
        <v>571</v>
      </c>
      <c r="CM39" s="190">
        <v>575</v>
      </c>
      <c r="CN39" s="190">
        <v>909</v>
      </c>
      <c r="CO39" s="190">
        <v>8359</v>
      </c>
      <c r="CP39" s="190">
        <v>9268</v>
      </c>
      <c r="CQ39" s="190">
        <v>0</v>
      </c>
      <c r="CR39" s="190">
        <v>0</v>
      </c>
      <c r="CS39" s="190">
        <v>0</v>
      </c>
      <c r="CT39" s="190">
        <v>13020</v>
      </c>
      <c r="CU39" s="190">
        <v>77084</v>
      </c>
      <c r="CV39" s="190">
        <v>90104</v>
      </c>
      <c r="CW39" s="190">
        <v>1029</v>
      </c>
      <c r="CX39" s="190">
        <v>4358</v>
      </c>
      <c r="CY39" s="190">
        <v>5387</v>
      </c>
      <c r="CZ39" s="190">
        <v>950</v>
      </c>
      <c r="DA39" s="190">
        <v>46</v>
      </c>
      <c r="DB39" s="190">
        <v>1</v>
      </c>
      <c r="DC39" s="190">
        <v>3950</v>
      </c>
      <c r="DD39" s="190">
        <v>77</v>
      </c>
      <c r="DE39" s="190">
        <v>17</v>
      </c>
      <c r="DF39" s="190">
        <v>997</v>
      </c>
      <c r="DG39" s="190">
        <v>4044</v>
      </c>
      <c r="DH39" s="190">
        <v>5041</v>
      </c>
      <c r="DI39" s="190">
        <v>31</v>
      </c>
      <c r="DJ39" s="190">
        <v>0</v>
      </c>
      <c r="DK39" s="190">
        <v>1</v>
      </c>
      <c r="DL39" s="190">
        <v>308</v>
      </c>
      <c r="DM39" s="190">
        <v>5</v>
      </c>
      <c r="DN39" s="190">
        <v>1</v>
      </c>
      <c r="DO39" s="190">
        <v>32</v>
      </c>
      <c r="DP39" s="190">
        <v>314</v>
      </c>
      <c r="DQ39" s="190">
        <v>346</v>
      </c>
      <c r="DR39" s="190">
        <v>9</v>
      </c>
      <c r="DS39" s="190">
        <v>28</v>
      </c>
      <c r="DT39" s="191">
        <v>37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146</v>
      </c>
      <c r="C40" s="190">
        <v>28</v>
      </c>
      <c r="D40" s="190">
        <v>158</v>
      </c>
      <c r="E40" s="190">
        <v>88</v>
      </c>
      <c r="F40" s="190">
        <v>0</v>
      </c>
      <c r="G40" s="190">
        <v>1</v>
      </c>
      <c r="H40" s="190">
        <v>1</v>
      </c>
      <c r="I40" s="190">
        <v>0</v>
      </c>
      <c r="J40" s="190">
        <v>65</v>
      </c>
      <c r="K40" s="190">
        <v>65</v>
      </c>
      <c r="L40" s="190">
        <v>0</v>
      </c>
      <c r="M40" s="190">
        <v>17</v>
      </c>
      <c r="N40" s="190">
        <v>17</v>
      </c>
      <c r="O40" s="190">
        <v>0</v>
      </c>
      <c r="P40" s="190">
        <v>48</v>
      </c>
      <c r="Q40" s="190">
        <v>48</v>
      </c>
      <c r="R40" s="190">
        <v>0</v>
      </c>
      <c r="S40" s="190">
        <v>0</v>
      </c>
      <c r="T40" s="190">
        <v>0</v>
      </c>
      <c r="U40" s="190">
        <v>0</v>
      </c>
      <c r="V40" s="190">
        <v>5</v>
      </c>
      <c r="W40" s="190">
        <v>5</v>
      </c>
      <c r="X40" s="190">
        <v>2</v>
      </c>
      <c r="Y40" s="190">
        <v>156</v>
      </c>
      <c r="Z40" s="190">
        <v>158</v>
      </c>
      <c r="AA40" s="190">
        <v>2</v>
      </c>
      <c r="AB40" s="190">
        <v>58</v>
      </c>
      <c r="AC40" s="190">
        <v>60</v>
      </c>
      <c r="AD40" s="190">
        <v>2</v>
      </c>
      <c r="AE40" s="190">
        <v>55</v>
      </c>
      <c r="AF40" s="190">
        <v>57</v>
      </c>
      <c r="AG40" s="190">
        <v>0</v>
      </c>
      <c r="AH40" s="190">
        <v>1</v>
      </c>
      <c r="AI40" s="190">
        <v>1</v>
      </c>
      <c r="AJ40" s="190">
        <v>0</v>
      </c>
      <c r="AK40" s="190">
        <v>2</v>
      </c>
      <c r="AL40" s="190">
        <v>2</v>
      </c>
      <c r="AM40" s="190">
        <v>0</v>
      </c>
      <c r="AN40" s="190">
        <v>98</v>
      </c>
      <c r="AO40" s="190">
        <v>98</v>
      </c>
      <c r="AP40" s="190">
        <v>251</v>
      </c>
      <c r="AQ40" s="190">
        <v>1897</v>
      </c>
      <c r="AR40" s="190">
        <v>2148</v>
      </c>
      <c r="AS40" s="190">
        <v>251</v>
      </c>
      <c r="AT40" s="190">
        <v>1897</v>
      </c>
      <c r="AU40" s="190">
        <v>2148</v>
      </c>
      <c r="AV40" s="190">
        <v>0</v>
      </c>
      <c r="AW40" s="190">
        <v>0</v>
      </c>
      <c r="AX40" s="190">
        <v>0</v>
      </c>
      <c r="AY40" s="190">
        <v>-9</v>
      </c>
      <c r="AZ40" s="190">
        <v>185</v>
      </c>
      <c r="BA40" s="190">
        <v>176</v>
      </c>
      <c r="BB40" s="190">
        <v>3</v>
      </c>
      <c r="BC40" s="190">
        <v>0</v>
      </c>
      <c r="BD40" s="190">
        <v>0</v>
      </c>
      <c r="BE40" s="190">
        <v>83</v>
      </c>
      <c r="BF40" s="190">
        <v>2</v>
      </c>
      <c r="BG40" s="190">
        <v>0</v>
      </c>
      <c r="BH40" s="190">
        <v>3</v>
      </c>
      <c r="BI40" s="190">
        <v>85</v>
      </c>
      <c r="BJ40" s="190">
        <v>88</v>
      </c>
      <c r="BK40" s="190">
        <v>-22</v>
      </c>
      <c r="BL40" s="190">
        <v>22</v>
      </c>
      <c r="BM40" s="190">
        <v>0</v>
      </c>
      <c r="BN40" s="190">
        <v>4</v>
      </c>
      <c r="BO40" s="190">
        <v>7</v>
      </c>
      <c r="BP40" s="190">
        <v>11</v>
      </c>
      <c r="BQ40" s="190">
        <v>1</v>
      </c>
      <c r="BR40" s="190">
        <v>7</v>
      </c>
      <c r="BS40" s="190">
        <v>8</v>
      </c>
      <c r="BT40" s="190">
        <v>5</v>
      </c>
      <c r="BU40" s="190">
        <v>64</v>
      </c>
      <c r="BV40" s="190">
        <v>69</v>
      </c>
      <c r="BW40" s="190">
        <v>242</v>
      </c>
      <c r="BX40" s="190">
        <v>2082</v>
      </c>
      <c r="BY40" s="190">
        <v>2324</v>
      </c>
      <c r="BZ40" s="190">
        <v>241</v>
      </c>
      <c r="CA40" s="190">
        <v>2061</v>
      </c>
      <c r="CB40" s="190">
        <v>2302</v>
      </c>
      <c r="CC40" s="190">
        <v>5150</v>
      </c>
      <c r="CD40" s="190">
        <v>4</v>
      </c>
      <c r="CE40" s="190">
        <v>20</v>
      </c>
      <c r="CF40" s="190">
        <v>1</v>
      </c>
      <c r="CG40" s="190">
        <v>20</v>
      </c>
      <c r="CH40" s="190">
        <v>21</v>
      </c>
      <c r="CI40" s="190">
        <v>1</v>
      </c>
      <c r="CJ40" s="190">
        <v>0</v>
      </c>
      <c r="CK40" s="190">
        <v>0</v>
      </c>
      <c r="CL40" s="190">
        <v>1</v>
      </c>
      <c r="CM40" s="190">
        <v>1</v>
      </c>
      <c r="CN40" s="190">
        <v>9</v>
      </c>
      <c r="CO40" s="190">
        <v>165</v>
      </c>
      <c r="CP40" s="190">
        <v>174</v>
      </c>
      <c r="CQ40" s="190">
        <v>0</v>
      </c>
      <c r="CR40" s="190">
        <v>0</v>
      </c>
      <c r="CS40" s="190">
        <v>0</v>
      </c>
      <c r="CT40" s="190">
        <v>233</v>
      </c>
      <c r="CU40" s="190">
        <v>1917</v>
      </c>
      <c r="CV40" s="190">
        <v>2150</v>
      </c>
      <c r="CW40" s="190">
        <v>7</v>
      </c>
      <c r="CX40" s="190">
        <v>91</v>
      </c>
      <c r="CY40" s="190">
        <v>98</v>
      </c>
      <c r="CZ40" s="190">
        <v>7</v>
      </c>
      <c r="DA40" s="190">
        <v>0</v>
      </c>
      <c r="DB40" s="190">
        <v>0</v>
      </c>
      <c r="DC40" s="190">
        <v>86</v>
      </c>
      <c r="DD40" s="190">
        <v>1</v>
      </c>
      <c r="DE40" s="190">
        <v>0</v>
      </c>
      <c r="DF40" s="190">
        <v>7</v>
      </c>
      <c r="DG40" s="190">
        <v>87</v>
      </c>
      <c r="DH40" s="190">
        <v>94</v>
      </c>
      <c r="DI40" s="190">
        <v>0</v>
      </c>
      <c r="DJ40" s="190">
        <v>0</v>
      </c>
      <c r="DK40" s="190">
        <v>0</v>
      </c>
      <c r="DL40" s="190">
        <v>4</v>
      </c>
      <c r="DM40" s="190">
        <v>0</v>
      </c>
      <c r="DN40" s="190">
        <v>0</v>
      </c>
      <c r="DO40" s="190">
        <v>0</v>
      </c>
      <c r="DP40" s="190">
        <v>4</v>
      </c>
      <c r="DQ40" s="190">
        <v>4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12413</v>
      </c>
      <c r="C41" s="190">
        <v>3329</v>
      </c>
      <c r="D41" s="190">
        <v>12165</v>
      </c>
      <c r="E41" s="190">
        <v>8654</v>
      </c>
      <c r="F41" s="190">
        <v>3</v>
      </c>
      <c r="G41" s="190">
        <v>35</v>
      </c>
      <c r="H41" s="190">
        <v>38</v>
      </c>
      <c r="I41" s="190">
        <v>5</v>
      </c>
      <c r="J41" s="190">
        <v>3208</v>
      </c>
      <c r="K41" s="190">
        <v>3213</v>
      </c>
      <c r="L41" s="190">
        <v>5</v>
      </c>
      <c r="M41" s="190">
        <v>1348</v>
      </c>
      <c r="N41" s="190">
        <v>1353</v>
      </c>
      <c r="O41" s="190">
        <v>0</v>
      </c>
      <c r="P41" s="190">
        <v>1860</v>
      </c>
      <c r="Q41" s="190">
        <v>1860</v>
      </c>
      <c r="R41" s="190">
        <v>0</v>
      </c>
      <c r="S41" s="190">
        <v>24</v>
      </c>
      <c r="T41" s="190">
        <v>24</v>
      </c>
      <c r="U41" s="190">
        <v>0</v>
      </c>
      <c r="V41" s="190">
        <v>298</v>
      </c>
      <c r="W41" s="190">
        <v>298</v>
      </c>
      <c r="X41" s="190">
        <v>409</v>
      </c>
      <c r="Y41" s="190">
        <v>11753</v>
      </c>
      <c r="Z41" s="190">
        <v>12162</v>
      </c>
      <c r="AA41" s="190">
        <v>291</v>
      </c>
      <c r="AB41" s="190">
        <v>5636</v>
      </c>
      <c r="AC41" s="190">
        <v>5927</v>
      </c>
      <c r="AD41" s="190">
        <v>268</v>
      </c>
      <c r="AE41" s="190">
        <v>5372</v>
      </c>
      <c r="AF41" s="190">
        <v>5640</v>
      </c>
      <c r="AG41" s="190">
        <v>12</v>
      </c>
      <c r="AH41" s="190">
        <v>152</v>
      </c>
      <c r="AI41" s="190">
        <v>164</v>
      </c>
      <c r="AJ41" s="190">
        <v>11</v>
      </c>
      <c r="AK41" s="190">
        <v>112</v>
      </c>
      <c r="AL41" s="190">
        <v>123</v>
      </c>
      <c r="AM41" s="190">
        <v>118</v>
      </c>
      <c r="AN41" s="190">
        <v>6117</v>
      </c>
      <c r="AO41" s="190">
        <v>6235</v>
      </c>
      <c r="AP41" s="190">
        <v>21995</v>
      </c>
      <c r="AQ41" s="190">
        <v>133088</v>
      </c>
      <c r="AR41" s="190">
        <v>155083</v>
      </c>
      <c r="AS41" s="190">
        <v>21995</v>
      </c>
      <c r="AT41" s="190">
        <v>133089</v>
      </c>
      <c r="AU41" s="190">
        <v>155084</v>
      </c>
      <c r="AV41" s="190">
        <v>0</v>
      </c>
      <c r="AW41" s="190">
        <v>-1</v>
      </c>
      <c r="AX41" s="190">
        <v>-1</v>
      </c>
      <c r="AY41" s="190">
        <v>1267</v>
      </c>
      <c r="AZ41" s="190">
        <v>12790</v>
      </c>
      <c r="BA41" s="190">
        <v>14057</v>
      </c>
      <c r="BB41" s="190">
        <v>474</v>
      </c>
      <c r="BC41" s="190">
        <v>4</v>
      </c>
      <c r="BD41" s="190">
        <v>0</v>
      </c>
      <c r="BE41" s="190">
        <v>8105</v>
      </c>
      <c r="BF41" s="190">
        <v>47</v>
      </c>
      <c r="BG41" s="190">
        <v>24</v>
      </c>
      <c r="BH41" s="190">
        <v>478</v>
      </c>
      <c r="BI41" s="190">
        <v>8176</v>
      </c>
      <c r="BJ41" s="190">
        <v>8654</v>
      </c>
      <c r="BK41" s="190">
        <v>-94</v>
      </c>
      <c r="BL41" s="190">
        <v>94</v>
      </c>
      <c r="BM41" s="190">
        <v>0</v>
      </c>
      <c r="BN41" s="190">
        <v>69</v>
      </c>
      <c r="BO41" s="190">
        <v>256</v>
      </c>
      <c r="BP41" s="190">
        <v>325</v>
      </c>
      <c r="BQ41" s="190">
        <v>104</v>
      </c>
      <c r="BR41" s="190">
        <v>1453</v>
      </c>
      <c r="BS41" s="190">
        <v>1557</v>
      </c>
      <c r="BT41" s="190">
        <v>710</v>
      </c>
      <c r="BU41" s="190">
        <v>2811</v>
      </c>
      <c r="BV41" s="190">
        <v>3521</v>
      </c>
      <c r="BW41" s="190">
        <v>23262</v>
      </c>
      <c r="BX41" s="190">
        <v>145878</v>
      </c>
      <c r="BY41" s="190">
        <v>169140</v>
      </c>
      <c r="BZ41" s="190">
        <v>23116</v>
      </c>
      <c r="CA41" s="190">
        <v>144642</v>
      </c>
      <c r="CB41" s="190">
        <v>167758</v>
      </c>
      <c r="CC41" s="190">
        <v>365382</v>
      </c>
      <c r="CD41" s="190">
        <v>121</v>
      </c>
      <c r="CE41" s="190">
        <v>1093</v>
      </c>
      <c r="CF41" s="190">
        <v>138</v>
      </c>
      <c r="CG41" s="190">
        <v>908</v>
      </c>
      <c r="CH41" s="190">
        <v>1046</v>
      </c>
      <c r="CI41" s="190">
        <v>390</v>
      </c>
      <c r="CJ41" s="190">
        <v>72</v>
      </c>
      <c r="CK41" s="190">
        <v>8</v>
      </c>
      <c r="CL41" s="190">
        <v>328</v>
      </c>
      <c r="CM41" s="190">
        <v>336</v>
      </c>
      <c r="CN41" s="190">
        <v>1303</v>
      </c>
      <c r="CO41" s="190">
        <v>12037</v>
      </c>
      <c r="CP41" s="190">
        <v>13340</v>
      </c>
      <c r="CQ41" s="190">
        <v>1</v>
      </c>
      <c r="CR41" s="190">
        <v>37</v>
      </c>
      <c r="CS41" s="190">
        <v>38</v>
      </c>
      <c r="CT41" s="190">
        <v>21959</v>
      </c>
      <c r="CU41" s="190">
        <v>133841</v>
      </c>
      <c r="CV41" s="190">
        <v>155800</v>
      </c>
      <c r="CW41" s="190">
        <v>1635</v>
      </c>
      <c r="CX41" s="190">
        <v>6153</v>
      </c>
      <c r="CY41" s="190">
        <v>7788</v>
      </c>
      <c r="CZ41" s="190">
        <v>1622</v>
      </c>
      <c r="DA41" s="190">
        <v>11</v>
      </c>
      <c r="DB41" s="190">
        <v>0</v>
      </c>
      <c r="DC41" s="190">
        <v>6050</v>
      </c>
      <c r="DD41" s="190">
        <v>40</v>
      </c>
      <c r="DE41" s="190">
        <v>11</v>
      </c>
      <c r="DF41" s="190">
        <v>1633</v>
      </c>
      <c r="DG41" s="190">
        <v>6101</v>
      </c>
      <c r="DH41" s="190">
        <v>7734</v>
      </c>
      <c r="DI41" s="190">
        <v>2</v>
      </c>
      <c r="DJ41" s="190">
        <v>0</v>
      </c>
      <c r="DK41" s="190">
        <v>0</v>
      </c>
      <c r="DL41" s="190">
        <v>50</v>
      </c>
      <c r="DM41" s="190">
        <v>2</v>
      </c>
      <c r="DN41" s="190">
        <v>0</v>
      </c>
      <c r="DO41" s="190">
        <v>2</v>
      </c>
      <c r="DP41" s="190">
        <v>52</v>
      </c>
      <c r="DQ41" s="190">
        <v>54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10863</v>
      </c>
      <c r="C42" s="190">
        <v>3777</v>
      </c>
      <c r="D42" s="190">
        <v>10389</v>
      </c>
      <c r="E42" s="190">
        <v>6004</v>
      </c>
      <c r="F42" s="190">
        <v>2</v>
      </c>
      <c r="G42" s="190">
        <v>114</v>
      </c>
      <c r="H42" s="190">
        <v>116</v>
      </c>
      <c r="I42" s="190">
        <v>9</v>
      </c>
      <c r="J42" s="190">
        <v>3930</v>
      </c>
      <c r="K42" s="190">
        <v>3939</v>
      </c>
      <c r="L42" s="190">
        <v>9</v>
      </c>
      <c r="M42" s="190">
        <v>3923</v>
      </c>
      <c r="N42" s="190">
        <v>3932</v>
      </c>
      <c r="O42" s="190">
        <v>0</v>
      </c>
      <c r="P42" s="190">
        <v>7</v>
      </c>
      <c r="Q42" s="190">
        <v>7</v>
      </c>
      <c r="R42" s="190">
        <v>3</v>
      </c>
      <c r="S42" s="190">
        <v>565</v>
      </c>
      <c r="T42" s="190">
        <v>568</v>
      </c>
      <c r="U42" s="190">
        <v>0</v>
      </c>
      <c r="V42" s="190">
        <v>446</v>
      </c>
      <c r="W42" s="190">
        <v>446</v>
      </c>
      <c r="X42" s="190">
        <v>102</v>
      </c>
      <c r="Y42" s="190">
        <v>5576</v>
      </c>
      <c r="Z42" s="190">
        <v>5678</v>
      </c>
      <c r="AA42" s="190">
        <v>53</v>
      </c>
      <c r="AB42" s="190">
        <v>2109</v>
      </c>
      <c r="AC42" s="190">
        <v>2162</v>
      </c>
      <c r="AD42" s="190">
        <v>50</v>
      </c>
      <c r="AE42" s="190">
        <v>2049</v>
      </c>
      <c r="AF42" s="190">
        <v>2099</v>
      </c>
      <c r="AG42" s="190">
        <v>3</v>
      </c>
      <c r="AH42" s="190">
        <v>47</v>
      </c>
      <c r="AI42" s="190">
        <v>50</v>
      </c>
      <c r="AJ42" s="190">
        <v>0</v>
      </c>
      <c r="AK42" s="190">
        <v>13</v>
      </c>
      <c r="AL42" s="190">
        <v>13</v>
      </c>
      <c r="AM42" s="190">
        <v>49</v>
      </c>
      <c r="AN42" s="190">
        <v>3467</v>
      </c>
      <c r="AO42" s="190">
        <v>3516</v>
      </c>
      <c r="AP42" s="190">
        <v>11512</v>
      </c>
      <c r="AQ42" s="190">
        <v>111472</v>
      </c>
      <c r="AR42" s="190">
        <v>122984</v>
      </c>
      <c r="AS42" s="190">
        <v>11500</v>
      </c>
      <c r="AT42" s="190">
        <v>110795</v>
      </c>
      <c r="AU42" s="190">
        <v>122295</v>
      </c>
      <c r="AV42" s="190">
        <v>12</v>
      </c>
      <c r="AW42" s="190">
        <v>677</v>
      </c>
      <c r="AX42" s="190">
        <v>689</v>
      </c>
      <c r="AY42" s="190">
        <v>698</v>
      </c>
      <c r="AZ42" s="190">
        <v>10150</v>
      </c>
      <c r="BA42" s="190">
        <v>10848</v>
      </c>
      <c r="BB42" s="190">
        <v>231</v>
      </c>
      <c r="BC42" s="190">
        <v>7</v>
      </c>
      <c r="BD42" s="190">
        <v>1</v>
      </c>
      <c r="BE42" s="190">
        <v>5640</v>
      </c>
      <c r="BF42" s="190">
        <v>87</v>
      </c>
      <c r="BG42" s="190">
        <v>38</v>
      </c>
      <c r="BH42" s="190">
        <v>239</v>
      </c>
      <c r="BI42" s="190">
        <v>5765</v>
      </c>
      <c r="BJ42" s="190">
        <v>6004</v>
      </c>
      <c r="BK42" s="190">
        <v>-43</v>
      </c>
      <c r="BL42" s="190">
        <v>43</v>
      </c>
      <c r="BM42" s="190">
        <v>0</v>
      </c>
      <c r="BN42" s="190">
        <v>9</v>
      </c>
      <c r="BO42" s="190">
        <v>134</v>
      </c>
      <c r="BP42" s="190">
        <v>143</v>
      </c>
      <c r="BQ42" s="190">
        <v>14</v>
      </c>
      <c r="BR42" s="190">
        <v>324</v>
      </c>
      <c r="BS42" s="190">
        <v>338</v>
      </c>
      <c r="BT42" s="190">
        <v>479</v>
      </c>
      <c r="BU42" s="190">
        <v>3884</v>
      </c>
      <c r="BV42" s="190">
        <v>4363</v>
      </c>
      <c r="BW42" s="190">
        <v>12210</v>
      </c>
      <c r="BX42" s="190">
        <v>121622</v>
      </c>
      <c r="BY42" s="190">
        <v>133832</v>
      </c>
      <c r="BZ42" s="190">
        <v>11890</v>
      </c>
      <c r="CA42" s="190">
        <v>119212</v>
      </c>
      <c r="CB42" s="190">
        <v>131102</v>
      </c>
      <c r="CC42" s="190">
        <v>269329</v>
      </c>
      <c r="CD42" s="190">
        <v>245</v>
      </c>
      <c r="CE42" s="190">
        <v>2424</v>
      </c>
      <c r="CF42" s="190">
        <v>308</v>
      </c>
      <c r="CG42" s="190">
        <v>1673</v>
      </c>
      <c r="CH42" s="190">
        <v>1981</v>
      </c>
      <c r="CI42" s="190">
        <v>926</v>
      </c>
      <c r="CJ42" s="190">
        <v>44</v>
      </c>
      <c r="CK42" s="190">
        <v>12</v>
      </c>
      <c r="CL42" s="190">
        <v>737</v>
      </c>
      <c r="CM42" s="190">
        <v>749</v>
      </c>
      <c r="CN42" s="190">
        <v>733</v>
      </c>
      <c r="CO42" s="190">
        <v>10687</v>
      </c>
      <c r="CP42" s="190">
        <v>11420</v>
      </c>
      <c r="CQ42" s="190">
        <v>0</v>
      </c>
      <c r="CR42" s="190">
        <v>8</v>
      </c>
      <c r="CS42" s="190">
        <v>8</v>
      </c>
      <c r="CT42" s="190">
        <v>11477</v>
      </c>
      <c r="CU42" s="190">
        <v>110935</v>
      </c>
      <c r="CV42" s="190">
        <v>122412</v>
      </c>
      <c r="CW42" s="190">
        <v>946</v>
      </c>
      <c r="CX42" s="190">
        <v>5931</v>
      </c>
      <c r="CY42" s="190">
        <v>6877</v>
      </c>
      <c r="CZ42" s="190">
        <v>870</v>
      </c>
      <c r="DA42" s="190">
        <v>20</v>
      </c>
      <c r="DB42" s="190">
        <v>0</v>
      </c>
      <c r="DC42" s="190">
        <v>5266</v>
      </c>
      <c r="DD42" s="190">
        <v>103</v>
      </c>
      <c r="DE42" s="190">
        <v>22</v>
      </c>
      <c r="DF42" s="190">
        <v>890</v>
      </c>
      <c r="DG42" s="190">
        <v>5391</v>
      </c>
      <c r="DH42" s="190">
        <v>6281</v>
      </c>
      <c r="DI42" s="190">
        <v>55</v>
      </c>
      <c r="DJ42" s="190">
        <v>1</v>
      </c>
      <c r="DK42" s="190">
        <v>0</v>
      </c>
      <c r="DL42" s="190">
        <v>529</v>
      </c>
      <c r="DM42" s="190">
        <v>10</v>
      </c>
      <c r="DN42" s="190">
        <v>1</v>
      </c>
      <c r="DO42" s="190">
        <v>56</v>
      </c>
      <c r="DP42" s="190">
        <v>540</v>
      </c>
      <c r="DQ42" s="190">
        <v>596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2793</v>
      </c>
      <c r="C43" s="190">
        <v>833</v>
      </c>
      <c r="D43" s="190">
        <v>2357</v>
      </c>
      <c r="E43" s="190">
        <v>1517</v>
      </c>
      <c r="F43" s="190">
        <v>0</v>
      </c>
      <c r="G43" s="190">
        <v>15</v>
      </c>
      <c r="H43" s="190">
        <v>15</v>
      </c>
      <c r="I43" s="190">
        <v>0</v>
      </c>
      <c r="J43" s="190">
        <v>735</v>
      </c>
      <c r="K43" s="190">
        <v>735</v>
      </c>
      <c r="L43" s="190">
        <v>0</v>
      </c>
      <c r="M43" s="190">
        <v>251</v>
      </c>
      <c r="N43" s="190">
        <v>251</v>
      </c>
      <c r="O43" s="190">
        <v>0</v>
      </c>
      <c r="P43" s="190">
        <v>484</v>
      </c>
      <c r="Q43" s="190">
        <v>484</v>
      </c>
      <c r="R43" s="190">
        <v>0</v>
      </c>
      <c r="S43" s="190">
        <v>31</v>
      </c>
      <c r="T43" s="190">
        <v>31</v>
      </c>
      <c r="U43" s="190">
        <v>0</v>
      </c>
      <c r="V43" s="190">
        <v>105</v>
      </c>
      <c r="W43" s="190">
        <v>105</v>
      </c>
      <c r="X43" s="190">
        <v>50</v>
      </c>
      <c r="Y43" s="190">
        <v>1734</v>
      </c>
      <c r="Z43" s="190">
        <v>1784</v>
      </c>
      <c r="AA43" s="190">
        <v>32</v>
      </c>
      <c r="AB43" s="190">
        <v>731</v>
      </c>
      <c r="AC43" s="190">
        <v>763</v>
      </c>
      <c r="AD43" s="190">
        <v>29</v>
      </c>
      <c r="AE43" s="190">
        <v>683</v>
      </c>
      <c r="AF43" s="190">
        <v>712</v>
      </c>
      <c r="AG43" s="190">
        <v>2</v>
      </c>
      <c r="AH43" s="190">
        <v>32</v>
      </c>
      <c r="AI43" s="190">
        <v>34</v>
      </c>
      <c r="AJ43" s="190">
        <v>1</v>
      </c>
      <c r="AK43" s="190">
        <v>16</v>
      </c>
      <c r="AL43" s="190">
        <v>17</v>
      </c>
      <c r="AM43" s="190">
        <v>18</v>
      </c>
      <c r="AN43" s="190">
        <v>1003</v>
      </c>
      <c r="AO43" s="190">
        <v>1021</v>
      </c>
      <c r="AP43" s="190">
        <v>1968</v>
      </c>
      <c r="AQ43" s="190">
        <v>29358</v>
      </c>
      <c r="AR43" s="190">
        <v>31326</v>
      </c>
      <c r="AS43" s="190">
        <v>1955</v>
      </c>
      <c r="AT43" s="190">
        <v>29278</v>
      </c>
      <c r="AU43" s="190">
        <v>31233</v>
      </c>
      <c r="AV43" s="190">
        <v>13</v>
      </c>
      <c r="AW43" s="190">
        <v>80</v>
      </c>
      <c r="AX43" s="190">
        <v>93</v>
      </c>
      <c r="AY43" s="190">
        <v>149</v>
      </c>
      <c r="AZ43" s="190">
        <v>2542</v>
      </c>
      <c r="BA43" s="190">
        <v>2691</v>
      </c>
      <c r="BB43" s="190">
        <v>63</v>
      </c>
      <c r="BC43" s="190">
        <v>1</v>
      </c>
      <c r="BD43" s="190">
        <v>0</v>
      </c>
      <c r="BE43" s="190">
        <v>1384</v>
      </c>
      <c r="BF43" s="190">
        <v>31</v>
      </c>
      <c r="BG43" s="190">
        <v>38</v>
      </c>
      <c r="BH43" s="190">
        <v>64</v>
      </c>
      <c r="BI43" s="190">
        <v>1453</v>
      </c>
      <c r="BJ43" s="190">
        <v>1517</v>
      </c>
      <c r="BK43" s="190">
        <v>-15</v>
      </c>
      <c r="BL43" s="190">
        <v>15</v>
      </c>
      <c r="BM43" s="190">
        <v>0</v>
      </c>
      <c r="BN43" s="190">
        <v>2</v>
      </c>
      <c r="BO43" s="190">
        <v>49</v>
      </c>
      <c r="BP43" s="190">
        <v>51</v>
      </c>
      <c r="BQ43" s="190">
        <v>19</v>
      </c>
      <c r="BR43" s="190">
        <v>240</v>
      </c>
      <c r="BS43" s="190">
        <v>259</v>
      </c>
      <c r="BT43" s="190">
        <v>79</v>
      </c>
      <c r="BU43" s="190">
        <v>785</v>
      </c>
      <c r="BV43" s="190">
        <v>864</v>
      </c>
      <c r="BW43" s="190">
        <v>2117</v>
      </c>
      <c r="BX43" s="190">
        <v>31900</v>
      </c>
      <c r="BY43" s="190">
        <v>34017</v>
      </c>
      <c r="BZ43" s="190">
        <v>1989</v>
      </c>
      <c r="CA43" s="190">
        <v>30310</v>
      </c>
      <c r="CB43" s="190">
        <v>32299</v>
      </c>
      <c r="CC43" s="190">
        <v>49912</v>
      </c>
      <c r="CD43" s="190">
        <v>95</v>
      </c>
      <c r="CE43" s="190">
        <v>1071</v>
      </c>
      <c r="CF43" s="190">
        <v>121</v>
      </c>
      <c r="CG43" s="190">
        <v>732</v>
      </c>
      <c r="CH43" s="190">
        <v>853</v>
      </c>
      <c r="CI43" s="190">
        <v>1136</v>
      </c>
      <c r="CJ43" s="190">
        <v>53</v>
      </c>
      <c r="CK43" s="190">
        <v>7</v>
      </c>
      <c r="CL43" s="190">
        <v>858</v>
      </c>
      <c r="CM43" s="190">
        <v>865</v>
      </c>
      <c r="CN43" s="190">
        <v>155</v>
      </c>
      <c r="CO43" s="190">
        <v>2509</v>
      </c>
      <c r="CP43" s="190">
        <v>2664</v>
      </c>
      <c r="CQ43" s="190">
        <v>0</v>
      </c>
      <c r="CR43" s="190">
        <v>0</v>
      </c>
      <c r="CS43" s="190">
        <v>0</v>
      </c>
      <c r="CT43" s="190">
        <v>1962</v>
      </c>
      <c r="CU43" s="190">
        <v>29391</v>
      </c>
      <c r="CV43" s="190">
        <v>31353</v>
      </c>
      <c r="CW43" s="190">
        <v>131</v>
      </c>
      <c r="CX43" s="190">
        <v>1282</v>
      </c>
      <c r="CY43" s="190">
        <v>1413</v>
      </c>
      <c r="CZ43" s="190">
        <v>122</v>
      </c>
      <c r="DA43" s="190">
        <v>7</v>
      </c>
      <c r="DB43" s="190">
        <v>0</v>
      </c>
      <c r="DC43" s="190">
        <v>1194</v>
      </c>
      <c r="DD43" s="190">
        <v>39</v>
      </c>
      <c r="DE43" s="190">
        <v>19</v>
      </c>
      <c r="DF43" s="190">
        <v>129</v>
      </c>
      <c r="DG43" s="190">
        <v>1252</v>
      </c>
      <c r="DH43" s="190">
        <v>1381</v>
      </c>
      <c r="DI43" s="190">
        <v>2</v>
      </c>
      <c r="DJ43" s="190">
        <v>0</v>
      </c>
      <c r="DK43" s="190">
        <v>0</v>
      </c>
      <c r="DL43" s="190">
        <v>29</v>
      </c>
      <c r="DM43" s="190">
        <v>1</v>
      </c>
      <c r="DN43" s="190">
        <v>0</v>
      </c>
      <c r="DO43" s="190">
        <v>2</v>
      </c>
      <c r="DP43" s="190">
        <v>30</v>
      </c>
      <c r="DQ43" s="190">
        <v>32</v>
      </c>
      <c r="DR43" s="190">
        <v>0</v>
      </c>
      <c r="DS43" s="190">
        <v>1</v>
      </c>
      <c r="DT43" s="191">
        <v>1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3072</v>
      </c>
      <c r="C44" s="190">
        <v>1099</v>
      </c>
      <c r="D44" s="190">
        <v>3067</v>
      </c>
      <c r="E44" s="190">
        <v>2011</v>
      </c>
      <c r="F44" s="190">
        <v>2</v>
      </c>
      <c r="G44" s="190">
        <v>30</v>
      </c>
      <c r="H44" s="190">
        <v>32</v>
      </c>
      <c r="I44" s="190">
        <v>0</v>
      </c>
      <c r="J44" s="190">
        <v>884</v>
      </c>
      <c r="K44" s="190">
        <v>884</v>
      </c>
      <c r="L44" s="190">
        <v>0</v>
      </c>
      <c r="M44" s="190">
        <v>432</v>
      </c>
      <c r="N44" s="190">
        <v>432</v>
      </c>
      <c r="O44" s="190">
        <v>0</v>
      </c>
      <c r="P44" s="190">
        <v>452</v>
      </c>
      <c r="Q44" s="190">
        <v>452</v>
      </c>
      <c r="R44" s="190">
        <v>0</v>
      </c>
      <c r="S44" s="190">
        <v>16</v>
      </c>
      <c r="T44" s="190">
        <v>16</v>
      </c>
      <c r="U44" s="190">
        <v>0</v>
      </c>
      <c r="V44" s="190">
        <v>172</v>
      </c>
      <c r="W44" s="190">
        <v>172</v>
      </c>
      <c r="X44" s="190">
        <v>104</v>
      </c>
      <c r="Y44" s="190">
        <v>2962</v>
      </c>
      <c r="Z44" s="190">
        <v>3066</v>
      </c>
      <c r="AA44" s="190">
        <v>63</v>
      </c>
      <c r="AB44" s="190">
        <v>1200</v>
      </c>
      <c r="AC44" s="190">
        <v>1263</v>
      </c>
      <c r="AD44" s="190">
        <v>56</v>
      </c>
      <c r="AE44" s="190">
        <v>1114</v>
      </c>
      <c r="AF44" s="190">
        <v>1170</v>
      </c>
      <c r="AG44" s="190">
        <v>2</v>
      </c>
      <c r="AH44" s="190">
        <v>47</v>
      </c>
      <c r="AI44" s="190">
        <v>49</v>
      </c>
      <c r="AJ44" s="190">
        <v>5</v>
      </c>
      <c r="AK44" s="190">
        <v>39</v>
      </c>
      <c r="AL44" s="190">
        <v>44</v>
      </c>
      <c r="AM44" s="190">
        <v>41</v>
      </c>
      <c r="AN44" s="190">
        <v>1762</v>
      </c>
      <c r="AO44" s="190">
        <v>1803</v>
      </c>
      <c r="AP44" s="190">
        <v>6426</v>
      </c>
      <c r="AQ44" s="190">
        <v>39292</v>
      </c>
      <c r="AR44" s="190">
        <v>45718</v>
      </c>
      <c r="AS44" s="190">
        <v>6426</v>
      </c>
      <c r="AT44" s="190">
        <v>39293</v>
      </c>
      <c r="AU44" s="190">
        <v>45719</v>
      </c>
      <c r="AV44" s="190">
        <v>0</v>
      </c>
      <c r="AW44" s="190">
        <v>-1</v>
      </c>
      <c r="AX44" s="190">
        <v>-1</v>
      </c>
      <c r="AY44" s="190">
        <v>244</v>
      </c>
      <c r="AZ44" s="190">
        <v>3371</v>
      </c>
      <c r="BA44" s="190">
        <v>3615</v>
      </c>
      <c r="BB44" s="190">
        <v>131</v>
      </c>
      <c r="BC44" s="190">
        <v>1</v>
      </c>
      <c r="BD44" s="190">
        <v>1</v>
      </c>
      <c r="BE44" s="190">
        <v>1844</v>
      </c>
      <c r="BF44" s="190">
        <v>20</v>
      </c>
      <c r="BG44" s="190">
        <v>14</v>
      </c>
      <c r="BH44" s="190">
        <v>133</v>
      </c>
      <c r="BI44" s="190">
        <v>1878</v>
      </c>
      <c r="BJ44" s="190">
        <v>2011</v>
      </c>
      <c r="BK44" s="190">
        <v>-94</v>
      </c>
      <c r="BL44" s="190">
        <v>94</v>
      </c>
      <c r="BM44" s="190">
        <v>0</v>
      </c>
      <c r="BN44" s="190">
        <v>28</v>
      </c>
      <c r="BO44" s="190">
        <v>107</v>
      </c>
      <c r="BP44" s="190">
        <v>135</v>
      </c>
      <c r="BQ44" s="190">
        <v>44</v>
      </c>
      <c r="BR44" s="190">
        <v>534</v>
      </c>
      <c r="BS44" s="190">
        <v>578</v>
      </c>
      <c r="BT44" s="190">
        <v>133</v>
      </c>
      <c r="BU44" s="190">
        <v>758</v>
      </c>
      <c r="BV44" s="190">
        <v>891</v>
      </c>
      <c r="BW44" s="190">
        <v>6670</v>
      </c>
      <c r="BX44" s="190">
        <v>42663</v>
      </c>
      <c r="BY44" s="190">
        <v>49333</v>
      </c>
      <c r="BZ44" s="190">
        <v>6616</v>
      </c>
      <c r="CA44" s="190">
        <v>42072</v>
      </c>
      <c r="CB44" s="190">
        <v>48688</v>
      </c>
      <c r="CC44" s="190">
        <v>108514</v>
      </c>
      <c r="CD44" s="190">
        <v>38</v>
      </c>
      <c r="CE44" s="190">
        <v>559</v>
      </c>
      <c r="CF44" s="190">
        <v>53</v>
      </c>
      <c r="CG44" s="190">
        <v>428</v>
      </c>
      <c r="CH44" s="190">
        <v>481</v>
      </c>
      <c r="CI44" s="190">
        <v>209</v>
      </c>
      <c r="CJ44" s="190">
        <v>28</v>
      </c>
      <c r="CK44" s="190">
        <v>1</v>
      </c>
      <c r="CL44" s="190">
        <v>163</v>
      </c>
      <c r="CM44" s="190">
        <v>164</v>
      </c>
      <c r="CN44" s="190">
        <v>346</v>
      </c>
      <c r="CO44" s="190">
        <v>3436</v>
      </c>
      <c r="CP44" s="190">
        <v>3782</v>
      </c>
      <c r="CQ44" s="190">
        <v>0</v>
      </c>
      <c r="CR44" s="190">
        <v>0</v>
      </c>
      <c r="CS44" s="190">
        <v>0</v>
      </c>
      <c r="CT44" s="190">
        <v>6324</v>
      </c>
      <c r="CU44" s="190">
        <v>39227</v>
      </c>
      <c r="CV44" s="190">
        <v>45551</v>
      </c>
      <c r="CW44" s="190">
        <v>457</v>
      </c>
      <c r="CX44" s="190">
        <v>2073</v>
      </c>
      <c r="CY44" s="190">
        <v>2530</v>
      </c>
      <c r="CZ44" s="190">
        <v>454</v>
      </c>
      <c r="DA44" s="190">
        <v>2</v>
      </c>
      <c r="DB44" s="190">
        <v>0</v>
      </c>
      <c r="DC44" s="190">
        <v>2021</v>
      </c>
      <c r="DD44" s="190">
        <v>17</v>
      </c>
      <c r="DE44" s="190">
        <v>8</v>
      </c>
      <c r="DF44" s="190">
        <v>456</v>
      </c>
      <c r="DG44" s="190">
        <v>2046</v>
      </c>
      <c r="DH44" s="190">
        <v>2502</v>
      </c>
      <c r="DI44" s="190">
        <v>0</v>
      </c>
      <c r="DJ44" s="190">
        <v>1</v>
      </c>
      <c r="DK44" s="190">
        <v>0</v>
      </c>
      <c r="DL44" s="190">
        <v>26</v>
      </c>
      <c r="DM44" s="190">
        <v>1</v>
      </c>
      <c r="DN44" s="190">
        <v>0</v>
      </c>
      <c r="DO44" s="190">
        <v>1</v>
      </c>
      <c r="DP44" s="190">
        <v>27</v>
      </c>
      <c r="DQ44" s="190">
        <v>28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794</v>
      </c>
      <c r="C45" s="190">
        <v>199</v>
      </c>
      <c r="D45" s="190">
        <v>723</v>
      </c>
      <c r="E45" s="190">
        <v>430</v>
      </c>
      <c r="F45" s="190">
        <v>0</v>
      </c>
      <c r="G45" s="190">
        <v>10</v>
      </c>
      <c r="H45" s="190">
        <v>10</v>
      </c>
      <c r="I45" s="190">
        <v>0</v>
      </c>
      <c r="J45" s="190">
        <v>180</v>
      </c>
      <c r="K45" s="190">
        <v>180</v>
      </c>
      <c r="L45" s="190">
        <v>0</v>
      </c>
      <c r="M45" s="190">
        <v>62</v>
      </c>
      <c r="N45" s="190">
        <v>62</v>
      </c>
      <c r="O45" s="190">
        <v>0</v>
      </c>
      <c r="P45" s="190">
        <v>118</v>
      </c>
      <c r="Q45" s="190">
        <v>118</v>
      </c>
      <c r="R45" s="190">
        <v>0</v>
      </c>
      <c r="S45" s="190">
        <v>7</v>
      </c>
      <c r="T45" s="190">
        <v>7</v>
      </c>
      <c r="U45" s="190">
        <v>0</v>
      </c>
      <c r="V45" s="190">
        <v>113</v>
      </c>
      <c r="W45" s="190">
        <v>113</v>
      </c>
      <c r="X45" s="190">
        <v>15</v>
      </c>
      <c r="Y45" s="190">
        <v>365</v>
      </c>
      <c r="Z45" s="190">
        <v>380</v>
      </c>
      <c r="AA45" s="190">
        <v>12</v>
      </c>
      <c r="AB45" s="190">
        <v>244</v>
      </c>
      <c r="AC45" s="190">
        <v>256</v>
      </c>
      <c r="AD45" s="190">
        <v>11</v>
      </c>
      <c r="AE45" s="190">
        <v>238</v>
      </c>
      <c r="AF45" s="190">
        <v>249</v>
      </c>
      <c r="AG45" s="190">
        <v>1</v>
      </c>
      <c r="AH45" s="190">
        <v>5</v>
      </c>
      <c r="AI45" s="190">
        <v>6</v>
      </c>
      <c r="AJ45" s="190">
        <v>0</v>
      </c>
      <c r="AK45" s="190">
        <v>1</v>
      </c>
      <c r="AL45" s="190">
        <v>1</v>
      </c>
      <c r="AM45" s="190">
        <v>3</v>
      </c>
      <c r="AN45" s="190">
        <v>121</v>
      </c>
      <c r="AO45" s="190">
        <v>124</v>
      </c>
      <c r="AP45" s="190">
        <v>814</v>
      </c>
      <c r="AQ45" s="190">
        <v>7973</v>
      </c>
      <c r="AR45" s="190">
        <v>8787</v>
      </c>
      <c r="AS45" s="190">
        <v>814</v>
      </c>
      <c r="AT45" s="190">
        <v>7973</v>
      </c>
      <c r="AU45" s="190">
        <v>8787</v>
      </c>
      <c r="AV45" s="190">
        <v>0</v>
      </c>
      <c r="AW45" s="190">
        <v>0</v>
      </c>
      <c r="AX45" s="190">
        <v>0</v>
      </c>
      <c r="AY45" s="190">
        <v>38</v>
      </c>
      <c r="AZ45" s="190">
        <v>846</v>
      </c>
      <c r="BA45" s="190">
        <v>884</v>
      </c>
      <c r="BB45" s="190">
        <v>16</v>
      </c>
      <c r="BC45" s="190">
        <v>0</v>
      </c>
      <c r="BD45" s="190">
        <v>0</v>
      </c>
      <c r="BE45" s="190">
        <v>412</v>
      </c>
      <c r="BF45" s="190">
        <v>2</v>
      </c>
      <c r="BG45" s="190">
        <v>0</v>
      </c>
      <c r="BH45" s="190">
        <v>16</v>
      </c>
      <c r="BI45" s="190">
        <v>414</v>
      </c>
      <c r="BJ45" s="190">
        <v>430</v>
      </c>
      <c r="BK45" s="190">
        <v>-19</v>
      </c>
      <c r="BL45" s="190">
        <v>19</v>
      </c>
      <c r="BM45" s="190">
        <v>0</v>
      </c>
      <c r="BN45" s="190">
        <v>4</v>
      </c>
      <c r="BO45" s="190">
        <v>21</v>
      </c>
      <c r="BP45" s="190">
        <v>25</v>
      </c>
      <c r="BQ45" s="190">
        <v>5</v>
      </c>
      <c r="BR45" s="190">
        <v>106</v>
      </c>
      <c r="BS45" s="190">
        <v>111</v>
      </c>
      <c r="BT45" s="190">
        <v>32</v>
      </c>
      <c r="BU45" s="190">
        <v>286</v>
      </c>
      <c r="BV45" s="190">
        <v>318</v>
      </c>
      <c r="BW45" s="190">
        <v>852</v>
      </c>
      <c r="BX45" s="190">
        <v>8819</v>
      </c>
      <c r="BY45" s="190">
        <v>9671</v>
      </c>
      <c r="BZ45" s="190">
        <v>847</v>
      </c>
      <c r="CA45" s="190">
        <v>8781</v>
      </c>
      <c r="CB45" s="190">
        <v>9628</v>
      </c>
      <c r="CC45" s="190">
        <v>17166</v>
      </c>
      <c r="CD45" s="190">
        <v>0</v>
      </c>
      <c r="CE45" s="190">
        <v>40</v>
      </c>
      <c r="CF45" s="190">
        <v>5</v>
      </c>
      <c r="CG45" s="190">
        <v>30</v>
      </c>
      <c r="CH45" s="190">
        <v>35</v>
      </c>
      <c r="CI45" s="190">
        <v>7</v>
      </c>
      <c r="CJ45" s="190">
        <v>4</v>
      </c>
      <c r="CK45" s="190">
        <v>0</v>
      </c>
      <c r="CL45" s="190">
        <v>8</v>
      </c>
      <c r="CM45" s="190">
        <v>8</v>
      </c>
      <c r="CN45" s="190">
        <v>59</v>
      </c>
      <c r="CO45" s="190">
        <v>851</v>
      </c>
      <c r="CP45" s="190">
        <v>910</v>
      </c>
      <c r="CQ45" s="190">
        <v>0</v>
      </c>
      <c r="CR45" s="190">
        <v>0</v>
      </c>
      <c r="CS45" s="190">
        <v>0</v>
      </c>
      <c r="CT45" s="190">
        <v>793</v>
      </c>
      <c r="CU45" s="190">
        <v>7968</v>
      </c>
      <c r="CV45" s="190">
        <v>8761</v>
      </c>
      <c r="CW45" s="190">
        <v>71</v>
      </c>
      <c r="CX45" s="190">
        <v>405</v>
      </c>
      <c r="CY45" s="190">
        <v>476</v>
      </c>
      <c r="CZ45" s="190">
        <v>69</v>
      </c>
      <c r="DA45" s="190">
        <v>1</v>
      </c>
      <c r="DB45" s="190">
        <v>0</v>
      </c>
      <c r="DC45" s="190">
        <v>367</v>
      </c>
      <c r="DD45" s="190">
        <v>1</v>
      </c>
      <c r="DE45" s="190">
        <v>0</v>
      </c>
      <c r="DF45" s="190">
        <v>70</v>
      </c>
      <c r="DG45" s="190">
        <v>368</v>
      </c>
      <c r="DH45" s="190">
        <v>438</v>
      </c>
      <c r="DI45" s="190">
        <v>1</v>
      </c>
      <c r="DJ45" s="190">
        <v>0</v>
      </c>
      <c r="DK45" s="190">
        <v>0</v>
      </c>
      <c r="DL45" s="190">
        <v>36</v>
      </c>
      <c r="DM45" s="190">
        <v>1</v>
      </c>
      <c r="DN45" s="190">
        <v>0</v>
      </c>
      <c r="DO45" s="190">
        <v>1</v>
      </c>
      <c r="DP45" s="190">
        <v>37</v>
      </c>
      <c r="DQ45" s="190">
        <v>38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 ht="15.75">
      <c r="A46" s="189" t="s">
        <v>370</v>
      </c>
      <c r="B46" s="190">
        <v>1077</v>
      </c>
      <c r="C46" s="190">
        <v>216</v>
      </c>
      <c r="D46" s="190">
        <v>1057</v>
      </c>
      <c r="E46" s="190">
        <v>525</v>
      </c>
      <c r="F46" s="190">
        <v>0</v>
      </c>
      <c r="G46" s="190">
        <v>13</v>
      </c>
      <c r="H46" s="190">
        <v>13</v>
      </c>
      <c r="I46" s="190">
        <v>40</v>
      </c>
      <c r="J46" s="190">
        <v>420</v>
      </c>
      <c r="K46" s="190">
        <v>460</v>
      </c>
      <c r="L46" s="190">
        <v>40</v>
      </c>
      <c r="M46" s="190">
        <v>420</v>
      </c>
      <c r="N46" s="190">
        <v>460</v>
      </c>
      <c r="O46" s="190">
        <v>0</v>
      </c>
      <c r="P46" s="190">
        <v>0</v>
      </c>
      <c r="Q46" s="190">
        <v>0</v>
      </c>
      <c r="R46" s="190">
        <v>0</v>
      </c>
      <c r="S46" s="190">
        <v>22</v>
      </c>
      <c r="T46" s="190">
        <v>22</v>
      </c>
      <c r="U46" s="190">
        <v>0</v>
      </c>
      <c r="V46" s="190">
        <v>72</v>
      </c>
      <c r="W46" s="190">
        <v>72</v>
      </c>
      <c r="X46" s="190">
        <v>14</v>
      </c>
      <c r="Y46" s="190">
        <v>1043</v>
      </c>
      <c r="Z46" s="190">
        <v>1057</v>
      </c>
      <c r="AA46" s="190">
        <v>5</v>
      </c>
      <c r="AB46" s="190">
        <v>311</v>
      </c>
      <c r="AC46" s="190">
        <v>316</v>
      </c>
      <c r="AD46" s="190">
        <v>5</v>
      </c>
      <c r="AE46" s="190">
        <v>289</v>
      </c>
      <c r="AF46" s="190">
        <v>294</v>
      </c>
      <c r="AG46" s="190">
        <v>0</v>
      </c>
      <c r="AH46" s="190">
        <v>16</v>
      </c>
      <c r="AI46" s="190">
        <v>16</v>
      </c>
      <c r="AJ46" s="190">
        <v>0</v>
      </c>
      <c r="AK46" s="190">
        <v>6</v>
      </c>
      <c r="AL46" s="190">
        <v>6</v>
      </c>
      <c r="AM46" s="190">
        <v>9</v>
      </c>
      <c r="AN46" s="190">
        <v>732</v>
      </c>
      <c r="AO46" s="190">
        <v>741</v>
      </c>
      <c r="AP46" s="190">
        <v>659</v>
      </c>
      <c r="AQ46" s="190">
        <v>11989</v>
      </c>
      <c r="AR46" s="190">
        <v>12648</v>
      </c>
      <c r="AS46" s="190">
        <v>680</v>
      </c>
      <c r="AT46" s="190">
        <v>12065</v>
      </c>
      <c r="AU46" s="190">
        <v>12745</v>
      </c>
      <c r="AV46" s="190">
        <v>-21</v>
      </c>
      <c r="AW46" s="190">
        <v>-76</v>
      </c>
      <c r="AX46" s="190">
        <v>-97</v>
      </c>
      <c r="AY46" s="190">
        <v>50</v>
      </c>
      <c r="AZ46" s="190">
        <v>1012</v>
      </c>
      <c r="BA46" s="190">
        <v>1062</v>
      </c>
      <c r="BB46" s="190">
        <v>14</v>
      </c>
      <c r="BC46" s="190">
        <v>0</v>
      </c>
      <c r="BD46" s="190">
        <v>0</v>
      </c>
      <c r="BE46" s="190">
        <v>487</v>
      </c>
      <c r="BF46" s="190">
        <v>12</v>
      </c>
      <c r="BG46" s="190">
        <v>12</v>
      </c>
      <c r="BH46" s="190">
        <v>14</v>
      </c>
      <c r="BI46" s="190">
        <v>511</v>
      </c>
      <c r="BJ46" s="190">
        <v>525</v>
      </c>
      <c r="BK46" s="190">
        <v>-6</v>
      </c>
      <c r="BL46" s="190">
        <v>6</v>
      </c>
      <c r="BM46" s="190">
        <v>0</v>
      </c>
      <c r="BN46" s="190">
        <v>27</v>
      </c>
      <c r="BO46" s="190">
        <v>27</v>
      </c>
      <c r="BP46" s="190">
        <v>54</v>
      </c>
      <c r="BQ46" s="190">
        <v>0</v>
      </c>
      <c r="BR46" s="190">
        <v>151</v>
      </c>
      <c r="BS46" s="190">
        <v>151</v>
      </c>
      <c r="BT46" s="190">
        <v>15</v>
      </c>
      <c r="BU46" s="190">
        <v>317</v>
      </c>
      <c r="BV46" s="190">
        <v>332</v>
      </c>
      <c r="BW46" s="190">
        <v>709</v>
      </c>
      <c r="BX46" s="190">
        <v>13001</v>
      </c>
      <c r="BY46" s="190">
        <v>13710</v>
      </c>
      <c r="BZ46" s="190">
        <v>692</v>
      </c>
      <c r="CA46" s="190">
        <v>12462</v>
      </c>
      <c r="CB46" s="190">
        <v>13154</v>
      </c>
      <c r="CC46" s="190">
        <v>25776</v>
      </c>
      <c r="CD46" s="190">
        <v>36</v>
      </c>
      <c r="CE46" s="190">
        <v>505</v>
      </c>
      <c r="CF46" s="190">
        <v>17</v>
      </c>
      <c r="CG46" s="190">
        <v>397</v>
      </c>
      <c r="CH46" s="190">
        <v>414</v>
      </c>
      <c r="CI46" s="190">
        <v>179</v>
      </c>
      <c r="CJ46" s="190">
        <v>10</v>
      </c>
      <c r="CK46" s="190">
        <v>0</v>
      </c>
      <c r="CL46" s="190">
        <v>142</v>
      </c>
      <c r="CM46" s="190">
        <v>142</v>
      </c>
      <c r="CN46" s="190">
        <v>49</v>
      </c>
      <c r="CO46" s="190">
        <v>1038</v>
      </c>
      <c r="CP46" s="190">
        <v>1087</v>
      </c>
      <c r="CQ46" s="190">
        <v>0</v>
      </c>
      <c r="CR46" s="190">
        <v>0</v>
      </c>
      <c r="CS46" s="190">
        <v>0</v>
      </c>
      <c r="CT46" s="190">
        <v>660</v>
      </c>
      <c r="CU46" s="190">
        <v>11963</v>
      </c>
      <c r="CV46" s="190">
        <v>12623</v>
      </c>
      <c r="CW46" s="190">
        <v>48</v>
      </c>
      <c r="CX46" s="190">
        <v>620</v>
      </c>
      <c r="CY46" s="190">
        <v>668</v>
      </c>
      <c r="CZ46" s="190">
        <v>47</v>
      </c>
      <c r="DA46" s="190">
        <v>1</v>
      </c>
      <c r="DB46" s="190">
        <v>0</v>
      </c>
      <c r="DC46" s="190">
        <v>578</v>
      </c>
      <c r="DD46" s="190">
        <v>15</v>
      </c>
      <c r="DE46" s="190">
        <v>6</v>
      </c>
      <c r="DF46" s="190">
        <v>48</v>
      </c>
      <c r="DG46" s="190">
        <v>599</v>
      </c>
      <c r="DH46" s="190">
        <v>647</v>
      </c>
      <c r="DI46" s="190">
        <v>0</v>
      </c>
      <c r="DJ46" s="190">
        <v>0</v>
      </c>
      <c r="DK46" s="190">
        <v>0</v>
      </c>
      <c r="DL46" s="190">
        <v>19</v>
      </c>
      <c r="DM46" s="190">
        <v>1</v>
      </c>
      <c r="DN46" s="190">
        <v>1</v>
      </c>
      <c r="DO46" s="190">
        <v>0</v>
      </c>
      <c r="DP46" s="190">
        <v>21</v>
      </c>
      <c r="DQ46" s="190">
        <v>21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1365</v>
      </c>
      <c r="C47" s="190">
        <v>370</v>
      </c>
      <c r="D47" s="190">
        <v>1238</v>
      </c>
      <c r="E47" s="190">
        <v>808</v>
      </c>
      <c r="F47" s="190">
        <v>2</v>
      </c>
      <c r="G47" s="190">
        <v>18</v>
      </c>
      <c r="H47" s="190">
        <v>20</v>
      </c>
      <c r="I47" s="190">
        <v>0</v>
      </c>
      <c r="J47" s="190">
        <v>361</v>
      </c>
      <c r="K47" s="190">
        <v>361</v>
      </c>
      <c r="L47" s="190">
        <v>0</v>
      </c>
      <c r="M47" s="190">
        <v>153</v>
      </c>
      <c r="N47" s="190">
        <v>153</v>
      </c>
      <c r="O47" s="190">
        <v>0</v>
      </c>
      <c r="P47" s="190">
        <v>208</v>
      </c>
      <c r="Q47" s="190">
        <v>208</v>
      </c>
      <c r="R47" s="190">
        <v>0</v>
      </c>
      <c r="S47" s="190">
        <v>42</v>
      </c>
      <c r="T47" s="190">
        <v>42</v>
      </c>
      <c r="U47" s="190">
        <v>0</v>
      </c>
      <c r="V47" s="190">
        <v>69</v>
      </c>
      <c r="W47" s="190">
        <v>69</v>
      </c>
      <c r="X47" s="190">
        <v>24</v>
      </c>
      <c r="Y47" s="190">
        <v>441</v>
      </c>
      <c r="Z47" s="190">
        <v>465</v>
      </c>
      <c r="AA47" s="190">
        <v>13</v>
      </c>
      <c r="AB47" s="190">
        <v>298</v>
      </c>
      <c r="AC47" s="190">
        <v>311</v>
      </c>
      <c r="AD47" s="190">
        <v>12</v>
      </c>
      <c r="AE47" s="190">
        <v>282</v>
      </c>
      <c r="AF47" s="190">
        <v>294</v>
      </c>
      <c r="AG47" s="190">
        <v>1</v>
      </c>
      <c r="AH47" s="190">
        <v>14</v>
      </c>
      <c r="AI47" s="190">
        <v>15</v>
      </c>
      <c r="AJ47" s="190">
        <v>0</v>
      </c>
      <c r="AK47" s="190">
        <v>2</v>
      </c>
      <c r="AL47" s="190">
        <v>2</v>
      </c>
      <c r="AM47" s="190">
        <v>11</v>
      </c>
      <c r="AN47" s="190">
        <v>143</v>
      </c>
      <c r="AO47" s="190">
        <v>154</v>
      </c>
      <c r="AP47" s="190">
        <v>2203</v>
      </c>
      <c r="AQ47" s="190">
        <v>14943</v>
      </c>
      <c r="AR47" s="190">
        <v>17146</v>
      </c>
      <c r="AS47" s="190">
        <v>2279</v>
      </c>
      <c r="AT47" s="190">
        <v>14762</v>
      </c>
      <c r="AU47" s="190">
        <v>17041</v>
      </c>
      <c r="AV47" s="190">
        <v>-76</v>
      </c>
      <c r="AW47" s="190">
        <v>181</v>
      </c>
      <c r="AX47" s="190">
        <v>105</v>
      </c>
      <c r="AY47" s="190">
        <v>-6</v>
      </c>
      <c r="AZ47" s="190">
        <v>1555</v>
      </c>
      <c r="BA47" s="190">
        <v>1549</v>
      </c>
      <c r="BB47" s="190">
        <v>50</v>
      </c>
      <c r="BC47" s="190">
        <v>1</v>
      </c>
      <c r="BD47" s="190">
        <v>0</v>
      </c>
      <c r="BE47" s="190">
        <v>749</v>
      </c>
      <c r="BF47" s="190">
        <v>7</v>
      </c>
      <c r="BG47" s="190">
        <v>1</v>
      </c>
      <c r="BH47" s="190">
        <v>51</v>
      </c>
      <c r="BI47" s="190">
        <v>757</v>
      </c>
      <c r="BJ47" s="190">
        <v>808</v>
      </c>
      <c r="BK47" s="190">
        <v>-149</v>
      </c>
      <c r="BL47" s="190">
        <v>149</v>
      </c>
      <c r="BM47" s="190">
        <v>0</v>
      </c>
      <c r="BN47" s="190">
        <v>2</v>
      </c>
      <c r="BO47" s="190">
        <v>25</v>
      </c>
      <c r="BP47" s="190">
        <v>27</v>
      </c>
      <c r="BQ47" s="190">
        <v>17</v>
      </c>
      <c r="BR47" s="190">
        <v>160</v>
      </c>
      <c r="BS47" s="190">
        <v>177</v>
      </c>
      <c r="BT47" s="190">
        <v>73</v>
      </c>
      <c r="BU47" s="190">
        <v>464</v>
      </c>
      <c r="BV47" s="190">
        <v>537</v>
      </c>
      <c r="BW47" s="190">
        <v>2197</v>
      </c>
      <c r="BX47" s="190">
        <v>16498</v>
      </c>
      <c r="BY47" s="190">
        <v>18695</v>
      </c>
      <c r="BZ47" s="190">
        <v>2181</v>
      </c>
      <c r="CA47" s="190">
        <v>16304</v>
      </c>
      <c r="CB47" s="190">
        <v>18485</v>
      </c>
      <c r="CC47" s="190">
        <v>38563</v>
      </c>
      <c r="CD47" s="190">
        <v>18</v>
      </c>
      <c r="CE47" s="190">
        <v>151</v>
      </c>
      <c r="CF47" s="190">
        <v>16</v>
      </c>
      <c r="CG47" s="190">
        <v>136</v>
      </c>
      <c r="CH47" s="190">
        <v>152</v>
      </c>
      <c r="CI47" s="190">
        <v>0</v>
      </c>
      <c r="CJ47" s="190">
        <v>68</v>
      </c>
      <c r="CK47" s="190">
        <v>0</v>
      </c>
      <c r="CL47" s="190">
        <v>58</v>
      </c>
      <c r="CM47" s="190">
        <v>58</v>
      </c>
      <c r="CN47" s="190">
        <v>163</v>
      </c>
      <c r="CO47" s="190">
        <v>1694</v>
      </c>
      <c r="CP47" s="190">
        <v>1857</v>
      </c>
      <c r="CQ47" s="190">
        <v>0</v>
      </c>
      <c r="CR47" s="190">
        <v>0</v>
      </c>
      <c r="CS47" s="190">
        <v>0</v>
      </c>
      <c r="CT47" s="190">
        <v>2034</v>
      </c>
      <c r="CU47" s="190">
        <v>14804</v>
      </c>
      <c r="CV47" s="190">
        <v>16838</v>
      </c>
      <c r="CW47" s="190">
        <v>110</v>
      </c>
      <c r="CX47" s="190">
        <v>692</v>
      </c>
      <c r="CY47" s="190">
        <v>802</v>
      </c>
      <c r="CZ47" s="190">
        <v>107</v>
      </c>
      <c r="DA47" s="190">
        <v>2</v>
      </c>
      <c r="DB47" s="190">
        <v>0</v>
      </c>
      <c r="DC47" s="190">
        <v>659</v>
      </c>
      <c r="DD47" s="190">
        <v>3</v>
      </c>
      <c r="DE47" s="190">
        <v>2</v>
      </c>
      <c r="DF47" s="190">
        <v>109</v>
      </c>
      <c r="DG47" s="190">
        <v>664</v>
      </c>
      <c r="DH47" s="190">
        <v>773</v>
      </c>
      <c r="DI47" s="190">
        <v>1</v>
      </c>
      <c r="DJ47" s="190">
        <v>0</v>
      </c>
      <c r="DK47" s="190">
        <v>0</v>
      </c>
      <c r="DL47" s="190">
        <v>28</v>
      </c>
      <c r="DM47" s="190">
        <v>0</v>
      </c>
      <c r="DN47" s="190">
        <v>0</v>
      </c>
      <c r="DO47" s="190">
        <v>1</v>
      </c>
      <c r="DP47" s="190">
        <v>28</v>
      </c>
      <c r="DQ47" s="190">
        <v>29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2854</v>
      </c>
      <c r="C48" s="190">
        <v>613</v>
      </c>
      <c r="D48" s="190">
        <v>2703</v>
      </c>
      <c r="E48" s="190">
        <v>1637</v>
      </c>
      <c r="F48" s="190">
        <v>0</v>
      </c>
      <c r="G48" s="190">
        <v>12</v>
      </c>
      <c r="H48" s="190">
        <v>12</v>
      </c>
      <c r="I48" s="190">
        <v>1</v>
      </c>
      <c r="J48" s="190">
        <v>787</v>
      </c>
      <c r="K48" s="190">
        <v>788</v>
      </c>
      <c r="L48" s="190">
        <v>1</v>
      </c>
      <c r="M48" s="190">
        <v>288</v>
      </c>
      <c r="N48" s="190">
        <v>289</v>
      </c>
      <c r="O48" s="190">
        <v>0</v>
      </c>
      <c r="P48" s="190">
        <v>499</v>
      </c>
      <c r="Q48" s="190">
        <v>499</v>
      </c>
      <c r="R48" s="190">
        <v>0</v>
      </c>
      <c r="S48" s="190">
        <v>21</v>
      </c>
      <c r="T48" s="190">
        <v>21</v>
      </c>
      <c r="U48" s="190">
        <v>0</v>
      </c>
      <c r="V48" s="190">
        <v>278</v>
      </c>
      <c r="W48" s="190">
        <v>278</v>
      </c>
      <c r="X48" s="190">
        <v>34</v>
      </c>
      <c r="Y48" s="190">
        <v>1669</v>
      </c>
      <c r="Z48" s="190">
        <v>1703</v>
      </c>
      <c r="AA48" s="190">
        <v>14</v>
      </c>
      <c r="AB48" s="190">
        <v>542</v>
      </c>
      <c r="AC48" s="190">
        <v>556</v>
      </c>
      <c r="AD48" s="190">
        <v>14</v>
      </c>
      <c r="AE48" s="190">
        <v>533</v>
      </c>
      <c r="AF48" s="190">
        <v>547</v>
      </c>
      <c r="AG48" s="190">
        <v>0</v>
      </c>
      <c r="AH48" s="190">
        <v>6</v>
      </c>
      <c r="AI48" s="190">
        <v>6</v>
      </c>
      <c r="AJ48" s="190">
        <v>0</v>
      </c>
      <c r="AK48" s="190">
        <v>3</v>
      </c>
      <c r="AL48" s="190">
        <v>3</v>
      </c>
      <c r="AM48" s="190">
        <v>20</v>
      </c>
      <c r="AN48" s="190">
        <v>1127</v>
      </c>
      <c r="AO48" s="190">
        <v>1147</v>
      </c>
      <c r="AP48" s="190">
        <v>3629</v>
      </c>
      <c r="AQ48" s="190">
        <v>40884</v>
      </c>
      <c r="AR48" s="190">
        <v>44513</v>
      </c>
      <c r="AS48" s="190">
        <v>3833</v>
      </c>
      <c r="AT48" s="190">
        <v>40574</v>
      </c>
      <c r="AU48" s="190">
        <v>44407</v>
      </c>
      <c r="AV48" s="190">
        <v>-204</v>
      </c>
      <c r="AW48" s="190">
        <v>310</v>
      </c>
      <c r="AX48" s="190">
        <v>106</v>
      </c>
      <c r="AY48" s="190">
        <v>355</v>
      </c>
      <c r="AZ48" s="190">
        <v>2995</v>
      </c>
      <c r="BA48" s="190">
        <v>3350</v>
      </c>
      <c r="BB48" s="190">
        <v>111</v>
      </c>
      <c r="BC48" s="190">
        <v>0</v>
      </c>
      <c r="BD48" s="190">
        <v>0</v>
      </c>
      <c r="BE48" s="190">
        <v>1468</v>
      </c>
      <c r="BF48" s="190">
        <v>26</v>
      </c>
      <c r="BG48" s="190">
        <v>32</v>
      </c>
      <c r="BH48" s="190">
        <v>111</v>
      </c>
      <c r="BI48" s="190">
        <v>1526</v>
      </c>
      <c r="BJ48" s="190">
        <v>1637</v>
      </c>
      <c r="BK48" s="190">
        <v>113</v>
      </c>
      <c r="BL48" s="190">
        <v>-113</v>
      </c>
      <c r="BM48" s="190">
        <v>0</v>
      </c>
      <c r="BN48" s="190">
        <v>12</v>
      </c>
      <c r="BO48" s="190">
        <v>53</v>
      </c>
      <c r="BP48" s="190">
        <v>65</v>
      </c>
      <c r="BQ48" s="190">
        <v>8</v>
      </c>
      <c r="BR48" s="190">
        <v>119</v>
      </c>
      <c r="BS48" s="190">
        <v>127</v>
      </c>
      <c r="BT48" s="190">
        <v>111</v>
      </c>
      <c r="BU48" s="190">
        <v>1410</v>
      </c>
      <c r="BV48" s="190">
        <v>1521</v>
      </c>
      <c r="BW48" s="190">
        <v>3984</v>
      </c>
      <c r="BX48" s="190">
        <v>43879</v>
      </c>
      <c r="BY48" s="190">
        <v>47863</v>
      </c>
      <c r="BZ48" s="190">
        <v>3886</v>
      </c>
      <c r="CA48" s="190">
        <v>42468</v>
      </c>
      <c r="CB48" s="190">
        <v>46354</v>
      </c>
      <c r="CC48" s="190">
        <v>91187</v>
      </c>
      <c r="CD48" s="190">
        <v>94</v>
      </c>
      <c r="CE48" s="190">
        <v>1068</v>
      </c>
      <c r="CF48" s="190">
        <v>95</v>
      </c>
      <c r="CG48" s="190">
        <v>805</v>
      </c>
      <c r="CH48" s="190">
        <v>900</v>
      </c>
      <c r="CI48" s="190">
        <v>818</v>
      </c>
      <c r="CJ48" s="190">
        <v>16</v>
      </c>
      <c r="CK48" s="190">
        <v>3</v>
      </c>
      <c r="CL48" s="190">
        <v>606</v>
      </c>
      <c r="CM48" s="190">
        <v>609</v>
      </c>
      <c r="CN48" s="190">
        <v>213</v>
      </c>
      <c r="CO48" s="190">
        <v>3393</v>
      </c>
      <c r="CP48" s="190">
        <v>3606</v>
      </c>
      <c r="CQ48" s="190">
        <v>0</v>
      </c>
      <c r="CR48" s="190">
        <v>0</v>
      </c>
      <c r="CS48" s="190">
        <v>0</v>
      </c>
      <c r="CT48" s="190">
        <v>3771</v>
      </c>
      <c r="CU48" s="190">
        <v>40486</v>
      </c>
      <c r="CV48" s="190">
        <v>44257</v>
      </c>
      <c r="CW48" s="190">
        <v>305</v>
      </c>
      <c r="CX48" s="190">
        <v>2656</v>
      </c>
      <c r="CY48" s="190">
        <v>2961</v>
      </c>
      <c r="CZ48" s="190">
        <v>283</v>
      </c>
      <c r="DA48" s="190">
        <v>7</v>
      </c>
      <c r="DB48" s="190">
        <v>1</v>
      </c>
      <c r="DC48" s="190">
        <v>2258</v>
      </c>
      <c r="DD48" s="190">
        <v>56</v>
      </c>
      <c r="DE48" s="190">
        <v>14</v>
      </c>
      <c r="DF48" s="190">
        <v>291</v>
      </c>
      <c r="DG48" s="190">
        <v>2328</v>
      </c>
      <c r="DH48" s="190">
        <v>2619</v>
      </c>
      <c r="DI48" s="190">
        <v>14</v>
      </c>
      <c r="DJ48" s="190">
        <v>0</v>
      </c>
      <c r="DK48" s="190">
        <v>0</v>
      </c>
      <c r="DL48" s="190">
        <v>317</v>
      </c>
      <c r="DM48" s="190">
        <v>5</v>
      </c>
      <c r="DN48" s="190">
        <v>6</v>
      </c>
      <c r="DO48" s="190">
        <v>14</v>
      </c>
      <c r="DP48" s="190">
        <v>328</v>
      </c>
      <c r="DQ48" s="190">
        <v>342</v>
      </c>
      <c r="DR48" s="190">
        <v>0</v>
      </c>
      <c r="DS48" s="190">
        <v>0</v>
      </c>
      <c r="DT48" s="191">
        <v>0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904</v>
      </c>
      <c r="C49" s="190">
        <v>308</v>
      </c>
      <c r="D49" s="190">
        <v>794</v>
      </c>
      <c r="E49" s="190">
        <v>524</v>
      </c>
      <c r="F49" s="190">
        <v>0</v>
      </c>
      <c r="G49" s="190">
        <v>12</v>
      </c>
      <c r="H49" s="190">
        <v>12</v>
      </c>
      <c r="I49" s="190">
        <v>0</v>
      </c>
      <c r="J49" s="190">
        <v>215</v>
      </c>
      <c r="K49" s="190">
        <v>215</v>
      </c>
      <c r="L49" s="190">
        <v>0</v>
      </c>
      <c r="M49" s="190">
        <v>86</v>
      </c>
      <c r="N49" s="190">
        <v>86</v>
      </c>
      <c r="O49" s="190">
        <v>0</v>
      </c>
      <c r="P49" s="190">
        <v>129</v>
      </c>
      <c r="Q49" s="190">
        <v>129</v>
      </c>
      <c r="R49" s="190">
        <v>0</v>
      </c>
      <c r="S49" s="190">
        <v>23</v>
      </c>
      <c r="T49" s="190">
        <v>23</v>
      </c>
      <c r="U49" s="190">
        <v>0</v>
      </c>
      <c r="V49" s="190">
        <v>55</v>
      </c>
      <c r="W49" s="190">
        <v>55</v>
      </c>
      <c r="X49" s="190">
        <v>14</v>
      </c>
      <c r="Y49" s="190">
        <v>542</v>
      </c>
      <c r="Z49" s="190">
        <v>556</v>
      </c>
      <c r="AA49" s="190">
        <v>5</v>
      </c>
      <c r="AB49" s="190">
        <v>226</v>
      </c>
      <c r="AC49" s="190">
        <v>231</v>
      </c>
      <c r="AD49" s="190">
        <v>5</v>
      </c>
      <c r="AE49" s="190">
        <v>222</v>
      </c>
      <c r="AF49" s="190">
        <v>227</v>
      </c>
      <c r="AG49" s="190">
        <v>0</v>
      </c>
      <c r="AH49" s="190">
        <v>4</v>
      </c>
      <c r="AI49" s="190">
        <v>4</v>
      </c>
      <c r="AJ49" s="190">
        <v>0</v>
      </c>
      <c r="AK49" s="190">
        <v>0</v>
      </c>
      <c r="AL49" s="190">
        <v>0</v>
      </c>
      <c r="AM49" s="190">
        <v>9</v>
      </c>
      <c r="AN49" s="190">
        <v>316</v>
      </c>
      <c r="AO49" s="190">
        <v>325</v>
      </c>
      <c r="AP49" s="190">
        <v>1010</v>
      </c>
      <c r="AQ49" s="190">
        <v>12536</v>
      </c>
      <c r="AR49" s="190">
        <v>13546</v>
      </c>
      <c r="AS49" s="190">
        <v>1021</v>
      </c>
      <c r="AT49" s="190">
        <v>12460</v>
      </c>
      <c r="AU49" s="190">
        <v>13481</v>
      </c>
      <c r="AV49" s="190">
        <v>-11</v>
      </c>
      <c r="AW49" s="190">
        <v>76</v>
      </c>
      <c r="AX49" s="190">
        <v>65</v>
      </c>
      <c r="AY49" s="190">
        <v>67</v>
      </c>
      <c r="AZ49" s="190">
        <v>1226</v>
      </c>
      <c r="BA49" s="190">
        <v>1293</v>
      </c>
      <c r="BB49" s="190">
        <v>19</v>
      </c>
      <c r="BC49" s="190">
        <v>0</v>
      </c>
      <c r="BD49" s="190">
        <v>0</v>
      </c>
      <c r="BE49" s="190">
        <v>503</v>
      </c>
      <c r="BF49" s="190">
        <v>1</v>
      </c>
      <c r="BG49" s="190">
        <v>1</v>
      </c>
      <c r="BH49" s="190">
        <v>19</v>
      </c>
      <c r="BI49" s="190">
        <v>505</v>
      </c>
      <c r="BJ49" s="190">
        <v>524</v>
      </c>
      <c r="BK49" s="190">
        <v>-21</v>
      </c>
      <c r="BL49" s="190">
        <v>21</v>
      </c>
      <c r="BM49" s="190">
        <v>0</v>
      </c>
      <c r="BN49" s="190">
        <v>0</v>
      </c>
      <c r="BO49" s="190">
        <v>14</v>
      </c>
      <c r="BP49" s="190">
        <v>14</v>
      </c>
      <c r="BQ49" s="190">
        <v>0</v>
      </c>
      <c r="BR49" s="190">
        <v>0</v>
      </c>
      <c r="BS49" s="190">
        <v>0</v>
      </c>
      <c r="BT49" s="190">
        <v>69</v>
      </c>
      <c r="BU49" s="190">
        <v>686</v>
      </c>
      <c r="BV49" s="190">
        <v>755</v>
      </c>
      <c r="BW49" s="190">
        <v>1077</v>
      </c>
      <c r="BX49" s="190">
        <v>13762</v>
      </c>
      <c r="BY49" s="190">
        <v>14839</v>
      </c>
      <c r="BZ49" s="190">
        <v>1074</v>
      </c>
      <c r="CA49" s="190">
        <v>13705</v>
      </c>
      <c r="CB49" s="190">
        <v>14779</v>
      </c>
      <c r="CC49" s="190">
        <v>26514</v>
      </c>
      <c r="CD49" s="190">
        <v>3</v>
      </c>
      <c r="CE49" s="190">
        <v>57</v>
      </c>
      <c r="CF49" s="190">
        <v>3</v>
      </c>
      <c r="CG49" s="190">
        <v>48</v>
      </c>
      <c r="CH49" s="190">
        <v>51</v>
      </c>
      <c r="CI49" s="190">
        <v>0</v>
      </c>
      <c r="CJ49" s="190">
        <v>12</v>
      </c>
      <c r="CK49" s="190">
        <v>0</v>
      </c>
      <c r="CL49" s="190">
        <v>9</v>
      </c>
      <c r="CM49" s="190">
        <v>9</v>
      </c>
      <c r="CN49" s="190">
        <v>77</v>
      </c>
      <c r="CO49" s="190">
        <v>1179</v>
      </c>
      <c r="CP49" s="190">
        <v>1256</v>
      </c>
      <c r="CQ49" s="190">
        <v>0</v>
      </c>
      <c r="CR49" s="190">
        <v>0</v>
      </c>
      <c r="CS49" s="190">
        <v>0</v>
      </c>
      <c r="CT49" s="190">
        <v>1000</v>
      </c>
      <c r="CU49" s="190">
        <v>12583</v>
      </c>
      <c r="CV49" s="190">
        <v>13583</v>
      </c>
      <c r="CW49" s="190">
        <v>82</v>
      </c>
      <c r="CX49" s="190">
        <v>652</v>
      </c>
      <c r="CY49" s="190">
        <v>734</v>
      </c>
      <c r="CZ49" s="190">
        <v>81</v>
      </c>
      <c r="DA49" s="190">
        <v>0</v>
      </c>
      <c r="DB49" s="190">
        <v>0</v>
      </c>
      <c r="DC49" s="190">
        <v>620</v>
      </c>
      <c r="DD49" s="190">
        <v>5</v>
      </c>
      <c r="DE49" s="190">
        <v>0</v>
      </c>
      <c r="DF49" s="190">
        <v>81</v>
      </c>
      <c r="DG49" s="190">
        <v>625</v>
      </c>
      <c r="DH49" s="190">
        <v>706</v>
      </c>
      <c r="DI49" s="190">
        <v>1</v>
      </c>
      <c r="DJ49" s="190">
        <v>0</v>
      </c>
      <c r="DK49" s="190">
        <v>0</v>
      </c>
      <c r="DL49" s="190">
        <v>27</v>
      </c>
      <c r="DM49" s="190">
        <v>0</v>
      </c>
      <c r="DN49" s="190">
        <v>0</v>
      </c>
      <c r="DO49" s="190">
        <v>1</v>
      </c>
      <c r="DP49" s="190">
        <v>27</v>
      </c>
      <c r="DQ49" s="190">
        <v>28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1079</v>
      </c>
      <c r="C50" s="190">
        <v>246</v>
      </c>
      <c r="D50" s="190">
        <v>1059</v>
      </c>
      <c r="E50" s="190">
        <v>573</v>
      </c>
      <c r="F50" s="190">
        <v>1</v>
      </c>
      <c r="G50" s="190">
        <v>31</v>
      </c>
      <c r="H50" s="190">
        <v>32</v>
      </c>
      <c r="I50" s="190">
        <v>0</v>
      </c>
      <c r="J50" s="190">
        <v>466</v>
      </c>
      <c r="K50" s="190">
        <v>466</v>
      </c>
      <c r="L50" s="190">
        <v>0</v>
      </c>
      <c r="M50" s="190">
        <v>164</v>
      </c>
      <c r="N50" s="190">
        <v>164</v>
      </c>
      <c r="O50" s="190">
        <v>0</v>
      </c>
      <c r="P50" s="190">
        <v>302</v>
      </c>
      <c r="Q50" s="190">
        <v>302</v>
      </c>
      <c r="R50" s="190">
        <v>0</v>
      </c>
      <c r="S50" s="190">
        <v>11</v>
      </c>
      <c r="T50" s="190">
        <v>11</v>
      </c>
      <c r="U50" s="190">
        <v>0</v>
      </c>
      <c r="V50" s="190">
        <v>20</v>
      </c>
      <c r="W50" s="190">
        <v>20</v>
      </c>
      <c r="X50" s="190">
        <v>18</v>
      </c>
      <c r="Y50" s="190">
        <v>1041</v>
      </c>
      <c r="Z50" s="190">
        <v>1059</v>
      </c>
      <c r="AA50" s="190">
        <v>7</v>
      </c>
      <c r="AB50" s="190">
        <v>401</v>
      </c>
      <c r="AC50" s="190">
        <v>408</v>
      </c>
      <c r="AD50" s="190">
        <v>6</v>
      </c>
      <c r="AE50" s="190">
        <v>394</v>
      </c>
      <c r="AF50" s="190">
        <v>400</v>
      </c>
      <c r="AG50" s="190">
        <v>1</v>
      </c>
      <c r="AH50" s="190">
        <v>4</v>
      </c>
      <c r="AI50" s="190">
        <v>5</v>
      </c>
      <c r="AJ50" s="190">
        <v>0</v>
      </c>
      <c r="AK50" s="190">
        <v>3</v>
      </c>
      <c r="AL50" s="190">
        <v>3</v>
      </c>
      <c r="AM50" s="190">
        <v>11</v>
      </c>
      <c r="AN50" s="190">
        <v>640</v>
      </c>
      <c r="AO50" s="190">
        <v>651</v>
      </c>
      <c r="AP50" s="190">
        <v>1113</v>
      </c>
      <c r="AQ50" s="190">
        <v>10373</v>
      </c>
      <c r="AR50" s="190">
        <v>11486</v>
      </c>
      <c r="AS50" s="190">
        <v>1113</v>
      </c>
      <c r="AT50" s="190">
        <v>10373</v>
      </c>
      <c r="AU50" s="190">
        <v>11486</v>
      </c>
      <c r="AV50" s="190">
        <v>0</v>
      </c>
      <c r="AW50" s="190">
        <v>0</v>
      </c>
      <c r="AX50" s="190">
        <v>0</v>
      </c>
      <c r="AY50" s="190">
        <v>85</v>
      </c>
      <c r="AZ50" s="190">
        <v>1076</v>
      </c>
      <c r="BA50" s="190">
        <v>1161</v>
      </c>
      <c r="BB50" s="190">
        <v>20</v>
      </c>
      <c r="BC50" s="190">
        <v>0</v>
      </c>
      <c r="BD50" s="190">
        <v>0</v>
      </c>
      <c r="BE50" s="190">
        <v>551</v>
      </c>
      <c r="BF50" s="190">
        <v>1</v>
      </c>
      <c r="BG50" s="190">
        <v>1</v>
      </c>
      <c r="BH50" s="190">
        <v>20</v>
      </c>
      <c r="BI50" s="190">
        <v>553</v>
      </c>
      <c r="BJ50" s="190">
        <v>573</v>
      </c>
      <c r="BK50" s="190">
        <v>-3</v>
      </c>
      <c r="BL50" s="190">
        <v>3</v>
      </c>
      <c r="BM50" s="190">
        <v>0</v>
      </c>
      <c r="BN50" s="190">
        <v>9</v>
      </c>
      <c r="BO50" s="190">
        <v>49</v>
      </c>
      <c r="BP50" s="190">
        <v>58</v>
      </c>
      <c r="BQ50" s="190">
        <v>13</v>
      </c>
      <c r="BR50" s="190">
        <v>188</v>
      </c>
      <c r="BS50" s="190">
        <v>201</v>
      </c>
      <c r="BT50" s="190">
        <v>46</v>
      </c>
      <c r="BU50" s="190">
        <v>283</v>
      </c>
      <c r="BV50" s="190">
        <v>329</v>
      </c>
      <c r="BW50" s="190">
        <v>1198</v>
      </c>
      <c r="BX50" s="190">
        <v>11449</v>
      </c>
      <c r="BY50" s="190">
        <v>12647</v>
      </c>
      <c r="BZ50" s="190">
        <v>1194</v>
      </c>
      <c r="CA50" s="190">
        <v>11411</v>
      </c>
      <c r="CB50" s="190">
        <v>12605</v>
      </c>
      <c r="CC50" s="190">
        <v>23511</v>
      </c>
      <c r="CD50" s="190">
        <v>2</v>
      </c>
      <c r="CE50" s="190">
        <v>24</v>
      </c>
      <c r="CF50" s="190">
        <v>4</v>
      </c>
      <c r="CG50" s="190">
        <v>20</v>
      </c>
      <c r="CH50" s="190">
        <v>24</v>
      </c>
      <c r="CI50" s="190">
        <v>19</v>
      </c>
      <c r="CJ50" s="190">
        <v>3</v>
      </c>
      <c r="CK50" s="190">
        <v>0</v>
      </c>
      <c r="CL50" s="190">
        <v>18</v>
      </c>
      <c r="CM50" s="190">
        <v>18</v>
      </c>
      <c r="CN50" s="190">
        <v>74</v>
      </c>
      <c r="CO50" s="190">
        <v>1090</v>
      </c>
      <c r="CP50" s="190">
        <v>1164</v>
      </c>
      <c r="CQ50" s="190">
        <v>0</v>
      </c>
      <c r="CR50" s="190">
        <v>14</v>
      </c>
      <c r="CS50" s="190">
        <v>14</v>
      </c>
      <c r="CT50" s="190">
        <v>1124</v>
      </c>
      <c r="CU50" s="190">
        <v>10359</v>
      </c>
      <c r="CV50" s="190">
        <v>11483</v>
      </c>
      <c r="CW50" s="190">
        <v>80</v>
      </c>
      <c r="CX50" s="190">
        <v>467</v>
      </c>
      <c r="CY50" s="190">
        <v>547</v>
      </c>
      <c r="CZ50" s="190">
        <v>80</v>
      </c>
      <c r="DA50" s="190">
        <v>0</v>
      </c>
      <c r="DB50" s="190">
        <v>0</v>
      </c>
      <c r="DC50" s="190">
        <v>462</v>
      </c>
      <c r="DD50" s="190">
        <v>2</v>
      </c>
      <c r="DE50" s="190">
        <v>0</v>
      </c>
      <c r="DF50" s="190">
        <v>80</v>
      </c>
      <c r="DG50" s="190">
        <v>464</v>
      </c>
      <c r="DH50" s="190">
        <v>544</v>
      </c>
      <c r="DI50" s="190">
        <v>0</v>
      </c>
      <c r="DJ50" s="190">
        <v>0</v>
      </c>
      <c r="DK50" s="190">
        <v>0</v>
      </c>
      <c r="DL50" s="190">
        <v>3</v>
      </c>
      <c r="DM50" s="190">
        <v>0</v>
      </c>
      <c r="DN50" s="190">
        <v>0</v>
      </c>
      <c r="DO50" s="190">
        <v>0</v>
      </c>
      <c r="DP50" s="190">
        <v>3</v>
      </c>
      <c r="DQ50" s="190">
        <v>3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2</v>
      </c>
      <c r="C51" s="190">
        <v>0</v>
      </c>
      <c r="D51" s="190">
        <v>3</v>
      </c>
      <c r="E51" s="190">
        <v>2</v>
      </c>
      <c r="F51" s="190">
        <v>0</v>
      </c>
      <c r="G51" s="190">
        <v>0</v>
      </c>
      <c r="H51" s="190">
        <v>0</v>
      </c>
      <c r="I51" s="190">
        <v>0</v>
      </c>
      <c r="J51" s="190">
        <v>1</v>
      </c>
      <c r="K51" s="190">
        <v>1</v>
      </c>
      <c r="L51" s="190">
        <v>0</v>
      </c>
      <c r="M51" s="190">
        <v>0</v>
      </c>
      <c r="N51" s="190">
        <v>0</v>
      </c>
      <c r="O51" s="190">
        <v>0</v>
      </c>
      <c r="P51" s="190">
        <v>1</v>
      </c>
      <c r="Q51" s="190">
        <v>1</v>
      </c>
      <c r="R51" s="190">
        <v>0</v>
      </c>
      <c r="S51" s="190">
        <v>0</v>
      </c>
      <c r="T51" s="190">
        <v>0</v>
      </c>
      <c r="U51" s="190">
        <v>0</v>
      </c>
      <c r="V51" s="190">
        <v>0</v>
      </c>
      <c r="W51" s="190">
        <v>0</v>
      </c>
      <c r="X51" s="190">
        <v>0</v>
      </c>
      <c r="Y51" s="190">
        <v>3</v>
      </c>
      <c r="Z51" s="190">
        <v>3</v>
      </c>
      <c r="AA51" s="190">
        <v>0</v>
      </c>
      <c r="AB51" s="190">
        <v>2</v>
      </c>
      <c r="AC51" s="190">
        <v>2</v>
      </c>
      <c r="AD51" s="190">
        <v>0</v>
      </c>
      <c r="AE51" s="190">
        <v>2</v>
      </c>
      <c r="AF51" s="190">
        <v>2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0</v>
      </c>
      <c r="AN51" s="190">
        <v>1</v>
      </c>
      <c r="AO51" s="190">
        <v>1</v>
      </c>
      <c r="AP51" s="190">
        <v>10</v>
      </c>
      <c r="AQ51" s="190">
        <v>143</v>
      </c>
      <c r="AR51" s="190">
        <v>153</v>
      </c>
      <c r="AS51" s="190">
        <v>10</v>
      </c>
      <c r="AT51" s="190">
        <v>143</v>
      </c>
      <c r="AU51" s="190">
        <v>153</v>
      </c>
      <c r="AV51" s="190">
        <v>0</v>
      </c>
      <c r="AW51" s="190">
        <v>0</v>
      </c>
      <c r="AX51" s="190">
        <v>0</v>
      </c>
      <c r="AY51" s="190">
        <v>2</v>
      </c>
      <c r="AZ51" s="190">
        <v>7</v>
      </c>
      <c r="BA51" s="190">
        <v>9</v>
      </c>
      <c r="BB51" s="190">
        <v>0</v>
      </c>
      <c r="BC51" s="190">
        <v>0</v>
      </c>
      <c r="BD51" s="190">
        <v>0</v>
      </c>
      <c r="BE51" s="190">
        <v>2</v>
      </c>
      <c r="BF51" s="190">
        <v>0</v>
      </c>
      <c r="BG51" s="190">
        <v>0</v>
      </c>
      <c r="BH51" s="190">
        <v>0</v>
      </c>
      <c r="BI51" s="190">
        <v>2</v>
      </c>
      <c r="BJ51" s="190">
        <v>2</v>
      </c>
      <c r="BK51" s="190">
        <v>1</v>
      </c>
      <c r="BL51" s="190">
        <v>-1</v>
      </c>
      <c r="BM51" s="190">
        <v>0</v>
      </c>
      <c r="BN51" s="190">
        <v>0</v>
      </c>
      <c r="BO51" s="190">
        <v>0</v>
      </c>
      <c r="BP51" s="190">
        <v>0</v>
      </c>
      <c r="BQ51" s="190">
        <v>0</v>
      </c>
      <c r="BR51" s="190">
        <v>0</v>
      </c>
      <c r="BS51" s="190">
        <v>0</v>
      </c>
      <c r="BT51" s="190">
        <v>1</v>
      </c>
      <c r="BU51" s="190">
        <v>6</v>
      </c>
      <c r="BV51" s="190">
        <v>7</v>
      </c>
      <c r="BW51" s="190">
        <v>12</v>
      </c>
      <c r="BX51" s="190">
        <v>150</v>
      </c>
      <c r="BY51" s="190">
        <v>162</v>
      </c>
      <c r="BZ51" s="190">
        <v>12</v>
      </c>
      <c r="CA51" s="190">
        <v>150</v>
      </c>
      <c r="CB51" s="190">
        <v>162</v>
      </c>
      <c r="CC51" s="190">
        <v>266</v>
      </c>
      <c r="CD51" s="190">
        <v>0</v>
      </c>
      <c r="CE51" s="190">
        <v>0</v>
      </c>
      <c r="CF51" s="190">
        <v>0</v>
      </c>
      <c r="CG51" s="190">
        <v>0</v>
      </c>
      <c r="CH51" s="190">
        <v>0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0</v>
      </c>
      <c r="CO51" s="190">
        <v>8</v>
      </c>
      <c r="CP51" s="190">
        <v>8</v>
      </c>
      <c r="CQ51" s="190">
        <v>0</v>
      </c>
      <c r="CR51" s="190">
        <v>0</v>
      </c>
      <c r="CS51" s="190">
        <v>0</v>
      </c>
      <c r="CT51" s="190">
        <v>12</v>
      </c>
      <c r="CU51" s="190">
        <v>142</v>
      </c>
      <c r="CV51" s="190">
        <v>154</v>
      </c>
      <c r="CW51" s="190">
        <v>2</v>
      </c>
      <c r="CX51" s="190">
        <v>4</v>
      </c>
      <c r="CY51" s="190">
        <v>6</v>
      </c>
      <c r="CZ51" s="190">
        <v>2</v>
      </c>
      <c r="DA51" s="190">
        <v>0</v>
      </c>
      <c r="DB51" s="190">
        <v>0</v>
      </c>
      <c r="DC51" s="190">
        <v>4</v>
      </c>
      <c r="DD51" s="190">
        <v>0</v>
      </c>
      <c r="DE51" s="190">
        <v>0</v>
      </c>
      <c r="DF51" s="190">
        <v>2</v>
      </c>
      <c r="DG51" s="190">
        <v>4</v>
      </c>
      <c r="DH51" s="190">
        <v>6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230</v>
      </c>
      <c r="C52" s="190">
        <v>63</v>
      </c>
      <c r="D52" s="190">
        <v>246</v>
      </c>
      <c r="E52" s="190">
        <v>137</v>
      </c>
      <c r="F52" s="190">
        <v>0</v>
      </c>
      <c r="G52" s="190">
        <v>1</v>
      </c>
      <c r="H52" s="190">
        <v>1</v>
      </c>
      <c r="I52" s="190">
        <v>0</v>
      </c>
      <c r="J52" s="190">
        <v>102</v>
      </c>
      <c r="K52" s="190">
        <v>102</v>
      </c>
      <c r="L52" s="190">
        <v>0</v>
      </c>
      <c r="M52" s="190">
        <v>36</v>
      </c>
      <c r="N52" s="190">
        <v>36</v>
      </c>
      <c r="O52" s="190">
        <v>0</v>
      </c>
      <c r="P52" s="190">
        <v>66</v>
      </c>
      <c r="Q52" s="190">
        <v>66</v>
      </c>
      <c r="R52" s="190">
        <v>0</v>
      </c>
      <c r="S52" s="190">
        <v>0</v>
      </c>
      <c r="T52" s="190">
        <v>0</v>
      </c>
      <c r="U52" s="190">
        <v>0</v>
      </c>
      <c r="V52" s="190">
        <v>7</v>
      </c>
      <c r="W52" s="190">
        <v>7</v>
      </c>
      <c r="X52" s="190">
        <v>3</v>
      </c>
      <c r="Y52" s="190">
        <v>243</v>
      </c>
      <c r="Z52" s="190">
        <v>246</v>
      </c>
      <c r="AA52" s="190">
        <v>2</v>
      </c>
      <c r="AB52" s="190">
        <v>96</v>
      </c>
      <c r="AC52" s="190">
        <v>98</v>
      </c>
      <c r="AD52" s="190">
        <v>1</v>
      </c>
      <c r="AE52" s="190">
        <v>86</v>
      </c>
      <c r="AF52" s="190">
        <v>87</v>
      </c>
      <c r="AG52" s="190">
        <v>1</v>
      </c>
      <c r="AH52" s="190">
        <v>7</v>
      </c>
      <c r="AI52" s="190">
        <v>8</v>
      </c>
      <c r="AJ52" s="190">
        <v>0</v>
      </c>
      <c r="AK52" s="190">
        <v>3</v>
      </c>
      <c r="AL52" s="190">
        <v>3</v>
      </c>
      <c r="AM52" s="190">
        <v>1</v>
      </c>
      <c r="AN52" s="190">
        <v>147</v>
      </c>
      <c r="AO52" s="190">
        <v>148</v>
      </c>
      <c r="AP52" s="190">
        <v>348</v>
      </c>
      <c r="AQ52" s="190">
        <v>2575</v>
      </c>
      <c r="AR52" s="190">
        <v>2923</v>
      </c>
      <c r="AS52" s="190">
        <v>348</v>
      </c>
      <c r="AT52" s="190">
        <v>2575</v>
      </c>
      <c r="AU52" s="190">
        <v>2923</v>
      </c>
      <c r="AV52" s="190">
        <v>0</v>
      </c>
      <c r="AW52" s="190">
        <v>0</v>
      </c>
      <c r="AX52" s="190">
        <v>0</v>
      </c>
      <c r="AY52" s="190">
        <v>27</v>
      </c>
      <c r="AZ52" s="190">
        <v>219</v>
      </c>
      <c r="BA52" s="190">
        <v>246</v>
      </c>
      <c r="BB52" s="190">
        <v>3</v>
      </c>
      <c r="BC52" s="190">
        <v>0</v>
      </c>
      <c r="BD52" s="190">
        <v>0</v>
      </c>
      <c r="BE52" s="190">
        <v>132</v>
      </c>
      <c r="BF52" s="190">
        <v>1</v>
      </c>
      <c r="BG52" s="190">
        <v>1</v>
      </c>
      <c r="BH52" s="190">
        <v>3</v>
      </c>
      <c r="BI52" s="190">
        <v>134</v>
      </c>
      <c r="BJ52" s="190">
        <v>137</v>
      </c>
      <c r="BK52" s="190">
        <v>-1</v>
      </c>
      <c r="BL52" s="190">
        <v>1</v>
      </c>
      <c r="BM52" s="190">
        <v>0</v>
      </c>
      <c r="BN52" s="190">
        <v>1</v>
      </c>
      <c r="BO52" s="190">
        <v>5</v>
      </c>
      <c r="BP52" s="190">
        <v>6</v>
      </c>
      <c r="BQ52" s="190">
        <v>3</v>
      </c>
      <c r="BR52" s="190">
        <v>21</v>
      </c>
      <c r="BS52" s="190">
        <v>24</v>
      </c>
      <c r="BT52" s="190">
        <v>21</v>
      </c>
      <c r="BU52" s="190">
        <v>58</v>
      </c>
      <c r="BV52" s="190">
        <v>79</v>
      </c>
      <c r="BW52" s="190">
        <v>375</v>
      </c>
      <c r="BX52" s="190">
        <v>2794</v>
      </c>
      <c r="BY52" s="190">
        <v>3169</v>
      </c>
      <c r="BZ52" s="190">
        <v>375</v>
      </c>
      <c r="CA52" s="190">
        <v>2782</v>
      </c>
      <c r="CB52" s="190">
        <v>3157</v>
      </c>
      <c r="CC52" s="190">
        <v>6552</v>
      </c>
      <c r="CD52" s="190">
        <v>1</v>
      </c>
      <c r="CE52" s="190">
        <v>10</v>
      </c>
      <c r="CF52" s="190">
        <v>0</v>
      </c>
      <c r="CG52" s="190">
        <v>9</v>
      </c>
      <c r="CH52" s="190">
        <v>9</v>
      </c>
      <c r="CI52" s="190">
        <v>4</v>
      </c>
      <c r="CJ52" s="190">
        <v>0</v>
      </c>
      <c r="CK52" s="190">
        <v>0</v>
      </c>
      <c r="CL52" s="190">
        <v>3</v>
      </c>
      <c r="CM52" s="190">
        <v>3</v>
      </c>
      <c r="CN52" s="190">
        <v>24</v>
      </c>
      <c r="CO52" s="190">
        <v>233</v>
      </c>
      <c r="CP52" s="190">
        <v>257</v>
      </c>
      <c r="CQ52" s="190">
        <v>0</v>
      </c>
      <c r="CR52" s="190">
        <v>1</v>
      </c>
      <c r="CS52" s="190">
        <v>1</v>
      </c>
      <c r="CT52" s="190">
        <v>351</v>
      </c>
      <c r="CU52" s="190">
        <v>2561</v>
      </c>
      <c r="CV52" s="190">
        <v>2912</v>
      </c>
      <c r="CW52" s="190">
        <v>23</v>
      </c>
      <c r="CX52" s="190">
        <v>104</v>
      </c>
      <c r="CY52" s="190">
        <v>127</v>
      </c>
      <c r="CZ52" s="190">
        <v>23</v>
      </c>
      <c r="DA52" s="190">
        <v>0</v>
      </c>
      <c r="DB52" s="190">
        <v>0</v>
      </c>
      <c r="DC52" s="190">
        <v>103</v>
      </c>
      <c r="DD52" s="190">
        <v>0</v>
      </c>
      <c r="DE52" s="190">
        <v>0</v>
      </c>
      <c r="DF52" s="190">
        <v>23</v>
      </c>
      <c r="DG52" s="190">
        <v>103</v>
      </c>
      <c r="DH52" s="190">
        <v>126</v>
      </c>
      <c r="DI52" s="190">
        <v>0</v>
      </c>
      <c r="DJ52" s="190">
        <v>0</v>
      </c>
      <c r="DK52" s="190">
        <v>0</v>
      </c>
      <c r="DL52" s="190">
        <v>1</v>
      </c>
      <c r="DM52" s="190">
        <v>0</v>
      </c>
      <c r="DN52" s="190">
        <v>0</v>
      </c>
      <c r="DO52" s="190">
        <v>0</v>
      </c>
      <c r="DP52" s="190">
        <v>1</v>
      </c>
      <c r="DQ52" s="190">
        <v>1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1558</v>
      </c>
      <c r="C53" s="190">
        <v>417</v>
      </c>
      <c r="D53" s="190">
        <v>1284</v>
      </c>
      <c r="E53" s="190">
        <v>774</v>
      </c>
      <c r="F53" s="190">
        <v>4</v>
      </c>
      <c r="G53" s="190">
        <v>23</v>
      </c>
      <c r="H53" s="190">
        <v>27</v>
      </c>
      <c r="I53" s="190">
        <v>0</v>
      </c>
      <c r="J53" s="190">
        <v>416</v>
      </c>
      <c r="K53" s="190">
        <v>416</v>
      </c>
      <c r="L53" s="190">
        <v>0</v>
      </c>
      <c r="M53" s="190">
        <v>158</v>
      </c>
      <c r="N53" s="190">
        <v>158</v>
      </c>
      <c r="O53" s="190">
        <v>0</v>
      </c>
      <c r="P53" s="190">
        <v>258</v>
      </c>
      <c r="Q53" s="190">
        <v>258</v>
      </c>
      <c r="R53" s="190">
        <v>0</v>
      </c>
      <c r="S53" s="190">
        <v>45</v>
      </c>
      <c r="T53" s="190">
        <v>45</v>
      </c>
      <c r="U53" s="190">
        <v>0</v>
      </c>
      <c r="V53" s="190">
        <v>94</v>
      </c>
      <c r="W53" s="190">
        <v>94</v>
      </c>
      <c r="X53" s="190">
        <v>17</v>
      </c>
      <c r="Y53" s="190">
        <v>749</v>
      </c>
      <c r="Z53" s="190">
        <v>766</v>
      </c>
      <c r="AA53" s="190">
        <v>10</v>
      </c>
      <c r="AB53" s="190">
        <v>428</v>
      </c>
      <c r="AC53" s="190">
        <v>438</v>
      </c>
      <c r="AD53" s="190">
        <v>8</v>
      </c>
      <c r="AE53" s="190">
        <v>412</v>
      </c>
      <c r="AF53" s="190">
        <v>420</v>
      </c>
      <c r="AG53" s="190">
        <v>1</v>
      </c>
      <c r="AH53" s="190">
        <v>13</v>
      </c>
      <c r="AI53" s="190">
        <v>14</v>
      </c>
      <c r="AJ53" s="190">
        <v>1</v>
      </c>
      <c r="AK53" s="190">
        <v>3</v>
      </c>
      <c r="AL53" s="190">
        <v>4</v>
      </c>
      <c r="AM53" s="190">
        <v>7</v>
      </c>
      <c r="AN53" s="190">
        <v>321</v>
      </c>
      <c r="AO53" s="190">
        <v>328</v>
      </c>
      <c r="AP53" s="190">
        <v>2174</v>
      </c>
      <c r="AQ53" s="190">
        <v>17265</v>
      </c>
      <c r="AR53" s="190">
        <v>19439</v>
      </c>
      <c r="AS53" s="190">
        <v>2294</v>
      </c>
      <c r="AT53" s="190">
        <v>16940</v>
      </c>
      <c r="AU53" s="190">
        <v>19234</v>
      </c>
      <c r="AV53" s="190">
        <v>-120</v>
      </c>
      <c r="AW53" s="190">
        <v>325</v>
      </c>
      <c r="AX53" s="190">
        <v>205</v>
      </c>
      <c r="AY53" s="190">
        <v>257</v>
      </c>
      <c r="AZ53" s="190">
        <v>1463</v>
      </c>
      <c r="BA53" s="190">
        <v>1720</v>
      </c>
      <c r="BB53" s="190">
        <v>57</v>
      </c>
      <c r="BC53" s="190">
        <v>1</v>
      </c>
      <c r="BD53" s="190">
        <v>0</v>
      </c>
      <c r="BE53" s="190">
        <v>703</v>
      </c>
      <c r="BF53" s="190">
        <v>9</v>
      </c>
      <c r="BG53" s="190">
        <v>4</v>
      </c>
      <c r="BH53" s="190">
        <v>58</v>
      </c>
      <c r="BI53" s="190">
        <v>716</v>
      </c>
      <c r="BJ53" s="190">
        <v>774</v>
      </c>
      <c r="BK53" s="190">
        <v>87</v>
      </c>
      <c r="BL53" s="190">
        <v>-87</v>
      </c>
      <c r="BM53" s="190">
        <v>0</v>
      </c>
      <c r="BN53" s="190">
        <v>6</v>
      </c>
      <c r="BO53" s="190">
        <v>34</v>
      </c>
      <c r="BP53" s="190">
        <v>40</v>
      </c>
      <c r="BQ53" s="190">
        <v>2</v>
      </c>
      <c r="BR53" s="190">
        <v>124</v>
      </c>
      <c r="BS53" s="190">
        <v>126</v>
      </c>
      <c r="BT53" s="190">
        <v>104</v>
      </c>
      <c r="BU53" s="190">
        <v>676</v>
      </c>
      <c r="BV53" s="190">
        <v>780</v>
      </c>
      <c r="BW53" s="190">
        <v>2431</v>
      </c>
      <c r="BX53" s="190">
        <v>18728</v>
      </c>
      <c r="BY53" s="190">
        <v>21159</v>
      </c>
      <c r="BZ53" s="190">
        <v>2408</v>
      </c>
      <c r="CA53" s="190">
        <v>18514</v>
      </c>
      <c r="CB53" s="190">
        <v>20922</v>
      </c>
      <c r="CC53" s="190">
        <v>39397</v>
      </c>
      <c r="CD53" s="190">
        <v>200</v>
      </c>
      <c r="CE53" s="190">
        <v>179</v>
      </c>
      <c r="CF53" s="190">
        <v>23</v>
      </c>
      <c r="CG53" s="190">
        <v>157</v>
      </c>
      <c r="CH53" s="190">
        <v>180</v>
      </c>
      <c r="CI53" s="190">
        <v>79</v>
      </c>
      <c r="CJ53" s="190">
        <v>57</v>
      </c>
      <c r="CK53" s="190">
        <v>0</v>
      </c>
      <c r="CL53" s="190">
        <v>57</v>
      </c>
      <c r="CM53" s="190">
        <v>57</v>
      </c>
      <c r="CN53" s="190">
        <v>129</v>
      </c>
      <c r="CO53" s="190">
        <v>1748</v>
      </c>
      <c r="CP53" s="190">
        <v>1877</v>
      </c>
      <c r="CQ53" s="190">
        <v>0</v>
      </c>
      <c r="CR53" s="190">
        <v>0</v>
      </c>
      <c r="CS53" s="190">
        <v>0</v>
      </c>
      <c r="CT53" s="190">
        <v>2302</v>
      </c>
      <c r="CU53" s="190">
        <v>16980</v>
      </c>
      <c r="CV53" s="190">
        <v>19282</v>
      </c>
      <c r="CW53" s="190">
        <v>184</v>
      </c>
      <c r="CX53" s="190">
        <v>961</v>
      </c>
      <c r="CY53" s="190">
        <v>1145</v>
      </c>
      <c r="CZ53" s="190">
        <v>179</v>
      </c>
      <c r="DA53" s="190">
        <v>2</v>
      </c>
      <c r="DB53" s="190">
        <v>0</v>
      </c>
      <c r="DC53" s="190">
        <v>919</v>
      </c>
      <c r="DD53" s="190">
        <v>7</v>
      </c>
      <c r="DE53" s="190">
        <v>0</v>
      </c>
      <c r="DF53" s="190">
        <v>181</v>
      </c>
      <c r="DG53" s="190">
        <v>926</v>
      </c>
      <c r="DH53" s="190">
        <v>1107</v>
      </c>
      <c r="DI53" s="190">
        <v>3</v>
      </c>
      <c r="DJ53" s="190">
        <v>0</v>
      </c>
      <c r="DK53" s="190">
        <v>0</v>
      </c>
      <c r="DL53" s="190">
        <v>35</v>
      </c>
      <c r="DM53" s="190">
        <v>0</v>
      </c>
      <c r="DN53" s="190">
        <v>0</v>
      </c>
      <c r="DO53" s="190">
        <v>3</v>
      </c>
      <c r="DP53" s="190">
        <v>35</v>
      </c>
      <c r="DQ53" s="190">
        <v>38</v>
      </c>
      <c r="DR53" s="190">
        <v>0</v>
      </c>
      <c r="DS53" s="190">
        <v>0</v>
      </c>
      <c r="DT53" s="191">
        <v>0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951</v>
      </c>
      <c r="C54" s="190">
        <v>344</v>
      </c>
      <c r="D54" s="190">
        <v>873</v>
      </c>
      <c r="E54" s="190">
        <v>440</v>
      </c>
      <c r="F54" s="190">
        <v>0</v>
      </c>
      <c r="G54" s="190">
        <v>9</v>
      </c>
      <c r="H54" s="190">
        <v>9</v>
      </c>
      <c r="I54" s="190">
        <v>1</v>
      </c>
      <c r="J54" s="190">
        <v>390</v>
      </c>
      <c r="K54" s="190">
        <v>391</v>
      </c>
      <c r="L54" s="190">
        <v>0</v>
      </c>
      <c r="M54" s="190">
        <v>100</v>
      </c>
      <c r="N54" s="190">
        <v>100</v>
      </c>
      <c r="O54" s="190">
        <v>1</v>
      </c>
      <c r="P54" s="190">
        <v>290</v>
      </c>
      <c r="Q54" s="190">
        <v>291</v>
      </c>
      <c r="R54" s="190">
        <v>0</v>
      </c>
      <c r="S54" s="190">
        <v>48</v>
      </c>
      <c r="T54" s="190">
        <v>48</v>
      </c>
      <c r="U54" s="190">
        <v>0</v>
      </c>
      <c r="V54" s="190">
        <v>42</v>
      </c>
      <c r="W54" s="190">
        <v>42</v>
      </c>
      <c r="X54" s="190">
        <v>15</v>
      </c>
      <c r="Y54" s="190">
        <v>858</v>
      </c>
      <c r="Z54" s="190">
        <v>873</v>
      </c>
      <c r="AA54" s="190">
        <v>11</v>
      </c>
      <c r="AB54" s="190">
        <v>398</v>
      </c>
      <c r="AC54" s="190">
        <v>409</v>
      </c>
      <c r="AD54" s="190">
        <v>10</v>
      </c>
      <c r="AE54" s="190">
        <v>352</v>
      </c>
      <c r="AF54" s="190">
        <v>362</v>
      </c>
      <c r="AG54" s="190">
        <v>1</v>
      </c>
      <c r="AH54" s="190">
        <v>37</v>
      </c>
      <c r="AI54" s="190">
        <v>38</v>
      </c>
      <c r="AJ54" s="190">
        <v>0</v>
      </c>
      <c r="AK54" s="190">
        <v>9</v>
      </c>
      <c r="AL54" s="190">
        <v>9</v>
      </c>
      <c r="AM54" s="190">
        <v>4</v>
      </c>
      <c r="AN54" s="190">
        <v>460</v>
      </c>
      <c r="AO54" s="190">
        <v>464</v>
      </c>
      <c r="AP54" s="190">
        <v>1279</v>
      </c>
      <c r="AQ54" s="190">
        <v>15105</v>
      </c>
      <c r="AR54" s="190">
        <v>16384</v>
      </c>
      <c r="AS54" s="190">
        <v>1270</v>
      </c>
      <c r="AT54" s="190">
        <v>14663</v>
      </c>
      <c r="AU54" s="190">
        <v>15933</v>
      </c>
      <c r="AV54" s="190">
        <v>9</v>
      </c>
      <c r="AW54" s="190">
        <v>442</v>
      </c>
      <c r="AX54" s="190">
        <v>451</v>
      </c>
      <c r="AY54" s="190">
        <v>34</v>
      </c>
      <c r="AZ54" s="190">
        <v>961</v>
      </c>
      <c r="BA54" s="190">
        <v>995</v>
      </c>
      <c r="BB54" s="190">
        <v>22</v>
      </c>
      <c r="BC54" s="190">
        <v>0</v>
      </c>
      <c r="BD54" s="190">
        <v>0</v>
      </c>
      <c r="BE54" s="190">
        <v>409</v>
      </c>
      <c r="BF54" s="190">
        <v>7</v>
      </c>
      <c r="BG54" s="190">
        <v>2</v>
      </c>
      <c r="BH54" s="190">
        <v>22</v>
      </c>
      <c r="BI54" s="190">
        <v>418</v>
      </c>
      <c r="BJ54" s="190">
        <v>440</v>
      </c>
      <c r="BK54" s="190">
        <v>-24</v>
      </c>
      <c r="BL54" s="190">
        <v>24</v>
      </c>
      <c r="BM54" s="190">
        <v>0</v>
      </c>
      <c r="BN54" s="190">
        <v>1</v>
      </c>
      <c r="BO54" s="190">
        <v>14</v>
      </c>
      <c r="BP54" s="190">
        <v>15</v>
      </c>
      <c r="BQ54" s="190">
        <v>11</v>
      </c>
      <c r="BR54" s="190">
        <v>157</v>
      </c>
      <c r="BS54" s="190">
        <v>168</v>
      </c>
      <c r="BT54" s="190">
        <v>24</v>
      </c>
      <c r="BU54" s="190">
        <v>348</v>
      </c>
      <c r="BV54" s="190">
        <v>372</v>
      </c>
      <c r="BW54" s="190">
        <v>1313</v>
      </c>
      <c r="BX54" s="190">
        <v>16066</v>
      </c>
      <c r="BY54" s="190">
        <v>17379</v>
      </c>
      <c r="BZ54" s="190">
        <v>1276</v>
      </c>
      <c r="CA54" s="190">
        <v>15783</v>
      </c>
      <c r="CB54" s="190">
        <v>17059</v>
      </c>
      <c r="CC54" s="190">
        <v>30820</v>
      </c>
      <c r="CD54" s="190">
        <v>21</v>
      </c>
      <c r="CE54" s="190">
        <v>304</v>
      </c>
      <c r="CF54" s="190">
        <v>37</v>
      </c>
      <c r="CG54" s="190">
        <v>233</v>
      </c>
      <c r="CH54" s="190">
        <v>270</v>
      </c>
      <c r="CI54" s="190">
        <v>65</v>
      </c>
      <c r="CJ54" s="190">
        <v>3</v>
      </c>
      <c r="CK54" s="190">
        <v>0</v>
      </c>
      <c r="CL54" s="190">
        <v>50</v>
      </c>
      <c r="CM54" s="190">
        <v>50</v>
      </c>
      <c r="CN54" s="190">
        <v>80</v>
      </c>
      <c r="CO54" s="190">
        <v>1413</v>
      </c>
      <c r="CP54" s="190">
        <v>1493</v>
      </c>
      <c r="CQ54" s="190">
        <v>0</v>
      </c>
      <c r="CR54" s="190">
        <v>0</v>
      </c>
      <c r="CS54" s="190">
        <v>0</v>
      </c>
      <c r="CT54" s="190">
        <v>1233</v>
      </c>
      <c r="CU54" s="190">
        <v>14653</v>
      </c>
      <c r="CV54" s="190">
        <v>15886</v>
      </c>
      <c r="CW54" s="190">
        <v>90</v>
      </c>
      <c r="CX54" s="190">
        <v>676</v>
      </c>
      <c r="CY54" s="190">
        <v>766</v>
      </c>
      <c r="CZ54" s="190">
        <v>84</v>
      </c>
      <c r="DA54" s="190">
        <v>3</v>
      </c>
      <c r="DB54" s="190">
        <v>0</v>
      </c>
      <c r="DC54" s="190">
        <v>644</v>
      </c>
      <c r="DD54" s="190">
        <v>13</v>
      </c>
      <c r="DE54" s="190">
        <v>1</v>
      </c>
      <c r="DF54" s="190">
        <v>87</v>
      </c>
      <c r="DG54" s="190">
        <v>658</v>
      </c>
      <c r="DH54" s="190">
        <v>745</v>
      </c>
      <c r="DI54" s="190">
        <v>3</v>
      </c>
      <c r="DJ54" s="190">
        <v>0</v>
      </c>
      <c r="DK54" s="190">
        <v>0</v>
      </c>
      <c r="DL54" s="190">
        <v>17</v>
      </c>
      <c r="DM54" s="190">
        <v>1</v>
      </c>
      <c r="DN54" s="190">
        <v>0</v>
      </c>
      <c r="DO54" s="190">
        <v>3</v>
      </c>
      <c r="DP54" s="190">
        <v>18</v>
      </c>
      <c r="DQ54" s="190">
        <v>21</v>
      </c>
      <c r="DR54" s="190">
        <v>0</v>
      </c>
      <c r="DS54" s="190">
        <v>1</v>
      </c>
      <c r="DT54" s="191">
        <v>1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2837</v>
      </c>
      <c r="C55" s="190">
        <v>670</v>
      </c>
      <c r="D55" s="190">
        <v>2850</v>
      </c>
      <c r="E55" s="190">
        <v>1864</v>
      </c>
      <c r="F55" s="190">
        <v>3</v>
      </c>
      <c r="G55" s="190">
        <v>21</v>
      </c>
      <c r="H55" s="190">
        <v>24</v>
      </c>
      <c r="I55" s="190">
        <v>1</v>
      </c>
      <c r="J55" s="190">
        <v>875</v>
      </c>
      <c r="K55" s="190">
        <v>876</v>
      </c>
      <c r="L55" s="190">
        <v>1</v>
      </c>
      <c r="M55" s="190">
        <v>505</v>
      </c>
      <c r="N55" s="190">
        <v>506</v>
      </c>
      <c r="O55" s="190">
        <v>0</v>
      </c>
      <c r="P55" s="190">
        <v>370</v>
      </c>
      <c r="Q55" s="190">
        <v>370</v>
      </c>
      <c r="R55" s="190">
        <v>0</v>
      </c>
      <c r="S55" s="190">
        <v>3</v>
      </c>
      <c r="T55" s="190">
        <v>3</v>
      </c>
      <c r="U55" s="190">
        <v>0</v>
      </c>
      <c r="V55" s="190">
        <v>110</v>
      </c>
      <c r="W55" s="190">
        <v>110</v>
      </c>
      <c r="X55" s="190">
        <v>72</v>
      </c>
      <c r="Y55" s="190">
        <v>2776</v>
      </c>
      <c r="Z55" s="190">
        <v>2848</v>
      </c>
      <c r="AA55" s="190">
        <v>33</v>
      </c>
      <c r="AB55" s="190">
        <v>1150</v>
      </c>
      <c r="AC55" s="190">
        <v>1183</v>
      </c>
      <c r="AD55" s="190">
        <v>32</v>
      </c>
      <c r="AE55" s="190">
        <v>1083</v>
      </c>
      <c r="AF55" s="190">
        <v>1115</v>
      </c>
      <c r="AG55" s="190">
        <v>0</v>
      </c>
      <c r="AH55" s="190">
        <v>43</v>
      </c>
      <c r="AI55" s="190">
        <v>43</v>
      </c>
      <c r="AJ55" s="190">
        <v>1</v>
      </c>
      <c r="AK55" s="190">
        <v>24</v>
      </c>
      <c r="AL55" s="190">
        <v>25</v>
      </c>
      <c r="AM55" s="190">
        <v>39</v>
      </c>
      <c r="AN55" s="190">
        <v>1626</v>
      </c>
      <c r="AO55" s="190">
        <v>1665</v>
      </c>
      <c r="AP55" s="190">
        <v>4980</v>
      </c>
      <c r="AQ55" s="190">
        <v>32300</v>
      </c>
      <c r="AR55" s="190">
        <v>37280</v>
      </c>
      <c r="AS55" s="190">
        <v>4981</v>
      </c>
      <c r="AT55" s="190">
        <v>32302</v>
      </c>
      <c r="AU55" s="190">
        <v>37283</v>
      </c>
      <c r="AV55" s="190">
        <v>-1</v>
      </c>
      <c r="AW55" s="190">
        <v>-2</v>
      </c>
      <c r="AX55" s="190">
        <v>-3</v>
      </c>
      <c r="AY55" s="190">
        <v>264</v>
      </c>
      <c r="AZ55" s="190">
        <v>2854</v>
      </c>
      <c r="BA55" s="190">
        <v>3118</v>
      </c>
      <c r="BB55" s="190">
        <v>84</v>
      </c>
      <c r="BC55" s="190">
        <v>1</v>
      </c>
      <c r="BD55" s="190">
        <v>0</v>
      </c>
      <c r="BE55" s="190">
        <v>1772</v>
      </c>
      <c r="BF55" s="190">
        <v>7</v>
      </c>
      <c r="BG55" s="190">
        <v>0</v>
      </c>
      <c r="BH55" s="190">
        <v>85</v>
      </c>
      <c r="BI55" s="190">
        <v>1779</v>
      </c>
      <c r="BJ55" s="190">
        <v>1864</v>
      </c>
      <c r="BK55" s="190">
        <v>9</v>
      </c>
      <c r="BL55" s="190">
        <v>-9</v>
      </c>
      <c r="BM55" s="190">
        <v>0</v>
      </c>
      <c r="BN55" s="190">
        <v>25</v>
      </c>
      <c r="BO55" s="190">
        <v>92</v>
      </c>
      <c r="BP55" s="190">
        <v>117</v>
      </c>
      <c r="BQ55" s="190">
        <v>39</v>
      </c>
      <c r="BR55" s="190">
        <v>468</v>
      </c>
      <c r="BS55" s="190">
        <v>507</v>
      </c>
      <c r="BT55" s="190">
        <v>106</v>
      </c>
      <c r="BU55" s="190">
        <v>524</v>
      </c>
      <c r="BV55" s="190">
        <v>630</v>
      </c>
      <c r="BW55" s="190">
        <v>5244</v>
      </c>
      <c r="BX55" s="190">
        <v>35154</v>
      </c>
      <c r="BY55" s="190">
        <v>40398</v>
      </c>
      <c r="BZ55" s="190">
        <v>5214</v>
      </c>
      <c r="CA55" s="190">
        <v>34940</v>
      </c>
      <c r="CB55" s="190">
        <v>40154</v>
      </c>
      <c r="CC55" s="190">
        <v>83890</v>
      </c>
      <c r="CD55" s="190">
        <v>16</v>
      </c>
      <c r="CE55" s="190">
        <v>231</v>
      </c>
      <c r="CF55" s="190">
        <v>30</v>
      </c>
      <c r="CG55" s="190">
        <v>185</v>
      </c>
      <c r="CH55" s="190">
        <v>215</v>
      </c>
      <c r="CI55" s="190">
        <v>30</v>
      </c>
      <c r="CJ55" s="190">
        <v>7</v>
      </c>
      <c r="CK55" s="190">
        <v>0</v>
      </c>
      <c r="CL55" s="190">
        <v>29</v>
      </c>
      <c r="CM55" s="190">
        <v>29</v>
      </c>
      <c r="CN55" s="190">
        <v>255</v>
      </c>
      <c r="CO55" s="190">
        <v>2923</v>
      </c>
      <c r="CP55" s="190">
        <v>3178</v>
      </c>
      <c r="CQ55" s="190">
        <v>0</v>
      </c>
      <c r="CR55" s="190">
        <v>0</v>
      </c>
      <c r="CS55" s="190">
        <v>0</v>
      </c>
      <c r="CT55" s="190">
        <v>4989</v>
      </c>
      <c r="CU55" s="190">
        <v>32231</v>
      </c>
      <c r="CV55" s="190">
        <v>37220</v>
      </c>
      <c r="CW55" s="190">
        <v>355</v>
      </c>
      <c r="CX55" s="190">
        <v>1230</v>
      </c>
      <c r="CY55" s="190">
        <v>1585</v>
      </c>
      <c r="CZ55" s="190">
        <v>353</v>
      </c>
      <c r="DA55" s="190">
        <v>1</v>
      </c>
      <c r="DB55" s="190">
        <v>0</v>
      </c>
      <c r="DC55" s="190">
        <v>1206</v>
      </c>
      <c r="DD55" s="190">
        <v>11</v>
      </c>
      <c r="DE55" s="190">
        <v>0</v>
      </c>
      <c r="DF55" s="190">
        <v>354</v>
      </c>
      <c r="DG55" s="190">
        <v>1217</v>
      </c>
      <c r="DH55" s="190">
        <v>1571</v>
      </c>
      <c r="DI55" s="190">
        <v>1</v>
      </c>
      <c r="DJ55" s="190">
        <v>0</v>
      </c>
      <c r="DK55" s="190">
        <v>0</v>
      </c>
      <c r="DL55" s="190">
        <v>13</v>
      </c>
      <c r="DM55" s="190">
        <v>0</v>
      </c>
      <c r="DN55" s="190">
        <v>0</v>
      </c>
      <c r="DO55" s="190">
        <v>1</v>
      </c>
      <c r="DP55" s="190">
        <v>13</v>
      </c>
      <c r="DQ55" s="190">
        <v>14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385</v>
      </c>
      <c r="C56" s="190">
        <v>131</v>
      </c>
      <c r="D56" s="190">
        <v>372</v>
      </c>
      <c r="E56" s="190">
        <v>196</v>
      </c>
      <c r="F56" s="190">
        <v>1</v>
      </c>
      <c r="G56" s="190">
        <v>2</v>
      </c>
      <c r="H56" s="190">
        <v>3</v>
      </c>
      <c r="I56" s="190">
        <v>0</v>
      </c>
      <c r="J56" s="190">
        <v>162</v>
      </c>
      <c r="K56" s="190">
        <v>162</v>
      </c>
      <c r="L56" s="190">
        <v>0</v>
      </c>
      <c r="M56" s="190">
        <v>71</v>
      </c>
      <c r="N56" s="190">
        <v>71</v>
      </c>
      <c r="O56" s="190">
        <v>0</v>
      </c>
      <c r="P56" s="190">
        <v>91</v>
      </c>
      <c r="Q56" s="190">
        <v>91</v>
      </c>
      <c r="R56" s="190">
        <v>0</v>
      </c>
      <c r="S56" s="190">
        <v>0</v>
      </c>
      <c r="T56" s="190">
        <v>0</v>
      </c>
      <c r="U56" s="190">
        <v>0</v>
      </c>
      <c r="V56" s="190">
        <v>14</v>
      </c>
      <c r="W56" s="190">
        <v>14</v>
      </c>
      <c r="X56" s="190">
        <v>14</v>
      </c>
      <c r="Y56" s="190">
        <v>358</v>
      </c>
      <c r="Z56" s="190">
        <v>372</v>
      </c>
      <c r="AA56" s="190">
        <v>9</v>
      </c>
      <c r="AB56" s="190">
        <v>137</v>
      </c>
      <c r="AC56" s="190">
        <v>146</v>
      </c>
      <c r="AD56" s="190">
        <v>9</v>
      </c>
      <c r="AE56" s="190">
        <v>132</v>
      </c>
      <c r="AF56" s="190">
        <v>141</v>
      </c>
      <c r="AG56" s="190">
        <v>0</v>
      </c>
      <c r="AH56" s="190">
        <v>3</v>
      </c>
      <c r="AI56" s="190">
        <v>3</v>
      </c>
      <c r="AJ56" s="190">
        <v>0</v>
      </c>
      <c r="AK56" s="190">
        <v>2</v>
      </c>
      <c r="AL56" s="190">
        <v>2</v>
      </c>
      <c r="AM56" s="190">
        <v>5</v>
      </c>
      <c r="AN56" s="190">
        <v>221</v>
      </c>
      <c r="AO56" s="190">
        <v>226</v>
      </c>
      <c r="AP56" s="190">
        <v>682</v>
      </c>
      <c r="AQ56" s="190">
        <v>4537</v>
      </c>
      <c r="AR56" s="190">
        <v>5219</v>
      </c>
      <c r="AS56" s="190">
        <v>682</v>
      </c>
      <c r="AT56" s="190">
        <v>4537</v>
      </c>
      <c r="AU56" s="190">
        <v>5219</v>
      </c>
      <c r="AV56" s="190">
        <v>0</v>
      </c>
      <c r="AW56" s="190">
        <v>0</v>
      </c>
      <c r="AX56" s="190">
        <v>0</v>
      </c>
      <c r="AY56" s="190">
        <v>37</v>
      </c>
      <c r="AZ56" s="190">
        <v>460</v>
      </c>
      <c r="BA56" s="190">
        <v>497</v>
      </c>
      <c r="BB56" s="190">
        <v>18</v>
      </c>
      <c r="BC56" s="190">
        <v>0</v>
      </c>
      <c r="BD56" s="190">
        <v>0</v>
      </c>
      <c r="BE56" s="190">
        <v>175</v>
      </c>
      <c r="BF56" s="190">
        <v>3</v>
      </c>
      <c r="BG56" s="190">
        <v>0</v>
      </c>
      <c r="BH56" s="190">
        <v>18</v>
      </c>
      <c r="BI56" s="190">
        <v>178</v>
      </c>
      <c r="BJ56" s="190">
        <v>196</v>
      </c>
      <c r="BK56" s="190">
        <v>-10</v>
      </c>
      <c r="BL56" s="190">
        <v>10</v>
      </c>
      <c r="BM56" s="190">
        <v>0</v>
      </c>
      <c r="BN56" s="190">
        <v>3</v>
      </c>
      <c r="BO56" s="190">
        <v>38</v>
      </c>
      <c r="BP56" s="190">
        <v>41</v>
      </c>
      <c r="BQ56" s="190">
        <v>4</v>
      </c>
      <c r="BR56" s="190">
        <v>71</v>
      </c>
      <c r="BS56" s="190">
        <v>75</v>
      </c>
      <c r="BT56" s="190">
        <v>22</v>
      </c>
      <c r="BU56" s="190">
        <v>163</v>
      </c>
      <c r="BV56" s="190">
        <v>185</v>
      </c>
      <c r="BW56" s="190">
        <v>719</v>
      </c>
      <c r="BX56" s="190">
        <v>4997</v>
      </c>
      <c r="BY56" s="190">
        <v>5716</v>
      </c>
      <c r="BZ56" s="190">
        <v>706</v>
      </c>
      <c r="CA56" s="190">
        <v>4935</v>
      </c>
      <c r="CB56" s="190">
        <v>5641</v>
      </c>
      <c r="CC56" s="190">
        <v>12932</v>
      </c>
      <c r="CD56" s="190">
        <v>6</v>
      </c>
      <c r="CE56" s="190">
        <v>67</v>
      </c>
      <c r="CF56" s="190">
        <v>13</v>
      </c>
      <c r="CG56" s="190">
        <v>49</v>
      </c>
      <c r="CH56" s="190">
        <v>62</v>
      </c>
      <c r="CI56" s="190">
        <v>15</v>
      </c>
      <c r="CJ56" s="190">
        <v>3</v>
      </c>
      <c r="CK56" s="190">
        <v>0</v>
      </c>
      <c r="CL56" s="190">
        <v>13</v>
      </c>
      <c r="CM56" s="190">
        <v>13</v>
      </c>
      <c r="CN56" s="190">
        <v>48</v>
      </c>
      <c r="CO56" s="190">
        <v>507</v>
      </c>
      <c r="CP56" s="190">
        <v>555</v>
      </c>
      <c r="CQ56" s="190">
        <v>0</v>
      </c>
      <c r="CR56" s="190">
        <v>0</v>
      </c>
      <c r="CS56" s="190">
        <v>0</v>
      </c>
      <c r="CT56" s="190">
        <v>671</v>
      </c>
      <c r="CU56" s="190">
        <v>4490</v>
      </c>
      <c r="CV56" s="190">
        <v>5161</v>
      </c>
      <c r="CW56" s="190">
        <v>41</v>
      </c>
      <c r="CX56" s="190">
        <v>218</v>
      </c>
      <c r="CY56" s="190">
        <v>259</v>
      </c>
      <c r="CZ56" s="190">
        <v>41</v>
      </c>
      <c r="DA56" s="190">
        <v>0</v>
      </c>
      <c r="DB56" s="190">
        <v>0</v>
      </c>
      <c r="DC56" s="190">
        <v>210</v>
      </c>
      <c r="DD56" s="190">
        <v>3</v>
      </c>
      <c r="DE56" s="190">
        <v>0</v>
      </c>
      <c r="DF56" s="190">
        <v>41</v>
      </c>
      <c r="DG56" s="190">
        <v>213</v>
      </c>
      <c r="DH56" s="190">
        <v>254</v>
      </c>
      <c r="DI56" s="190">
        <v>0</v>
      </c>
      <c r="DJ56" s="190">
        <v>0</v>
      </c>
      <c r="DK56" s="190">
        <v>0</v>
      </c>
      <c r="DL56" s="190">
        <v>5</v>
      </c>
      <c r="DM56" s="190">
        <v>0</v>
      </c>
      <c r="DN56" s="190">
        <v>0</v>
      </c>
      <c r="DO56" s="190">
        <v>0</v>
      </c>
      <c r="DP56" s="190">
        <v>5</v>
      </c>
      <c r="DQ56" s="190">
        <v>5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358</v>
      </c>
      <c r="C57" s="190">
        <v>40</v>
      </c>
      <c r="D57" s="190">
        <v>374</v>
      </c>
      <c r="E57" s="190">
        <v>186</v>
      </c>
      <c r="F57" s="190">
        <v>0</v>
      </c>
      <c r="G57" s="190">
        <v>10</v>
      </c>
      <c r="H57" s="190">
        <v>10</v>
      </c>
      <c r="I57" s="190">
        <v>0</v>
      </c>
      <c r="J57" s="190">
        <v>158</v>
      </c>
      <c r="K57" s="190">
        <v>158</v>
      </c>
      <c r="L57" s="190">
        <v>0</v>
      </c>
      <c r="M57" s="190">
        <v>32</v>
      </c>
      <c r="N57" s="190">
        <v>32</v>
      </c>
      <c r="O57" s="190">
        <v>0</v>
      </c>
      <c r="P57" s="190">
        <v>126</v>
      </c>
      <c r="Q57" s="190">
        <v>126</v>
      </c>
      <c r="R57" s="190">
        <v>0</v>
      </c>
      <c r="S57" s="190">
        <v>3</v>
      </c>
      <c r="T57" s="190">
        <v>3</v>
      </c>
      <c r="U57" s="190">
        <v>0</v>
      </c>
      <c r="V57" s="190">
        <v>30</v>
      </c>
      <c r="W57" s="190">
        <v>30</v>
      </c>
      <c r="X57" s="190">
        <v>5</v>
      </c>
      <c r="Y57" s="190">
        <v>369</v>
      </c>
      <c r="Z57" s="190">
        <v>374</v>
      </c>
      <c r="AA57" s="190">
        <v>5</v>
      </c>
      <c r="AB57" s="190">
        <v>138</v>
      </c>
      <c r="AC57" s="190">
        <v>143</v>
      </c>
      <c r="AD57" s="190">
        <v>5</v>
      </c>
      <c r="AE57" s="190">
        <v>129</v>
      </c>
      <c r="AF57" s="190">
        <v>134</v>
      </c>
      <c r="AG57" s="190">
        <v>0</v>
      </c>
      <c r="AH57" s="190">
        <v>5</v>
      </c>
      <c r="AI57" s="190">
        <v>5</v>
      </c>
      <c r="AJ57" s="190">
        <v>0</v>
      </c>
      <c r="AK57" s="190">
        <v>4</v>
      </c>
      <c r="AL57" s="190">
        <v>4</v>
      </c>
      <c r="AM57" s="190">
        <v>0</v>
      </c>
      <c r="AN57" s="190">
        <v>231</v>
      </c>
      <c r="AO57" s="190">
        <v>231</v>
      </c>
      <c r="AP57" s="190">
        <v>443</v>
      </c>
      <c r="AQ57" s="190">
        <v>3550</v>
      </c>
      <c r="AR57" s="190">
        <v>3993</v>
      </c>
      <c r="AS57" s="190">
        <v>443</v>
      </c>
      <c r="AT57" s="190">
        <v>3550</v>
      </c>
      <c r="AU57" s="190">
        <v>3993</v>
      </c>
      <c r="AV57" s="190">
        <v>0</v>
      </c>
      <c r="AW57" s="190">
        <v>0</v>
      </c>
      <c r="AX57" s="190">
        <v>0</v>
      </c>
      <c r="AY57" s="190">
        <v>19</v>
      </c>
      <c r="AZ57" s="190">
        <v>384</v>
      </c>
      <c r="BA57" s="190">
        <v>403</v>
      </c>
      <c r="BB57" s="190">
        <v>6</v>
      </c>
      <c r="BC57" s="190">
        <v>0</v>
      </c>
      <c r="BD57" s="190">
        <v>0</v>
      </c>
      <c r="BE57" s="190">
        <v>179</v>
      </c>
      <c r="BF57" s="190">
        <v>1</v>
      </c>
      <c r="BG57" s="190">
        <v>0</v>
      </c>
      <c r="BH57" s="190">
        <v>6</v>
      </c>
      <c r="BI57" s="190">
        <v>180</v>
      </c>
      <c r="BJ57" s="190">
        <v>186</v>
      </c>
      <c r="BK57" s="190">
        <v>-7</v>
      </c>
      <c r="BL57" s="190">
        <v>7</v>
      </c>
      <c r="BM57" s="190">
        <v>0</v>
      </c>
      <c r="BN57" s="190">
        <v>7</v>
      </c>
      <c r="BO57" s="190">
        <v>25</v>
      </c>
      <c r="BP57" s="190">
        <v>32</v>
      </c>
      <c r="BQ57" s="190">
        <v>4</v>
      </c>
      <c r="BR57" s="190">
        <v>60</v>
      </c>
      <c r="BS57" s="190">
        <v>64</v>
      </c>
      <c r="BT57" s="190">
        <v>9</v>
      </c>
      <c r="BU57" s="190">
        <v>112</v>
      </c>
      <c r="BV57" s="190">
        <v>121</v>
      </c>
      <c r="BW57" s="190">
        <v>462</v>
      </c>
      <c r="BX57" s="190">
        <v>3934</v>
      </c>
      <c r="BY57" s="190">
        <v>4396</v>
      </c>
      <c r="BZ57" s="190">
        <v>462</v>
      </c>
      <c r="CA57" s="190">
        <v>3921</v>
      </c>
      <c r="CB57" s="190">
        <v>4383</v>
      </c>
      <c r="CC57" s="190">
        <v>9467</v>
      </c>
      <c r="CD57" s="190">
        <v>0</v>
      </c>
      <c r="CE57" s="190">
        <v>13</v>
      </c>
      <c r="CF57" s="190">
        <v>0</v>
      </c>
      <c r="CG57" s="190">
        <v>12</v>
      </c>
      <c r="CH57" s="190">
        <v>12</v>
      </c>
      <c r="CI57" s="190">
        <v>1</v>
      </c>
      <c r="CJ57" s="190">
        <v>0</v>
      </c>
      <c r="CK57" s="190">
        <v>0</v>
      </c>
      <c r="CL57" s="190">
        <v>1</v>
      </c>
      <c r="CM57" s="190">
        <v>1</v>
      </c>
      <c r="CN57" s="190">
        <v>20</v>
      </c>
      <c r="CO57" s="190">
        <v>365</v>
      </c>
      <c r="CP57" s="190">
        <v>385</v>
      </c>
      <c r="CQ57" s="190">
        <v>0</v>
      </c>
      <c r="CR57" s="190">
        <v>3</v>
      </c>
      <c r="CS57" s="190">
        <v>3</v>
      </c>
      <c r="CT57" s="190">
        <v>442</v>
      </c>
      <c r="CU57" s="190">
        <v>3569</v>
      </c>
      <c r="CV57" s="190">
        <v>4011</v>
      </c>
      <c r="CW57" s="190">
        <v>32</v>
      </c>
      <c r="CX57" s="190">
        <v>149</v>
      </c>
      <c r="CY57" s="190">
        <v>181</v>
      </c>
      <c r="CZ57" s="190">
        <v>32</v>
      </c>
      <c r="DA57" s="190">
        <v>0</v>
      </c>
      <c r="DB57" s="190">
        <v>0</v>
      </c>
      <c r="DC57" s="190">
        <v>148</v>
      </c>
      <c r="DD57" s="190">
        <v>0</v>
      </c>
      <c r="DE57" s="190">
        <v>0</v>
      </c>
      <c r="DF57" s="190">
        <v>32</v>
      </c>
      <c r="DG57" s="190">
        <v>148</v>
      </c>
      <c r="DH57" s="190">
        <v>180</v>
      </c>
      <c r="DI57" s="190">
        <v>0</v>
      </c>
      <c r="DJ57" s="190">
        <v>0</v>
      </c>
      <c r="DK57" s="190">
        <v>0</v>
      </c>
      <c r="DL57" s="190">
        <v>1</v>
      </c>
      <c r="DM57" s="190">
        <v>0</v>
      </c>
      <c r="DN57" s="190">
        <v>0</v>
      </c>
      <c r="DO57" s="190">
        <v>0</v>
      </c>
      <c r="DP57" s="190">
        <v>1</v>
      </c>
      <c r="DQ57" s="190">
        <v>1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81</v>
      </c>
      <c r="C58" s="190">
        <v>5</v>
      </c>
      <c r="D58" s="190">
        <v>81</v>
      </c>
      <c r="E58" s="190">
        <v>53</v>
      </c>
      <c r="F58" s="190">
        <v>0</v>
      </c>
      <c r="G58" s="190">
        <v>1</v>
      </c>
      <c r="H58" s="190">
        <v>1</v>
      </c>
      <c r="I58" s="190">
        <v>0</v>
      </c>
      <c r="J58" s="190">
        <v>28</v>
      </c>
      <c r="K58" s="190">
        <v>28</v>
      </c>
      <c r="L58" s="190">
        <v>0</v>
      </c>
      <c r="M58" s="190">
        <v>5</v>
      </c>
      <c r="N58" s="190">
        <v>5</v>
      </c>
      <c r="O58" s="190">
        <v>0</v>
      </c>
      <c r="P58" s="190">
        <v>23</v>
      </c>
      <c r="Q58" s="190">
        <v>23</v>
      </c>
      <c r="R58" s="190">
        <v>0</v>
      </c>
      <c r="S58" s="190">
        <v>0</v>
      </c>
      <c r="T58" s="190">
        <v>0</v>
      </c>
      <c r="U58" s="190">
        <v>0</v>
      </c>
      <c r="V58" s="190">
        <v>0</v>
      </c>
      <c r="W58" s="190">
        <v>0</v>
      </c>
      <c r="X58" s="190">
        <v>2</v>
      </c>
      <c r="Y58" s="190">
        <v>79</v>
      </c>
      <c r="Z58" s="190">
        <v>81</v>
      </c>
      <c r="AA58" s="190">
        <v>0</v>
      </c>
      <c r="AB58" s="190">
        <v>40</v>
      </c>
      <c r="AC58" s="190">
        <v>40</v>
      </c>
      <c r="AD58" s="190">
        <v>0</v>
      </c>
      <c r="AE58" s="190">
        <v>30</v>
      </c>
      <c r="AF58" s="190">
        <v>30</v>
      </c>
      <c r="AG58" s="190">
        <v>0</v>
      </c>
      <c r="AH58" s="190">
        <v>7</v>
      </c>
      <c r="AI58" s="190">
        <v>7</v>
      </c>
      <c r="AJ58" s="190">
        <v>0</v>
      </c>
      <c r="AK58" s="190">
        <v>3</v>
      </c>
      <c r="AL58" s="190">
        <v>3</v>
      </c>
      <c r="AM58" s="190">
        <v>2</v>
      </c>
      <c r="AN58" s="190">
        <v>39</v>
      </c>
      <c r="AO58" s="190">
        <v>41</v>
      </c>
      <c r="AP58" s="190">
        <v>50</v>
      </c>
      <c r="AQ58" s="190">
        <v>847</v>
      </c>
      <c r="AR58" s="190">
        <v>897</v>
      </c>
      <c r="AS58" s="190">
        <v>50</v>
      </c>
      <c r="AT58" s="190">
        <v>847</v>
      </c>
      <c r="AU58" s="190">
        <v>897</v>
      </c>
      <c r="AV58" s="190">
        <v>0</v>
      </c>
      <c r="AW58" s="190">
        <v>0</v>
      </c>
      <c r="AX58" s="190">
        <v>0</v>
      </c>
      <c r="AY58" s="190">
        <v>8</v>
      </c>
      <c r="AZ58" s="190">
        <v>84</v>
      </c>
      <c r="BA58" s="190">
        <v>92</v>
      </c>
      <c r="BB58" s="190">
        <v>2</v>
      </c>
      <c r="BC58" s="190">
        <v>0</v>
      </c>
      <c r="BD58" s="190">
        <v>0</v>
      </c>
      <c r="BE58" s="190">
        <v>50</v>
      </c>
      <c r="BF58" s="190">
        <v>1</v>
      </c>
      <c r="BG58" s="190">
        <v>0</v>
      </c>
      <c r="BH58" s="190">
        <v>2</v>
      </c>
      <c r="BI58" s="190">
        <v>51</v>
      </c>
      <c r="BJ58" s="190">
        <v>53</v>
      </c>
      <c r="BK58" s="190">
        <v>4</v>
      </c>
      <c r="BL58" s="190">
        <v>-4</v>
      </c>
      <c r="BM58" s="190">
        <v>0</v>
      </c>
      <c r="BN58" s="190">
        <v>0</v>
      </c>
      <c r="BO58" s="190">
        <v>7</v>
      </c>
      <c r="BP58" s="190">
        <v>7</v>
      </c>
      <c r="BQ58" s="190">
        <v>0</v>
      </c>
      <c r="BR58" s="190">
        <v>15</v>
      </c>
      <c r="BS58" s="190">
        <v>15</v>
      </c>
      <c r="BT58" s="190">
        <v>2</v>
      </c>
      <c r="BU58" s="190">
        <v>15</v>
      </c>
      <c r="BV58" s="190">
        <v>17</v>
      </c>
      <c r="BW58" s="190">
        <v>58</v>
      </c>
      <c r="BX58" s="190">
        <v>931</v>
      </c>
      <c r="BY58" s="190">
        <v>989</v>
      </c>
      <c r="BZ58" s="190">
        <v>58</v>
      </c>
      <c r="CA58" s="190">
        <v>929</v>
      </c>
      <c r="CB58" s="190">
        <v>987</v>
      </c>
      <c r="CC58" s="190">
        <v>1740</v>
      </c>
      <c r="CD58" s="190">
        <v>0</v>
      </c>
      <c r="CE58" s="190">
        <v>2</v>
      </c>
      <c r="CF58" s="190">
        <v>0</v>
      </c>
      <c r="CG58" s="190">
        <v>2</v>
      </c>
      <c r="CH58" s="190">
        <v>2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1</v>
      </c>
      <c r="CO58" s="190">
        <v>101</v>
      </c>
      <c r="CP58" s="190">
        <v>102</v>
      </c>
      <c r="CQ58" s="190">
        <v>0</v>
      </c>
      <c r="CR58" s="190">
        <v>0</v>
      </c>
      <c r="CS58" s="190">
        <v>0</v>
      </c>
      <c r="CT58" s="190">
        <v>57</v>
      </c>
      <c r="CU58" s="190">
        <v>830</v>
      </c>
      <c r="CV58" s="190">
        <v>887</v>
      </c>
      <c r="CW58" s="190">
        <v>3</v>
      </c>
      <c r="CX58" s="190">
        <v>36</v>
      </c>
      <c r="CY58" s="190">
        <v>39</v>
      </c>
      <c r="CZ58" s="190">
        <v>3</v>
      </c>
      <c r="DA58" s="190">
        <v>0</v>
      </c>
      <c r="DB58" s="190">
        <v>0</v>
      </c>
      <c r="DC58" s="190">
        <v>36</v>
      </c>
      <c r="DD58" s="190">
        <v>0</v>
      </c>
      <c r="DE58" s="190">
        <v>0</v>
      </c>
      <c r="DF58" s="190">
        <v>3</v>
      </c>
      <c r="DG58" s="190">
        <v>36</v>
      </c>
      <c r="DH58" s="190">
        <v>39</v>
      </c>
      <c r="DI58" s="190">
        <v>0</v>
      </c>
      <c r="DJ58" s="190">
        <v>0</v>
      </c>
      <c r="DK58" s="190">
        <v>0</v>
      </c>
      <c r="DL58" s="190">
        <v>0</v>
      </c>
      <c r="DM58" s="190">
        <v>0</v>
      </c>
      <c r="DN58" s="190">
        <v>0</v>
      </c>
      <c r="DO58" s="190">
        <v>0</v>
      </c>
      <c r="DP58" s="190">
        <v>0</v>
      </c>
      <c r="DQ58" s="190">
        <v>0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2465</v>
      </c>
      <c r="C59" s="190">
        <v>324</v>
      </c>
      <c r="D59" s="190">
        <v>2362</v>
      </c>
      <c r="E59" s="190">
        <v>1901</v>
      </c>
      <c r="F59" s="190">
        <v>4</v>
      </c>
      <c r="G59" s="190">
        <v>14</v>
      </c>
      <c r="H59" s="190">
        <v>18</v>
      </c>
      <c r="I59" s="190">
        <v>4</v>
      </c>
      <c r="J59" s="190">
        <v>409</v>
      </c>
      <c r="K59" s="190">
        <v>413</v>
      </c>
      <c r="L59" s="190">
        <v>2</v>
      </c>
      <c r="M59" s="190">
        <v>323</v>
      </c>
      <c r="N59" s="190">
        <v>325</v>
      </c>
      <c r="O59" s="190">
        <v>2</v>
      </c>
      <c r="P59" s="190">
        <v>86</v>
      </c>
      <c r="Q59" s="190">
        <v>88</v>
      </c>
      <c r="R59" s="190">
        <v>0</v>
      </c>
      <c r="S59" s="190">
        <v>19</v>
      </c>
      <c r="T59" s="190">
        <v>19</v>
      </c>
      <c r="U59" s="190">
        <v>0</v>
      </c>
      <c r="V59" s="190">
        <v>48</v>
      </c>
      <c r="W59" s="190">
        <v>48</v>
      </c>
      <c r="X59" s="190">
        <v>43</v>
      </c>
      <c r="Y59" s="190">
        <v>1429</v>
      </c>
      <c r="Z59" s="190">
        <v>1472</v>
      </c>
      <c r="AA59" s="190">
        <v>19</v>
      </c>
      <c r="AB59" s="190">
        <v>712</v>
      </c>
      <c r="AC59" s="190">
        <v>731</v>
      </c>
      <c r="AD59" s="190">
        <v>17</v>
      </c>
      <c r="AE59" s="190">
        <v>658</v>
      </c>
      <c r="AF59" s="190">
        <v>675</v>
      </c>
      <c r="AG59" s="190">
        <v>2</v>
      </c>
      <c r="AH59" s="190">
        <v>46</v>
      </c>
      <c r="AI59" s="190">
        <v>48</v>
      </c>
      <c r="AJ59" s="190">
        <v>0</v>
      </c>
      <c r="AK59" s="190">
        <v>8</v>
      </c>
      <c r="AL59" s="190">
        <v>8</v>
      </c>
      <c r="AM59" s="190">
        <v>24</v>
      </c>
      <c r="AN59" s="190">
        <v>717</v>
      </c>
      <c r="AO59" s="190">
        <v>741</v>
      </c>
      <c r="AP59" s="190">
        <v>7292</v>
      </c>
      <c r="AQ59" s="190">
        <v>44077</v>
      </c>
      <c r="AR59" s="190">
        <v>51369</v>
      </c>
      <c r="AS59" s="190">
        <v>7294</v>
      </c>
      <c r="AT59" s="190">
        <v>43582</v>
      </c>
      <c r="AU59" s="190">
        <v>50876</v>
      </c>
      <c r="AV59" s="190">
        <v>-2</v>
      </c>
      <c r="AW59" s="190">
        <v>495</v>
      </c>
      <c r="AX59" s="190">
        <v>493</v>
      </c>
      <c r="AY59" s="190">
        <v>249</v>
      </c>
      <c r="AZ59" s="190">
        <v>3737</v>
      </c>
      <c r="BA59" s="190">
        <v>3986</v>
      </c>
      <c r="BB59" s="190">
        <v>145</v>
      </c>
      <c r="BC59" s="190">
        <v>2</v>
      </c>
      <c r="BD59" s="190">
        <v>0</v>
      </c>
      <c r="BE59" s="190">
        <v>1712</v>
      </c>
      <c r="BF59" s="190">
        <v>33</v>
      </c>
      <c r="BG59" s="190">
        <v>9</v>
      </c>
      <c r="BH59" s="190">
        <v>147</v>
      </c>
      <c r="BI59" s="190">
        <v>1754</v>
      </c>
      <c r="BJ59" s="190">
        <v>1901</v>
      </c>
      <c r="BK59" s="190">
        <v>-173</v>
      </c>
      <c r="BL59" s="190">
        <v>173</v>
      </c>
      <c r="BM59" s="190">
        <v>0</v>
      </c>
      <c r="BN59" s="190">
        <v>20</v>
      </c>
      <c r="BO59" s="190">
        <v>69</v>
      </c>
      <c r="BP59" s="190">
        <v>89</v>
      </c>
      <c r="BQ59" s="190">
        <v>47</v>
      </c>
      <c r="BR59" s="190">
        <v>483</v>
      </c>
      <c r="BS59" s="190">
        <v>530</v>
      </c>
      <c r="BT59" s="190">
        <v>208</v>
      </c>
      <c r="BU59" s="190">
        <v>1258</v>
      </c>
      <c r="BV59" s="190">
        <v>1466</v>
      </c>
      <c r="BW59" s="190">
        <v>7541</v>
      </c>
      <c r="BX59" s="190">
        <v>47814</v>
      </c>
      <c r="BY59" s="190">
        <v>55355</v>
      </c>
      <c r="BZ59" s="190">
        <v>7475</v>
      </c>
      <c r="CA59" s="190">
        <v>46859</v>
      </c>
      <c r="CB59" s="190">
        <v>54334</v>
      </c>
      <c r="CC59" s="190">
        <v>120292</v>
      </c>
      <c r="CD59" s="190">
        <v>137</v>
      </c>
      <c r="CE59" s="190">
        <v>931</v>
      </c>
      <c r="CF59" s="190">
        <v>66</v>
      </c>
      <c r="CG59" s="190">
        <v>749</v>
      </c>
      <c r="CH59" s="190">
        <v>815</v>
      </c>
      <c r="CI59" s="190">
        <v>260</v>
      </c>
      <c r="CJ59" s="190">
        <v>2</v>
      </c>
      <c r="CK59" s="190">
        <v>0</v>
      </c>
      <c r="CL59" s="190">
        <v>206</v>
      </c>
      <c r="CM59" s="190">
        <v>206</v>
      </c>
      <c r="CN59" s="190">
        <v>369</v>
      </c>
      <c r="CO59" s="190">
        <v>3728</v>
      </c>
      <c r="CP59" s="190">
        <v>4097</v>
      </c>
      <c r="CQ59" s="190">
        <v>0</v>
      </c>
      <c r="CR59" s="190">
        <v>0</v>
      </c>
      <c r="CS59" s="190">
        <v>0</v>
      </c>
      <c r="CT59" s="190">
        <v>7172</v>
      </c>
      <c r="CU59" s="190">
        <v>44086</v>
      </c>
      <c r="CV59" s="190">
        <v>51258</v>
      </c>
      <c r="CW59" s="190">
        <v>515</v>
      </c>
      <c r="CX59" s="190">
        <v>2271</v>
      </c>
      <c r="CY59" s="190">
        <v>2786</v>
      </c>
      <c r="CZ59" s="190">
        <v>500</v>
      </c>
      <c r="DA59" s="190">
        <v>6</v>
      </c>
      <c r="DB59" s="190">
        <v>0</v>
      </c>
      <c r="DC59" s="190">
        <v>2147</v>
      </c>
      <c r="DD59" s="190">
        <v>33</v>
      </c>
      <c r="DE59" s="190">
        <v>8</v>
      </c>
      <c r="DF59" s="190">
        <v>506</v>
      </c>
      <c r="DG59" s="190">
        <v>2188</v>
      </c>
      <c r="DH59" s="190">
        <v>2694</v>
      </c>
      <c r="DI59" s="190">
        <v>9</v>
      </c>
      <c r="DJ59" s="190">
        <v>0</v>
      </c>
      <c r="DK59" s="190">
        <v>0</v>
      </c>
      <c r="DL59" s="190">
        <v>80</v>
      </c>
      <c r="DM59" s="190">
        <v>3</v>
      </c>
      <c r="DN59" s="190">
        <v>0</v>
      </c>
      <c r="DO59" s="190">
        <v>9</v>
      </c>
      <c r="DP59" s="190">
        <v>83</v>
      </c>
      <c r="DQ59" s="190">
        <v>92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197</v>
      </c>
      <c r="C60" s="190">
        <v>43</v>
      </c>
      <c r="D60" s="190">
        <v>236</v>
      </c>
      <c r="E60" s="190">
        <v>152</v>
      </c>
      <c r="F60" s="190">
        <v>0</v>
      </c>
      <c r="G60" s="190">
        <v>1</v>
      </c>
      <c r="H60" s="190">
        <v>1</v>
      </c>
      <c r="I60" s="190">
        <v>0</v>
      </c>
      <c r="J60" s="190">
        <v>71</v>
      </c>
      <c r="K60" s="190">
        <v>71</v>
      </c>
      <c r="L60" s="190">
        <v>0</v>
      </c>
      <c r="M60" s="190">
        <v>28</v>
      </c>
      <c r="N60" s="190">
        <v>28</v>
      </c>
      <c r="O60" s="190">
        <v>0</v>
      </c>
      <c r="P60" s="190">
        <v>43</v>
      </c>
      <c r="Q60" s="190">
        <v>43</v>
      </c>
      <c r="R60" s="190">
        <v>0</v>
      </c>
      <c r="S60" s="190">
        <v>0</v>
      </c>
      <c r="T60" s="190">
        <v>0</v>
      </c>
      <c r="U60" s="190">
        <v>0</v>
      </c>
      <c r="V60" s="190">
        <v>13</v>
      </c>
      <c r="W60" s="190">
        <v>13</v>
      </c>
      <c r="X60" s="190">
        <v>4</v>
      </c>
      <c r="Y60" s="190">
        <v>232</v>
      </c>
      <c r="Z60" s="190">
        <v>236</v>
      </c>
      <c r="AA60" s="190">
        <v>2</v>
      </c>
      <c r="AB60" s="190">
        <v>102</v>
      </c>
      <c r="AC60" s="190">
        <v>104</v>
      </c>
      <c r="AD60" s="190">
        <v>2</v>
      </c>
      <c r="AE60" s="190">
        <v>93</v>
      </c>
      <c r="AF60" s="190">
        <v>95</v>
      </c>
      <c r="AG60" s="190">
        <v>0</v>
      </c>
      <c r="AH60" s="190">
        <v>6</v>
      </c>
      <c r="AI60" s="190">
        <v>6</v>
      </c>
      <c r="AJ60" s="190">
        <v>0</v>
      </c>
      <c r="AK60" s="190">
        <v>3</v>
      </c>
      <c r="AL60" s="190">
        <v>3</v>
      </c>
      <c r="AM60" s="190">
        <v>2</v>
      </c>
      <c r="AN60" s="190">
        <v>130</v>
      </c>
      <c r="AO60" s="190">
        <v>132</v>
      </c>
      <c r="AP60" s="190">
        <v>262</v>
      </c>
      <c r="AQ60" s="190">
        <v>2460</v>
      </c>
      <c r="AR60" s="190">
        <v>2722</v>
      </c>
      <c r="AS60" s="190">
        <v>262</v>
      </c>
      <c r="AT60" s="190">
        <v>2460</v>
      </c>
      <c r="AU60" s="190">
        <v>2722</v>
      </c>
      <c r="AV60" s="190">
        <v>0</v>
      </c>
      <c r="AW60" s="190">
        <v>0</v>
      </c>
      <c r="AX60" s="190">
        <v>0</v>
      </c>
      <c r="AY60" s="190">
        <v>14</v>
      </c>
      <c r="AZ60" s="190">
        <v>245</v>
      </c>
      <c r="BA60" s="190">
        <v>259</v>
      </c>
      <c r="BB60" s="190">
        <v>6</v>
      </c>
      <c r="BC60" s="190">
        <v>0</v>
      </c>
      <c r="BD60" s="190">
        <v>0</v>
      </c>
      <c r="BE60" s="190">
        <v>146</v>
      </c>
      <c r="BF60" s="190">
        <v>0</v>
      </c>
      <c r="BG60" s="190">
        <v>0</v>
      </c>
      <c r="BH60" s="190">
        <v>6</v>
      </c>
      <c r="BI60" s="190">
        <v>146</v>
      </c>
      <c r="BJ60" s="190">
        <v>152</v>
      </c>
      <c r="BK60" s="190">
        <v>0</v>
      </c>
      <c r="BL60" s="190">
        <v>0</v>
      </c>
      <c r="BM60" s="190">
        <v>0</v>
      </c>
      <c r="BN60" s="190">
        <v>1</v>
      </c>
      <c r="BO60" s="190">
        <v>9</v>
      </c>
      <c r="BP60" s="190">
        <v>10</v>
      </c>
      <c r="BQ60" s="190">
        <v>3</v>
      </c>
      <c r="BR60" s="190">
        <v>47</v>
      </c>
      <c r="BS60" s="190">
        <v>50</v>
      </c>
      <c r="BT60" s="190">
        <v>4</v>
      </c>
      <c r="BU60" s="190">
        <v>43</v>
      </c>
      <c r="BV60" s="190">
        <v>47</v>
      </c>
      <c r="BW60" s="190">
        <v>276</v>
      </c>
      <c r="BX60" s="190">
        <v>2705</v>
      </c>
      <c r="BY60" s="190">
        <v>2981</v>
      </c>
      <c r="BZ60" s="190">
        <v>275</v>
      </c>
      <c r="CA60" s="190">
        <v>2701</v>
      </c>
      <c r="CB60" s="190">
        <v>2976</v>
      </c>
      <c r="CC60" s="190">
        <v>5227</v>
      </c>
      <c r="CD60" s="190">
        <v>2</v>
      </c>
      <c r="CE60" s="190">
        <v>2</v>
      </c>
      <c r="CF60" s="190">
        <v>1</v>
      </c>
      <c r="CG60" s="190">
        <v>2</v>
      </c>
      <c r="CH60" s="190">
        <v>3</v>
      </c>
      <c r="CI60" s="190">
        <v>4</v>
      </c>
      <c r="CJ60" s="190">
        <v>0</v>
      </c>
      <c r="CK60" s="190">
        <v>0</v>
      </c>
      <c r="CL60" s="190">
        <v>2</v>
      </c>
      <c r="CM60" s="190">
        <v>2</v>
      </c>
      <c r="CN60" s="190">
        <v>18</v>
      </c>
      <c r="CO60" s="190">
        <v>252</v>
      </c>
      <c r="CP60" s="190">
        <v>270</v>
      </c>
      <c r="CQ60" s="190">
        <v>13</v>
      </c>
      <c r="CR60" s="190">
        <v>188</v>
      </c>
      <c r="CS60" s="190">
        <v>201</v>
      </c>
      <c r="CT60" s="190">
        <v>258</v>
      </c>
      <c r="CU60" s="190">
        <v>2453</v>
      </c>
      <c r="CV60" s="190">
        <v>2711</v>
      </c>
      <c r="CW60" s="190">
        <v>19</v>
      </c>
      <c r="CX60" s="190">
        <v>106</v>
      </c>
      <c r="CY60" s="190">
        <v>125</v>
      </c>
      <c r="CZ60" s="190">
        <v>19</v>
      </c>
      <c r="DA60" s="190">
        <v>0</v>
      </c>
      <c r="DB60" s="190">
        <v>0</v>
      </c>
      <c r="DC60" s="190">
        <v>105</v>
      </c>
      <c r="DD60" s="190">
        <v>0</v>
      </c>
      <c r="DE60" s="190">
        <v>0</v>
      </c>
      <c r="DF60" s="190">
        <v>19</v>
      </c>
      <c r="DG60" s="190">
        <v>105</v>
      </c>
      <c r="DH60" s="190">
        <v>124</v>
      </c>
      <c r="DI60" s="190">
        <v>0</v>
      </c>
      <c r="DJ60" s="190">
        <v>0</v>
      </c>
      <c r="DK60" s="190">
        <v>0</v>
      </c>
      <c r="DL60" s="190">
        <v>1</v>
      </c>
      <c r="DM60" s="190">
        <v>0</v>
      </c>
      <c r="DN60" s="190">
        <v>0</v>
      </c>
      <c r="DO60" s="190">
        <v>0</v>
      </c>
      <c r="DP60" s="190">
        <v>1</v>
      </c>
      <c r="DQ60" s="190">
        <v>1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2738</v>
      </c>
      <c r="C61" s="190">
        <v>439</v>
      </c>
      <c r="D61" s="190">
        <v>2066</v>
      </c>
      <c r="E61" s="190">
        <v>1345</v>
      </c>
      <c r="F61" s="190">
        <v>2</v>
      </c>
      <c r="G61" s="190">
        <v>7</v>
      </c>
      <c r="H61" s="190">
        <v>9</v>
      </c>
      <c r="I61" s="190">
        <v>0</v>
      </c>
      <c r="J61" s="190">
        <v>636</v>
      </c>
      <c r="K61" s="190">
        <v>636</v>
      </c>
      <c r="L61" s="190">
        <v>0</v>
      </c>
      <c r="M61" s="190">
        <v>243</v>
      </c>
      <c r="N61" s="190">
        <v>243</v>
      </c>
      <c r="O61" s="190">
        <v>0</v>
      </c>
      <c r="P61" s="190">
        <v>393</v>
      </c>
      <c r="Q61" s="190">
        <v>393</v>
      </c>
      <c r="R61" s="190">
        <v>0</v>
      </c>
      <c r="S61" s="190">
        <v>27</v>
      </c>
      <c r="T61" s="190">
        <v>27</v>
      </c>
      <c r="U61" s="190">
        <v>0</v>
      </c>
      <c r="V61" s="190">
        <v>85</v>
      </c>
      <c r="W61" s="190">
        <v>85</v>
      </c>
      <c r="X61" s="190">
        <v>20</v>
      </c>
      <c r="Y61" s="190">
        <v>1544</v>
      </c>
      <c r="Z61" s="190">
        <v>1564</v>
      </c>
      <c r="AA61" s="190">
        <v>11</v>
      </c>
      <c r="AB61" s="190">
        <v>880</v>
      </c>
      <c r="AC61" s="190">
        <v>891</v>
      </c>
      <c r="AD61" s="190">
        <v>10</v>
      </c>
      <c r="AE61" s="190">
        <v>845</v>
      </c>
      <c r="AF61" s="190">
        <v>855</v>
      </c>
      <c r="AG61" s="190">
        <v>1</v>
      </c>
      <c r="AH61" s="190">
        <v>22</v>
      </c>
      <c r="AI61" s="190">
        <v>23</v>
      </c>
      <c r="AJ61" s="190">
        <v>0</v>
      </c>
      <c r="AK61" s="190">
        <v>13</v>
      </c>
      <c r="AL61" s="190">
        <v>13</v>
      </c>
      <c r="AM61" s="190">
        <v>9</v>
      </c>
      <c r="AN61" s="190">
        <v>664</v>
      </c>
      <c r="AO61" s="190">
        <v>673</v>
      </c>
      <c r="AP61" s="190">
        <v>2584</v>
      </c>
      <c r="AQ61" s="190">
        <v>30521</v>
      </c>
      <c r="AR61" s="190">
        <v>33105</v>
      </c>
      <c r="AS61" s="190">
        <v>2579</v>
      </c>
      <c r="AT61" s="190">
        <v>30430</v>
      </c>
      <c r="AU61" s="190">
        <v>33009</v>
      </c>
      <c r="AV61" s="190">
        <v>5</v>
      </c>
      <c r="AW61" s="190">
        <v>91</v>
      </c>
      <c r="AX61" s="190">
        <v>96</v>
      </c>
      <c r="AY61" s="190">
        <v>80</v>
      </c>
      <c r="AZ61" s="190">
        <v>2780</v>
      </c>
      <c r="BA61" s="190">
        <v>2860</v>
      </c>
      <c r="BB61" s="190">
        <v>42</v>
      </c>
      <c r="BC61" s="190">
        <v>0</v>
      </c>
      <c r="BD61" s="190">
        <v>0</v>
      </c>
      <c r="BE61" s="190">
        <v>1270</v>
      </c>
      <c r="BF61" s="190">
        <v>18</v>
      </c>
      <c r="BG61" s="190">
        <v>15</v>
      </c>
      <c r="BH61" s="190">
        <v>42</v>
      </c>
      <c r="BI61" s="190">
        <v>1303</v>
      </c>
      <c r="BJ61" s="190">
        <v>1345</v>
      </c>
      <c r="BK61" s="190">
        <v>-51</v>
      </c>
      <c r="BL61" s="190">
        <v>51</v>
      </c>
      <c r="BM61" s="190">
        <v>0</v>
      </c>
      <c r="BN61" s="190">
        <v>1</v>
      </c>
      <c r="BO61" s="190">
        <v>22</v>
      </c>
      <c r="BP61" s="190">
        <v>23</v>
      </c>
      <c r="BQ61" s="190">
        <v>22</v>
      </c>
      <c r="BR61" s="190">
        <v>445</v>
      </c>
      <c r="BS61" s="190">
        <v>467</v>
      </c>
      <c r="BT61" s="190">
        <v>66</v>
      </c>
      <c r="BU61" s="190">
        <v>959</v>
      </c>
      <c r="BV61" s="190">
        <v>1025</v>
      </c>
      <c r="BW61" s="190">
        <v>2664</v>
      </c>
      <c r="BX61" s="190">
        <v>33301</v>
      </c>
      <c r="BY61" s="190">
        <v>35965</v>
      </c>
      <c r="BZ61" s="190">
        <v>2644</v>
      </c>
      <c r="CA61" s="190">
        <v>32761</v>
      </c>
      <c r="CB61" s="190">
        <v>35405</v>
      </c>
      <c r="CC61" s="190">
        <v>71797</v>
      </c>
      <c r="CD61" s="190">
        <v>52</v>
      </c>
      <c r="CE61" s="190">
        <v>560</v>
      </c>
      <c r="CF61" s="190">
        <v>20</v>
      </c>
      <c r="CG61" s="190">
        <v>315</v>
      </c>
      <c r="CH61" s="190">
        <v>335</v>
      </c>
      <c r="CI61" s="190">
        <v>290</v>
      </c>
      <c r="CJ61" s="190">
        <v>6</v>
      </c>
      <c r="CK61" s="190">
        <v>0</v>
      </c>
      <c r="CL61" s="190">
        <v>225</v>
      </c>
      <c r="CM61" s="190">
        <v>225</v>
      </c>
      <c r="CN61" s="190">
        <v>118</v>
      </c>
      <c r="CO61" s="190">
        <v>2982</v>
      </c>
      <c r="CP61" s="190">
        <v>3100</v>
      </c>
      <c r="CQ61" s="190">
        <v>0</v>
      </c>
      <c r="CR61" s="190">
        <v>0</v>
      </c>
      <c r="CS61" s="190">
        <v>0</v>
      </c>
      <c r="CT61" s="190">
        <v>2546</v>
      </c>
      <c r="CU61" s="190">
        <v>30319</v>
      </c>
      <c r="CV61" s="190">
        <v>32865</v>
      </c>
      <c r="CW61" s="190">
        <v>200</v>
      </c>
      <c r="CX61" s="190">
        <v>1323</v>
      </c>
      <c r="CY61" s="190">
        <v>1523</v>
      </c>
      <c r="CZ61" s="190">
        <v>193</v>
      </c>
      <c r="DA61" s="190">
        <v>3</v>
      </c>
      <c r="DB61" s="190">
        <v>0</v>
      </c>
      <c r="DC61" s="190">
        <v>1231</v>
      </c>
      <c r="DD61" s="190">
        <v>14</v>
      </c>
      <c r="DE61" s="190">
        <v>4</v>
      </c>
      <c r="DF61" s="190">
        <v>196</v>
      </c>
      <c r="DG61" s="190">
        <v>1249</v>
      </c>
      <c r="DH61" s="190">
        <v>1445</v>
      </c>
      <c r="DI61" s="190">
        <v>4</v>
      </c>
      <c r="DJ61" s="190">
        <v>0</v>
      </c>
      <c r="DK61" s="190">
        <v>0</v>
      </c>
      <c r="DL61" s="190">
        <v>73</v>
      </c>
      <c r="DM61" s="190">
        <v>1</v>
      </c>
      <c r="DN61" s="190">
        <v>0</v>
      </c>
      <c r="DO61" s="190">
        <v>4</v>
      </c>
      <c r="DP61" s="190">
        <v>74</v>
      </c>
      <c r="DQ61" s="190">
        <v>78</v>
      </c>
      <c r="DR61" s="190">
        <v>0</v>
      </c>
      <c r="DS61" s="190">
        <v>0</v>
      </c>
      <c r="DT61" s="191">
        <v>0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721</v>
      </c>
      <c r="C62" s="190">
        <v>58</v>
      </c>
      <c r="D62" s="190">
        <v>642</v>
      </c>
      <c r="E62" s="190">
        <v>420</v>
      </c>
      <c r="F62" s="190">
        <v>5</v>
      </c>
      <c r="G62" s="190">
        <v>36</v>
      </c>
      <c r="H62" s="190">
        <v>41</v>
      </c>
      <c r="I62" s="190">
        <v>0</v>
      </c>
      <c r="J62" s="190">
        <v>195</v>
      </c>
      <c r="K62" s="190">
        <v>195</v>
      </c>
      <c r="L62" s="190">
        <v>0</v>
      </c>
      <c r="M62" s="190">
        <v>54</v>
      </c>
      <c r="N62" s="190">
        <v>54</v>
      </c>
      <c r="O62" s="190">
        <v>0</v>
      </c>
      <c r="P62" s="190">
        <v>141</v>
      </c>
      <c r="Q62" s="190">
        <v>141</v>
      </c>
      <c r="R62" s="190">
        <v>0</v>
      </c>
      <c r="S62" s="190">
        <v>24</v>
      </c>
      <c r="T62" s="190">
        <v>24</v>
      </c>
      <c r="U62" s="190">
        <v>0</v>
      </c>
      <c r="V62" s="190">
        <v>27</v>
      </c>
      <c r="W62" s="190">
        <v>27</v>
      </c>
      <c r="X62" s="190">
        <v>10</v>
      </c>
      <c r="Y62" s="190">
        <v>244</v>
      </c>
      <c r="Z62" s="190">
        <v>254</v>
      </c>
      <c r="AA62" s="190">
        <v>10</v>
      </c>
      <c r="AB62" s="190">
        <v>244</v>
      </c>
      <c r="AC62" s="190">
        <v>254</v>
      </c>
      <c r="AD62" s="190">
        <v>10</v>
      </c>
      <c r="AE62" s="190">
        <v>237</v>
      </c>
      <c r="AF62" s="190">
        <v>247</v>
      </c>
      <c r="AG62" s="190">
        <v>0</v>
      </c>
      <c r="AH62" s="190">
        <v>7</v>
      </c>
      <c r="AI62" s="190">
        <v>7</v>
      </c>
      <c r="AJ62" s="190">
        <v>0</v>
      </c>
      <c r="AK62" s="190">
        <v>0</v>
      </c>
      <c r="AL62" s="190">
        <v>0</v>
      </c>
      <c r="AM62" s="190">
        <v>0</v>
      </c>
      <c r="AN62" s="190">
        <v>0</v>
      </c>
      <c r="AO62" s="190">
        <v>0</v>
      </c>
      <c r="AP62" s="190">
        <v>789</v>
      </c>
      <c r="AQ62" s="190">
        <v>8334</v>
      </c>
      <c r="AR62" s="190">
        <v>9123</v>
      </c>
      <c r="AS62" s="190">
        <v>781</v>
      </c>
      <c r="AT62" s="190">
        <v>8375</v>
      </c>
      <c r="AU62" s="190">
        <v>9156</v>
      </c>
      <c r="AV62" s="190">
        <v>8</v>
      </c>
      <c r="AW62" s="190">
        <v>-41</v>
      </c>
      <c r="AX62" s="190">
        <v>-33</v>
      </c>
      <c r="AY62" s="190">
        <v>61</v>
      </c>
      <c r="AZ62" s="190">
        <v>874</v>
      </c>
      <c r="BA62" s="190">
        <v>935</v>
      </c>
      <c r="BB62" s="190">
        <v>32</v>
      </c>
      <c r="BC62" s="190">
        <v>1</v>
      </c>
      <c r="BD62" s="190">
        <v>0</v>
      </c>
      <c r="BE62" s="190">
        <v>368</v>
      </c>
      <c r="BF62" s="190">
        <v>15</v>
      </c>
      <c r="BG62" s="190">
        <v>4</v>
      </c>
      <c r="BH62" s="190">
        <v>33</v>
      </c>
      <c r="BI62" s="190">
        <v>387</v>
      </c>
      <c r="BJ62" s="190">
        <v>420</v>
      </c>
      <c r="BK62" s="190">
        <v>-25</v>
      </c>
      <c r="BL62" s="190">
        <v>25</v>
      </c>
      <c r="BM62" s="190">
        <v>0</v>
      </c>
      <c r="BN62" s="190">
        <v>3</v>
      </c>
      <c r="BO62" s="190">
        <v>26</v>
      </c>
      <c r="BP62" s="190">
        <v>29</v>
      </c>
      <c r="BQ62" s="190">
        <v>10</v>
      </c>
      <c r="BR62" s="190">
        <v>109</v>
      </c>
      <c r="BS62" s="190">
        <v>119</v>
      </c>
      <c r="BT62" s="190">
        <v>40</v>
      </c>
      <c r="BU62" s="190">
        <v>327</v>
      </c>
      <c r="BV62" s="190">
        <v>367</v>
      </c>
      <c r="BW62" s="190">
        <v>850</v>
      </c>
      <c r="BX62" s="190">
        <v>9208</v>
      </c>
      <c r="BY62" s="190">
        <v>10058</v>
      </c>
      <c r="BZ62" s="190">
        <v>808</v>
      </c>
      <c r="CA62" s="190">
        <v>8998</v>
      </c>
      <c r="CB62" s="190">
        <v>9806</v>
      </c>
      <c r="CC62" s="190">
        <v>18940</v>
      </c>
      <c r="CD62" s="190">
        <v>11</v>
      </c>
      <c r="CE62" s="190">
        <v>277</v>
      </c>
      <c r="CF62" s="190">
        <v>42</v>
      </c>
      <c r="CG62" s="190">
        <v>147</v>
      </c>
      <c r="CH62" s="190">
        <v>189</v>
      </c>
      <c r="CI62" s="190">
        <v>83</v>
      </c>
      <c r="CJ62" s="190">
        <v>0</v>
      </c>
      <c r="CK62" s="190">
        <v>0</v>
      </c>
      <c r="CL62" s="190">
        <v>63</v>
      </c>
      <c r="CM62" s="190">
        <v>63</v>
      </c>
      <c r="CN62" s="190">
        <v>38</v>
      </c>
      <c r="CO62" s="190">
        <v>822</v>
      </c>
      <c r="CP62" s="190">
        <v>860</v>
      </c>
      <c r="CQ62" s="190">
        <v>0</v>
      </c>
      <c r="CR62" s="190">
        <v>0</v>
      </c>
      <c r="CS62" s="190">
        <v>0</v>
      </c>
      <c r="CT62" s="190">
        <v>812</v>
      </c>
      <c r="CU62" s="190">
        <v>8386</v>
      </c>
      <c r="CV62" s="190">
        <v>9198</v>
      </c>
      <c r="CW62" s="190">
        <v>55</v>
      </c>
      <c r="CX62" s="190">
        <v>466</v>
      </c>
      <c r="CY62" s="190">
        <v>521</v>
      </c>
      <c r="CZ62" s="190">
        <v>51</v>
      </c>
      <c r="DA62" s="190">
        <v>2</v>
      </c>
      <c r="DB62" s="190">
        <v>0</v>
      </c>
      <c r="DC62" s="190">
        <v>377</v>
      </c>
      <c r="DD62" s="190">
        <v>8</v>
      </c>
      <c r="DE62" s="190">
        <v>3</v>
      </c>
      <c r="DF62" s="190">
        <v>53</v>
      </c>
      <c r="DG62" s="190">
        <v>388</v>
      </c>
      <c r="DH62" s="190">
        <v>441</v>
      </c>
      <c r="DI62" s="190">
        <v>2</v>
      </c>
      <c r="DJ62" s="190">
        <v>0</v>
      </c>
      <c r="DK62" s="190">
        <v>0</v>
      </c>
      <c r="DL62" s="190">
        <v>77</v>
      </c>
      <c r="DM62" s="190">
        <v>1</v>
      </c>
      <c r="DN62" s="190">
        <v>0</v>
      </c>
      <c r="DO62" s="190">
        <v>2</v>
      </c>
      <c r="DP62" s="190">
        <v>78</v>
      </c>
      <c r="DQ62" s="190">
        <v>80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434</v>
      </c>
      <c r="C63" s="195">
        <v>88</v>
      </c>
      <c r="D63" s="195">
        <v>434</v>
      </c>
      <c r="E63" s="195">
        <v>289</v>
      </c>
      <c r="F63" s="195">
        <v>0</v>
      </c>
      <c r="G63" s="195">
        <v>1</v>
      </c>
      <c r="H63" s="195">
        <v>1</v>
      </c>
      <c r="I63" s="195">
        <v>0</v>
      </c>
      <c r="J63" s="195">
        <v>134</v>
      </c>
      <c r="K63" s="195">
        <v>134</v>
      </c>
      <c r="L63" s="195">
        <v>0</v>
      </c>
      <c r="M63" s="195">
        <v>85</v>
      </c>
      <c r="N63" s="195">
        <v>85</v>
      </c>
      <c r="O63" s="195">
        <v>0</v>
      </c>
      <c r="P63" s="195">
        <v>49</v>
      </c>
      <c r="Q63" s="195">
        <v>49</v>
      </c>
      <c r="R63" s="195">
        <v>0</v>
      </c>
      <c r="S63" s="195">
        <v>0</v>
      </c>
      <c r="T63" s="195">
        <v>0</v>
      </c>
      <c r="U63" s="195">
        <v>0</v>
      </c>
      <c r="V63" s="195">
        <v>11</v>
      </c>
      <c r="W63" s="195">
        <v>11</v>
      </c>
      <c r="X63" s="195">
        <v>11</v>
      </c>
      <c r="Y63" s="195">
        <v>423</v>
      </c>
      <c r="Z63" s="195">
        <v>434</v>
      </c>
      <c r="AA63" s="195">
        <v>6</v>
      </c>
      <c r="AB63" s="195">
        <v>211</v>
      </c>
      <c r="AC63" s="195">
        <v>217</v>
      </c>
      <c r="AD63" s="195">
        <v>6</v>
      </c>
      <c r="AE63" s="195">
        <v>201</v>
      </c>
      <c r="AF63" s="195">
        <v>207</v>
      </c>
      <c r="AG63" s="195">
        <v>0</v>
      </c>
      <c r="AH63" s="195">
        <v>7</v>
      </c>
      <c r="AI63" s="195">
        <v>7</v>
      </c>
      <c r="AJ63" s="195">
        <v>0</v>
      </c>
      <c r="AK63" s="195">
        <v>3</v>
      </c>
      <c r="AL63" s="195">
        <v>3</v>
      </c>
      <c r="AM63" s="195">
        <v>5</v>
      </c>
      <c r="AN63" s="195">
        <v>212</v>
      </c>
      <c r="AO63" s="195">
        <v>217</v>
      </c>
      <c r="AP63" s="195">
        <v>749</v>
      </c>
      <c r="AQ63" s="195">
        <v>4807</v>
      </c>
      <c r="AR63" s="195">
        <v>5556</v>
      </c>
      <c r="AS63" s="195">
        <v>749</v>
      </c>
      <c r="AT63" s="195">
        <v>4807</v>
      </c>
      <c r="AU63" s="195">
        <v>5556</v>
      </c>
      <c r="AV63" s="195">
        <v>0</v>
      </c>
      <c r="AW63" s="195">
        <v>0</v>
      </c>
      <c r="AX63" s="195">
        <v>0</v>
      </c>
      <c r="AY63" s="195">
        <v>47</v>
      </c>
      <c r="AZ63" s="195">
        <v>467</v>
      </c>
      <c r="BA63" s="195">
        <v>514</v>
      </c>
      <c r="BB63" s="195">
        <v>10</v>
      </c>
      <c r="BC63" s="195">
        <v>0</v>
      </c>
      <c r="BD63" s="195">
        <v>0</v>
      </c>
      <c r="BE63" s="195">
        <v>278</v>
      </c>
      <c r="BF63" s="195">
        <v>0</v>
      </c>
      <c r="BG63" s="195">
        <v>1</v>
      </c>
      <c r="BH63" s="195">
        <v>10</v>
      </c>
      <c r="BI63" s="195">
        <v>279</v>
      </c>
      <c r="BJ63" s="195">
        <v>289</v>
      </c>
      <c r="BK63" s="195">
        <v>6</v>
      </c>
      <c r="BL63" s="195">
        <v>-6</v>
      </c>
      <c r="BM63" s="195">
        <v>0</v>
      </c>
      <c r="BN63" s="195">
        <v>4</v>
      </c>
      <c r="BO63" s="195">
        <v>27</v>
      </c>
      <c r="BP63" s="195">
        <v>31</v>
      </c>
      <c r="BQ63" s="195">
        <v>2</v>
      </c>
      <c r="BR63" s="195">
        <v>58</v>
      </c>
      <c r="BS63" s="195">
        <v>60</v>
      </c>
      <c r="BT63" s="195">
        <v>25</v>
      </c>
      <c r="BU63" s="195">
        <v>109</v>
      </c>
      <c r="BV63" s="195">
        <v>134</v>
      </c>
      <c r="BW63" s="195">
        <v>796</v>
      </c>
      <c r="BX63" s="195">
        <v>5274</v>
      </c>
      <c r="BY63" s="195">
        <v>6070</v>
      </c>
      <c r="BZ63" s="195">
        <v>791</v>
      </c>
      <c r="CA63" s="195">
        <v>5236</v>
      </c>
      <c r="CB63" s="195">
        <v>6027</v>
      </c>
      <c r="CC63" s="195">
        <v>13044</v>
      </c>
      <c r="CD63" s="195">
        <v>2</v>
      </c>
      <c r="CE63" s="195">
        <v>46</v>
      </c>
      <c r="CF63" s="195">
        <v>5</v>
      </c>
      <c r="CG63" s="195">
        <v>30</v>
      </c>
      <c r="CH63" s="195">
        <v>35</v>
      </c>
      <c r="CI63" s="195">
        <v>8</v>
      </c>
      <c r="CJ63" s="195">
        <v>0</v>
      </c>
      <c r="CK63" s="195">
        <v>0</v>
      </c>
      <c r="CL63" s="195">
        <v>8</v>
      </c>
      <c r="CM63" s="195">
        <v>8</v>
      </c>
      <c r="CN63" s="195">
        <v>34</v>
      </c>
      <c r="CO63" s="195">
        <v>495</v>
      </c>
      <c r="CP63" s="195">
        <v>529</v>
      </c>
      <c r="CQ63" s="195">
        <v>0</v>
      </c>
      <c r="CR63" s="195">
        <v>20</v>
      </c>
      <c r="CS63" s="195">
        <v>20</v>
      </c>
      <c r="CT63" s="195">
        <v>762</v>
      </c>
      <c r="CU63" s="195">
        <v>4779</v>
      </c>
      <c r="CV63" s="195">
        <v>5541</v>
      </c>
      <c r="CW63" s="195">
        <v>52</v>
      </c>
      <c r="CX63" s="195">
        <v>224</v>
      </c>
      <c r="CY63" s="195">
        <v>276</v>
      </c>
      <c r="CZ63" s="195">
        <v>52</v>
      </c>
      <c r="DA63" s="195">
        <v>0</v>
      </c>
      <c r="DB63" s="195">
        <v>0</v>
      </c>
      <c r="DC63" s="195">
        <v>211</v>
      </c>
      <c r="DD63" s="195">
        <v>3</v>
      </c>
      <c r="DE63" s="195">
        <v>0</v>
      </c>
      <c r="DF63" s="195">
        <v>52</v>
      </c>
      <c r="DG63" s="195">
        <v>214</v>
      </c>
      <c r="DH63" s="195">
        <v>266</v>
      </c>
      <c r="DI63" s="195">
        <v>0</v>
      </c>
      <c r="DJ63" s="195">
        <v>0</v>
      </c>
      <c r="DK63" s="195">
        <v>0</v>
      </c>
      <c r="DL63" s="195">
        <v>10</v>
      </c>
      <c r="DM63" s="195">
        <v>0</v>
      </c>
      <c r="DN63" s="195">
        <v>0</v>
      </c>
      <c r="DO63" s="195">
        <v>0</v>
      </c>
      <c r="DP63" s="195">
        <v>10</v>
      </c>
      <c r="DQ63" s="195">
        <v>10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198" t="s">
        <v>330</v>
      </c>
      <c r="B64" s="199">
        <f>SUBTOTAL(109,May17Data[Cell 1])</f>
        <v>132873</v>
      </c>
      <c r="C64" s="199">
        <f>SUBTOTAL(109,May17Data[Cell 2])</f>
        <v>33072</v>
      </c>
      <c r="D64" s="199">
        <f>SUBTOTAL(109,May17Data[Cell 3])</f>
        <v>128864</v>
      </c>
      <c r="E64" s="199">
        <f>SUBTOTAL(109,May17Data[Cell 4])</f>
        <v>87548</v>
      </c>
      <c r="F64" s="199">
        <f>SUBTOTAL(109,May17Data[Cell 5])</f>
        <v>125</v>
      </c>
      <c r="G64" s="199">
        <f>SUBTOTAL(109,May17Data[Cell 6])</f>
        <v>997</v>
      </c>
      <c r="H64" s="199">
        <f>SUBTOTAL(109,May17Data[Cell 7])</f>
        <v>1122</v>
      </c>
      <c r="I64" s="199">
        <f>SUBTOTAL(109,May17Data[Cell 8])</f>
        <v>203</v>
      </c>
      <c r="J64" s="199">
        <f>SUBTOTAL(109,May17Data[Cell 9])</f>
        <v>36108</v>
      </c>
      <c r="K64" s="199">
        <f>SUBTOTAL(109,May17Data[Cell 10])</f>
        <v>36311</v>
      </c>
      <c r="L64" s="199">
        <f>SUBTOTAL(109,May17Data[Cell 11])</f>
        <v>132</v>
      </c>
      <c r="M64" s="199">
        <f>SUBTOTAL(109,May17Data[Cell 12])</f>
        <v>17835</v>
      </c>
      <c r="N64" s="199">
        <f>SUBTOTAL(109,May17Data[Cell 13])</f>
        <v>17967</v>
      </c>
      <c r="O64" s="199">
        <f>SUBTOTAL(109,May17Data[Cell 14])</f>
        <v>71</v>
      </c>
      <c r="P64" s="199">
        <f>SUBTOTAL(109,May17Data[Cell 15])</f>
        <v>18273</v>
      </c>
      <c r="Q64" s="199">
        <f>SUBTOTAL(109,May17Data[Cell 16])</f>
        <v>18344</v>
      </c>
      <c r="R64" s="199">
        <f>SUBTOTAL(109,May17Data[Cell 17])</f>
        <v>23</v>
      </c>
      <c r="S64" s="199">
        <f>SUBTOTAL(109,May17Data[Cell 18])</f>
        <v>1513</v>
      </c>
      <c r="T64" s="199">
        <f>SUBTOTAL(109,May17Data[Cell 19])</f>
        <v>1536</v>
      </c>
      <c r="U64" s="199">
        <f>SUBTOTAL(109,May17Data[Cell 20])</f>
        <v>46</v>
      </c>
      <c r="V64" s="199">
        <f>SUBTOTAL(109,May17Data[Cell 21])</f>
        <v>4959</v>
      </c>
      <c r="W64" s="199">
        <f>SUBTOTAL(109,May17Data[Cell 22])</f>
        <v>5005</v>
      </c>
      <c r="X64" s="199">
        <f>SUBTOTAL(109,May17Data[Cell 23])</f>
        <v>4404</v>
      </c>
      <c r="Y64" s="199">
        <f>SUBTOTAL(109,May17Data[Cell 24])</f>
        <v>109031</v>
      </c>
      <c r="Z64" s="199">
        <f>SUBTOTAL(109,May17Data[Cell 25])</f>
        <v>113435</v>
      </c>
      <c r="AA64" s="199">
        <f>SUBTOTAL(109,May17Data[Cell 26])</f>
        <v>2862</v>
      </c>
      <c r="AB64" s="199">
        <f>SUBTOTAL(109,May17Data[Cell 27])</f>
        <v>49206</v>
      </c>
      <c r="AC64" s="199">
        <f>SUBTOTAL(109,May17Data[Cell 28])</f>
        <v>52068</v>
      </c>
      <c r="AD64" s="199">
        <f>SUBTOTAL(109,May17Data[Cell 29])</f>
        <v>2529</v>
      </c>
      <c r="AE64" s="199">
        <f>SUBTOTAL(109,May17Data[Cell 30])</f>
        <v>46487</v>
      </c>
      <c r="AF64" s="199">
        <f>SUBTOTAL(109,May17Data[Cell 31])</f>
        <v>49016</v>
      </c>
      <c r="AG64" s="199">
        <f>SUBTOTAL(109,May17Data[Cell 32])</f>
        <v>132</v>
      </c>
      <c r="AH64" s="199">
        <f>SUBTOTAL(109,May17Data[Cell 33])</f>
        <v>1477</v>
      </c>
      <c r="AI64" s="199">
        <f>SUBTOTAL(109,May17Data[Cell 34])</f>
        <v>1609</v>
      </c>
      <c r="AJ64" s="199">
        <f>SUBTOTAL(109,May17Data[Cell 35])</f>
        <v>201</v>
      </c>
      <c r="AK64" s="199">
        <f>SUBTOTAL(109,May17Data[Cell 36])</f>
        <v>1242</v>
      </c>
      <c r="AL64" s="199">
        <f>SUBTOTAL(109,May17Data[Cell 37])</f>
        <v>1443</v>
      </c>
      <c r="AM64" s="199">
        <f>SUBTOTAL(109,May17Data[Cell 38])</f>
        <v>1542</v>
      </c>
      <c r="AN64" s="199">
        <f>SUBTOTAL(109,May17Data[Cell 39])</f>
        <v>59825</v>
      </c>
      <c r="AO64" s="199">
        <f>SUBTOTAL(109,May17Data[Cell 40])</f>
        <v>61367</v>
      </c>
      <c r="AP64" s="199">
        <f>SUBTOTAL(109,May17Data[Cell 41])</f>
        <v>233918</v>
      </c>
      <c r="AQ64" s="199">
        <f>SUBTOTAL(109,May17Data[Cell 42])</f>
        <v>1567242</v>
      </c>
      <c r="AR64" s="199">
        <f>SUBTOTAL(109,May17Data[Cell 43])</f>
        <v>1801160</v>
      </c>
      <c r="AS64" s="199">
        <f>SUBTOTAL(109,May17Data[Cell 44])</f>
        <v>235136</v>
      </c>
      <c r="AT64" s="199">
        <f>SUBTOTAL(109,May17Data[Cell 45])</f>
        <v>1574934</v>
      </c>
      <c r="AU64" s="199">
        <f>SUBTOTAL(109,May17Data[Cell 46])</f>
        <v>1810070</v>
      </c>
      <c r="AV64" s="199">
        <f>SUBTOTAL(109,May17Data[Cell 47])</f>
        <v>-1218</v>
      </c>
      <c r="AW64" s="199">
        <f>SUBTOTAL(109,May17Data[Cell 48])</f>
        <v>-7692</v>
      </c>
      <c r="AX64" s="199">
        <f>SUBTOTAL(109,May17Data[Cell 49])</f>
        <v>-8910</v>
      </c>
      <c r="AY64" s="199">
        <f>SUBTOTAL(109,May17Data[Cell 50])</f>
        <v>10872</v>
      </c>
      <c r="AZ64" s="199">
        <f>SUBTOTAL(109,May17Data[Cell 51])</f>
        <v>143872</v>
      </c>
      <c r="BA64" s="199">
        <f>SUBTOTAL(109,May17Data[Cell 52])</f>
        <v>154744</v>
      </c>
      <c r="BB64" s="199">
        <f>SUBTOTAL(109,May17Data[Cell 53])</f>
        <v>5825</v>
      </c>
      <c r="BC64" s="199">
        <f>SUBTOTAL(109,May17Data[Cell 54])</f>
        <v>111</v>
      </c>
      <c r="BD64" s="199">
        <f>SUBTOTAL(109,May17Data[Cell 55])</f>
        <v>8</v>
      </c>
      <c r="BE64" s="199">
        <f>SUBTOTAL(109,May17Data[Cell 56])</f>
        <v>80170</v>
      </c>
      <c r="BF64" s="199">
        <f>SUBTOTAL(109,May17Data[Cell 57])</f>
        <v>846</v>
      </c>
      <c r="BG64" s="199">
        <f>SUBTOTAL(109,May17Data[Cell 58])</f>
        <v>588</v>
      </c>
      <c r="BH64" s="199">
        <f>SUBTOTAL(109,May17Data[Cell 59])</f>
        <v>5944</v>
      </c>
      <c r="BI64" s="199">
        <f>SUBTOTAL(109,May17Data[Cell 60])</f>
        <v>81604</v>
      </c>
      <c r="BJ64" s="199">
        <f>SUBTOTAL(109,May17Data[Cell 61])</f>
        <v>87548</v>
      </c>
      <c r="BK64" s="199">
        <f>SUBTOTAL(109,May17Data[Cell 62])</f>
        <v>-3820</v>
      </c>
      <c r="BL64" s="199">
        <f>SUBTOTAL(109,May17Data[Cell 63])</f>
        <v>3820</v>
      </c>
      <c r="BM64" s="199">
        <f>SUBTOTAL(109,May17Data[Cell 64])</f>
        <v>0</v>
      </c>
      <c r="BN64" s="199">
        <f>SUBTOTAL(109,May17Data[Cell 65])</f>
        <v>451</v>
      </c>
      <c r="BO64" s="199">
        <f>SUBTOTAL(109,May17Data[Cell 66])</f>
        <v>2444</v>
      </c>
      <c r="BP64" s="199">
        <f>SUBTOTAL(109,May17Data[Cell 67])</f>
        <v>2895</v>
      </c>
      <c r="BQ64" s="199">
        <f>SUBTOTAL(109,May17Data[Cell 68])</f>
        <v>1201</v>
      </c>
      <c r="BR64" s="199">
        <f>SUBTOTAL(109,May17Data[Cell 69])</f>
        <v>13769</v>
      </c>
      <c r="BS64" s="199">
        <f>SUBTOTAL(109,May17Data[Cell 70])</f>
        <v>14970</v>
      </c>
      <c r="BT64" s="199">
        <f>SUBTOTAL(109,May17Data[Cell 71])</f>
        <v>7096</v>
      </c>
      <c r="BU64" s="199">
        <f>SUBTOTAL(109,May17Data[Cell 72])</f>
        <v>42235</v>
      </c>
      <c r="BV64" s="199">
        <f>SUBTOTAL(109,May17Data[Cell 73])</f>
        <v>49331</v>
      </c>
      <c r="BW64" s="199">
        <f>SUBTOTAL(109,May17Data[Cell 74])</f>
        <v>244790</v>
      </c>
      <c r="BX64" s="199">
        <f>SUBTOTAL(109,May17Data[Cell 75])</f>
        <v>1711114</v>
      </c>
      <c r="BY64" s="199">
        <f>SUBTOTAL(109,May17Data[Cell 76])</f>
        <v>1955904</v>
      </c>
      <c r="BZ64" s="199">
        <f>SUBTOTAL(109,May17Data[Cell 77])</f>
        <v>239852</v>
      </c>
      <c r="CA64" s="199">
        <f>SUBTOTAL(109,May17Data[Cell 78])</f>
        <v>1681517</v>
      </c>
      <c r="CB64" s="199">
        <f>SUBTOTAL(109,May17Data[Cell 79])</f>
        <v>1921369</v>
      </c>
      <c r="CC64" s="199">
        <f>SUBTOTAL(109,May17Data[Cell 80])</f>
        <v>4006235</v>
      </c>
      <c r="CD64" s="199">
        <f>SUBTOTAL(109,May17Data[Cell 81])</f>
        <v>2479</v>
      </c>
      <c r="CE64" s="199">
        <f>SUBTOTAL(109,May17Data[Cell 82])</f>
        <v>29231</v>
      </c>
      <c r="CF64" s="199">
        <f>SUBTOTAL(109,May17Data[Cell 83])</f>
        <v>4642</v>
      </c>
      <c r="CG64" s="199">
        <f>SUBTOTAL(109,May17Data[Cell 84])</f>
        <v>19921</v>
      </c>
      <c r="CH64" s="199">
        <f>SUBTOTAL(109,May17Data[Cell 85])</f>
        <v>24563</v>
      </c>
      <c r="CI64" s="199">
        <f>SUBTOTAL(109,May17Data[Cell 86])</f>
        <v>12106</v>
      </c>
      <c r="CJ64" s="199">
        <f>SUBTOTAL(109,May17Data[Cell 87])</f>
        <v>1093</v>
      </c>
      <c r="CK64" s="199">
        <f>SUBTOTAL(109,May17Data[Cell 88])</f>
        <v>296</v>
      </c>
      <c r="CL64" s="199">
        <f>SUBTOTAL(109,May17Data[Cell 89])</f>
        <v>9676</v>
      </c>
      <c r="CM64" s="199">
        <f>SUBTOTAL(109,May17Data[Cell 90])</f>
        <v>9972</v>
      </c>
      <c r="CN64" s="199">
        <f>SUBTOTAL(109,May17Data[Cell 91])</f>
        <v>12367</v>
      </c>
      <c r="CO64" s="199">
        <f>SUBTOTAL(109,May17Data[Cell 92])</f>
        <v>132520</v>
      </c>
      <c r="CP64" s="199">
        <f>SUBTOTAL(109,May17Data[Cell 93])</f>
        <v>144887</v>
      </c>
      <c r="CQ64" s="199">
        <f>SUBTOTAL(109,May17Data[Cell 94])</f>
        <v>75</v>
      </c>
      <c r="CR64" s="199">
        <f>SUBTOTAL(109,May17Data[Cell 95])</f>
        <v>728</v>
      </c>
      <c r="CS64" s="199">
        <f>SUBTOTAL(109,May17Data[Cell 96])</f>
        <v>803</v>
      </c>
      <c r="CT64" s="199">
        <f>SUBTOTAL(109,May17Data[Cell 97])</f>
        <v>232423</v>
      </c>
      <c r="CU64" s="199">
        <f>SUBTOTAL(109,May17Data[Cell 98])</f>
        <v>1578594</v>
      </c>
      <c r="CV64" s="199">
        <f>SUBTOTAL(109,May17Data[Cell 99])</f>
        <v>1811017</v>
      </c>
      <c r="CW64" s="199">
        <f>SUBTOTAL(109,May17Data[Cell 100])</f>
        <v>16803</v>
      </c>
      <c r="CX64" s="199">
        <f>SUBTOTAL(109,May17Data[Cell 101])</f>
        <v>77438</v>
      </c>
      <c r="CY64" s="199">
        <f>SUBTOTAL(109,May17Data[Cell 102])</f>
        <v>94241</v>
      </c>
      <c r="CZ64" s="199">
        <f>SUBTOTAL(109,May17Data[Cell 103])</f>
        <v>16094</v>
      </c>
      <c r="DA64" s="199">
        <f>SUBTOTAL(109,May17Data[Cell 104])</f>
        <v>372</v>
      </c>
      <c r="DB64" s="199">
        <f>SUBTOTAL(109,May17Data[Cell 105])</f>
        <v>10</v>
      </c>
      <c r="DC64" s="199">
        <f>SUBTOTAL(109,May17Data[Cell 106])</f>
        <v>71831</v>
      </c>
      <c r="DD64" s="199">
        <f>SUBTOTAL(109,May17Data[Cell 107])</f>
        <v>1074</v>
      </c>
      <c r="DE64" s="199">
        <f>SUBTOTAL(109,May17Data[Cell 108])</f>
        <v>299</v>
      </c>
      <c r="DF64" s="199">
        <f>SUBTOTAL(109,May17Data[Cell 109])</f>
        <v>16476</v>
      </c>
      <c r="DG64" s="199">
        <f>SUBTOTAL(109,May17Data[Cell 110])</f>
        <v>73204</v>
      </c>
      <c r="DH64" s="199">
        <f>SUBTOTAL(109,May17Data[Cell 111])</f>
        <v>89680</v>
      </c>
      <c r="DI64" s="199">
        <f>SUBTOTAL(109,May17Data[Cell 112])</f>
        <v>321</v>
      </c>
      <c r="DJ64" s="199">
        <f>SUBTOTAL(109,May17Data[Cell 113])</f>
        <v>5</v>
      </c>
      <c r="DK64" s="199">
        <f>SUBTOTAL(109,May17Data[Cell 114])</f>
        <v>1</v>
      </c>
      <c r="DL64" s="199">
        <f>SUBTOTAL(109,May17Data[Cell 115])</f>
        <v>4133</v>
      </c>
      <c r="DM64" s="199">
        <f>SUBTOTAL(109,May17Data[Cell 116])</f>
        <v>76</v>
      </c>
      <c r="DN64" s="199">
        <f>SUBTOTAL(109,May17Data[Cell 117])</f>
        <v>25</v>
      </c>
      <c r="DO64" s="199">
        <f>SUBTOTAL(109,May17Data[Cell 118])</f>
        <v>327</v>
      </c>
      <c r="DP64" s="199">
        <f>SUBTOTAL(109,May17Data[Cell 119])</f>
        <v>4234</v>
      </c>
      <c r="DQ64" s="199">
        <f>SUBTOTAL(109,May17Data[Cell 120])</f>
        <v>4561</v>
      </c>
      <c r="DR64" s="199">
        <f>SUBTOTAL(109,May17Data[Cell 121])</f>
        <v>12</v>
      </c>
      <c r="DS64" s="199">
        <f>SUBTOTAL(109,May17Data[Cell 122])</f>
        <v>65</v>
      </c>
      <c r="DT64" s="199">
        <f>SUBTOTAL(109,May17Data[Cell 123])</f>
        <v>77</v>
      </c>
      <c r="DU64" s="172"/>
      <c r="DV64" s="200">
        <v>25271500</v>
      </c>
      <c r="DX64" s="192"/>
      <c r="DY64" s="192"/>
    </row>
  </sheetData>
  <conditionalFormatting sqref="B6:DT63">
    <cfRule type="containsBlanks" dxfId="1524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0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138221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35782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131905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89788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113</v>
      </c>
      <c r="T13" s="63">
        <v>6</v>
      </c>
      <c r="U13" s="64">
        <v>1048</v>
      </c>
      <c r="V13" s="84">
        <v>7</v>
      </c>
      <c r="W13" s="85">
        <v>1161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149</v>
      </c>
      <c r="T14" s="88">
        <v>9</v>
      </c>
      <c r="U14" s="89">
        <v>36900</v>
      </c>
      <c r="V14" s="88">
        <v>10</v>
      </c>
      <c r="W14" s="90">
        <v>37049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87</v>
      </c>
      <c r="T15" s="71">
        <v>12</v>
      </c>
      <c r="U15" s="64">
        <v>18299</v>
      </c>
      <c r="V15" s="88">
        <v>13</v>
      </c>
      <c r="W15" s="90">
        <v>18386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62</v>
      </c>
      <c r="T16" s="71">
        <v>15</v>
      </c>
      <c r="U16" s="64">
        <v>18601</v>
      </c>
      <c r="V16" s="88">
        <v>16</v>
      </c>
      <c r="W16" s="90">
        <v>18663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25</v>
      </c>
      <c r="T17" s="71">
        <v>18</v>
      </c>
      <c r="U17" s="64">
        <v>1465</v>
      </c>
      <c r="V17" s="88">
        <v>19</v>
      </c>
      <c r="W17" s="90">
        <v>1490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56</v>
      </c>
      <c r="T18" s="82">
        <v>21</v>
      </c>
      <c r="U18" s="64">
        <v>5012</v>
      </c>
      <c r="V18" s="88">
        <v>22</v>
      </c>
      <c r="W18" s="90">
        <v>5068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4391</v>
      </c>
      <c r="T20" s="98">
        <v>24</v>
      </c>
      <c r="U20" s="89">
        <v>112876</v>
      </c>
      <c r="V20" s="84">
        <v>25</v>
      </c>
      <c r="W20" s="89">
        <v>117267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2858</v>
      </c>
      <c r="T21" s="76">
        <v>27</v>
      </c>
      <c r="U21" s="77">
        <v>50922</v>
      </c>
      <c r="V21" s="88">
        <v>28</v>
      </c>
      <c r="W21" s="77">
        <v>53780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2532</v>
      </c>
      <c r="T22" s="71">
        <v>30</v>
      </c>
      <c r="U22" s="64">
        <v>48194</v>
      </c>
      <c r="V22" s="88">
        <v>31</v>
      </c>
      <c r="W22" s="90">
        <v>50726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135</v>
      </c>
      <c r="T23" s="71">
        <v>33</v>
      </c>
      <c r="U23" s="64">
        <v>1420</v>
      </c>
      <c r="V23" s="88">
        <v>34</v>
      </c>
      <c r="W23" s="90">
        <v>1555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191</v>
      </c>
      <c r="T24" s="71">
        <v>36</v>
      </c>
      <c r="U24" s="64">
        <v>1308</v>
      </c>
      <c r="V24" s="88">
        <v>37</v>
      </c>
      <c r="W24" s="90">
        <v>1499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1533</v>
      </c>
      <c r="T25" s="82">
        <v>39</v>
      </c>
      <c r="U25" s="64">
        <v>61954</v>
      </c>
      <c r="V25" s="88">
        <v>40</v>
      </c>
      <c r="W25" s="90">
        <v>63487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231411</v>
      </c>
      <c r="T27" s="63">
        <v>42</v>
      </c>
      <c r="U27" s="64">
        <v>1570109</v>
      </c>
      <c r="V27" s="84">
        <v>43</v>
      </c>
      <c r="W27" s="85">
        <v>1801520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232423</v>
      </c>
      <c r="T28" s="71">
        <v>45</v>
      </c>
      <c r="U28" s="64">
        <v>1578594</v>
      </c>
      <c r="V28" s="88">
        <v>46</v>
      </c>
      <c r="W28" s="90">
        <v>1811017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-1012</v>
      </c>
      <c r="T29" s="76">
        <v>48</v>
      </c>
      <c r="U29" s="108">
        <v>-8485</v>
      </c>
      <c r="V29" s="88">
        <v>49</v>
      </c>
      <c r="W29" s="109">
        <v>-9497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9764</v>
      </c>
      <c r="T30" s="88">
        <v>51</v>
      </c>
      <c r="U30" s="110">
        <v>144235</v>
      </c>
      <c r="V30" s="88">
        <v>52</v>
      </c>
      <c r="W30" s="90">
        <v>153999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5787</v>
      </c>
      <c r="H33" s="122">
        <v>54</v>
      </c>
      <c r="I33" s="64">
        <v>136</v>
      </c>
      <c r="J33" s="122">
        <v>55</v>
      </c>
      <c r="K33" s="64">
        <v>13</v>
      </c>
      <c r="L33" s="122">
        <v>56</v>
      </c>
      <c r="M33" s="64">
        <v>82383</v>
      </c>
      <c r="N33" s="122">
        <v>57</v>
      </c>
      <c r="O33" s="64">
        <v>805</v>
      </c>
      <c r="P33" s="122">
        <v>58</v>
      </c>
      <c r="Q33" s="64">
        <v>664</v>
      </c>
      <c r="R33" s="76">
        <v>59</v>
      </c>
      <c r="S33" s="123">
        <v>5936</v>
      </c>
      <c r="T33" s="124">
        <v>60</v>
      </c>
      <c r="U33" s="123">
        <v>83852</v>
      </c>
      <c r="V33" s="88">
        <v>61</v>
      </c>
      <c r="W33" s="90">
        <v>89788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-4174</v>
      </c>
      <c r="T34" s="126">
        <v>63</v>
      </c>
      <c r="U34" s="64">
        <v>4174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431</v>
      </c>
      <c r="T35" s="126">
        <v>66</v>
      </c>
      <c r="U35" s="64">
        <v>2375</v>
      </c>
      <c r="V35" s="88">
        <v>67</v>
      </c>
      <c r="W35" s="90">
        <v>2806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1007</v>
      </c>
      <c r="T36" s="126">
        <v>69</v>
      </c>
      <c r="U36" s="64">
        <v>13002</v>
      </c>
      <c r="V36" s="88">
        <v>70</v>
      </c>
      <c r="W36" s="90">
        <v>14009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6564</v>
      </c>
      <c r="T37" s="126">
        <v>72</v>
      </c>
      <c r="U37" s="64">
        <v>40832</v>
      </c>
      <c r="V37" s="88">
        <v>73</v>
      </c>
      <c r="W37" s="90">
        <v>47396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241175</v>
      </c>
      <c r="T39" s="124">
        <v>75</v>
      </c>
      <c r="U39" s="123">
        <v>1714344</v>
      </c>
      <c r="V39" s="88">
        <v>76</v>
      </c>
      <c r="W39" s="90">
        <v>1955519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236341</v>
      </c>
      <c r="T40" s="132">
        <v>78</v>
      </c>
      <c r="U40" s="64">
        <v>1684910</v>
      </c>
      <c r="V40" s="88">
        <v>79</v>
      </c>
      <c r="W40" s="90">
        <v>1921251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3999876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2454</v>
      </c>
      <c r="P43" s="134">
        <v>82</v>
      </c>
      <c r="Q43" s="64">
        <v>28991</v>
      </c>
      <c r="R43" s="71">
        <v>83</v>
      </c>
      <c r="S43" s="64">
        <v>4553</v>
      </c>
      <c r="T43" s="71">
        <v>84</v>
      </c>
      <c r="U43" s="64">
        <v>19724</v>
      </c>
      <c r="V43" s="76">
        <v>85</v>
      </c>
      <c r="W43" s="135">
        <v>24277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12095</v>
      </c>
      <c r="P44" s="136">
        <v>87</v>
      </c>
      <c r="Q44" s="64">
        <v>1083</v>
      </c>
      <c r="R44" s="71">
        <v>88</v>
      </c>
      <c r="S44" s="64">
        <v>281</v>
      </c>
      <c r="T44" s="71">
        <v>89</v>
      </c>
      <c r="U44" s="64">
        <v>9710</v>
      </c>
      <c r="V44" s="76">
        <v>90</v>
      </c>
      <c r="W44" s="135">
        <v>9991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11869</v>
      </c>
      <c r="T45" s="71">
        <v>92</v>
      </c>
      <c r="U45" s="64">
        <v>140679</v>
      </c>
      <c r="V45" s="76">
        <v>93</v>
      </c>
      <c r="W45" s="135">
        <v>152548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77</v>
      </c>
      <c r="T46" s="71">
        <v>95</v>
      </c>
      <c r="U46" s="64">
        <v>784</v>
      </c>
      <c r="V46" s="76">
        <v>96</v>
      </c>
      <c r="W46" s="135">
        <v>861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229306</v>
      </c>
      <c r="T47" s="141">
        <v>98</v>
      </c>
      <c r="U47" s="143">
        <v>1573665</v>
      </c>
      <c r="V47" s="88">
        <v>99</v>
      </c>
      <c r="W47" s="90">
        <v>1802971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16824</v>
      </c>
      <c r="T49" s="144">
        <v>101</v>
      </c>
      <c r="U49" s="145">
        <v>76359</v>
      </c>
      <c r="V49" s="98">
        <v>102</v>
      </c>
      <c r="W49" s="146">
        <v>93183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16176</v>
      </c>
      <c r="H52" s="122">
        <v>104</v>
      </c>
      <c r="I52" s="64">
        <v>327</v>
      </c>
      <c r="J52" s="122">
        <v>105</v>
      </c>
      <c r="K52" s="64">
        <v>4</v>
      </c>
      <c r="L52" s="122">
        <v>106</v>
      </c>
      <c r="M52" s="64">
        <v>71026</v>
      </c>
      <c r="N52" s="122">
        <v>107</v>
      </c>
      <c r="O52" s="64">
        <v>996</v>
      </c>
      <c r="P52" s="122">
        <v>108</v>
      </c>
      <c r="Q52" s="64">
        <v>251</v>
      </c>
      <c r="R52" s="155">
        <v>109</v>
      </c>
      <c r="S52" s="156">
        <v>16507</v>
      </c>
      <c r="T52" s="155">
        <v>110</v>
      </c>
      <c r="U52" s="156">
        <v>72273</v>
      </c>
      <c r="V52" s="76">
        <v>111</v>
      </c>
      <c r="W52" s="135">
        <v>88780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307</v>
      </c>
      <c r="H53" s="122">
        <v>113</v>
      </c>
      <c r="I53" s="64">
        <v>9</v>
      </c>
      <c r="J53" s="122">
        <v>114</v>
      </c>
      <c r="K53" s="64">
        <v>1</v>
      </c>
      <c r="L53" s="122">
        <v>115</v>
      </c>
      <c r="M53" s="64">
        <v>3955</v>
      </c>
      <c r="N53" s="122">
        <v>116</v>
      </c>
      <c r="O53" s="64">
        <v>104</v>
      </c>
      <c r="P53" s="122">
        <v>117</v>
      </c>
      <c r="Q53" s="64">
        <v>27</v>
      </c>
      <c r="R53" s="155">
        <v>118</v>
      </c>
      <c r="S53" s="156">
        <v>317</v>
      </c>
      <c r="T53" s="155">
        <v>119</v>
      </c>
      <c r="U53" s="156">
        <v>4086</v>
      </c>
      <c r="V53" s="76">
        <v>120</v>
      </c>
      <c r="W53" s="135">
        <v>4403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13</v>
      </c>
      <c r="T54" s="162">
        <v>122</v>
      </c>
      <c r="U54" s="64">
        <v>64</v>
      </c>
      <c r="V54" s="76">
        <v>123</v>
      </c>
      <c r="W54" s="135">
        <v>77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364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25293226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355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0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 t="s">
        <v>331</v>
      </c>
      <c r="C6" s="190" t="s">
        <v>331</v>
      </c>
      <c r="D6" s="190" t="s">
        <v>331</v>
      </c>
      <c r="E6" s="190" t="s">
        <v>331</v>
      </c>
      <c r="F6" s="190" t="s">
        <v>331</v>
      </c>
      <c r="G6" s="190" t="s">
        <v>331</v>
      </c>
      <c r="H6" s="190" t="s">
        <v>331</v>
      </c>
      <c r="I6" s="190" t="s">
        <v>331</v>
      </c>
      <c r="J6" s="190" t="s">
        <v>331</v>
      </c>
      <c r="K6" s="190" t="s">
        <v>331</v>
      </c>
      <c r="L6" s="190" t="s">
        <v>331</v>
      </c>
      <c r="M6" s="190" t="s">
        <v>331</v>
      </c>
      <c r="N6" s="190" t="s">
        <v>331</v>
      </c>
      <c r="O6" s="190" t="s">
        <v>331</v>
      </c>
      <c r="P6" s="190" t="s">
        <v>331</v>
      </c>
      <c r="Q6" s="190" t="s">
        <v>331</v>
      </c>
      <c r="R6" s="190" t="s">
        <v>331</v>
      </c>
      <c r="S6" s="190" t="s">
        <v>331</v>
      </c>
      <c r="T6" s="190" t="s">
        <v>331</v>
      </c>
      <c r="U6" s="190" t="s">
        <v>331</v>
      </c>
      <c r="V6" s="190" t="s">
        <v>331</v>
      </c>
      <c r="W6" s="190" t="s">
        <v>331</v>
      </c>
      <c r="X6" s="190" t="s">
        <v>331</v>
      </c>
      <c r="Y6" s="190" t="s">
        <v>331</v>
      </c>
      <c r="Z6" s="190" t="s">
        <v>331</v>
      </c>
      <c r="AA6" s="190" t="s">
        <v>331</v>
      </c>
      <c r="AB6" s="190" t="s">
        <v>331</v>
      </c>
      <c r="AC6" s="190" t="s">
        <v>331</v>
      </c>
      <c r="AD6" s="190" t="s">
        <v>331</v>
      </c>
      <c r="AE6" s="190" t="s">
        <v>331</v>
      </c>
      <c r="AF6" s="190" t="s">
        <v>331</v>
      </c>
      <c r="AG6" s="190" t="s">
        <v>331</v>
      </c>
      <c r="AH6" s="190" t="s">
        <v>331</v>
      </c>
      <c r="AI6" s="190" t="s">
        <v>331</v>
      </c>
      <c r="AJ6" s="190" t="s">
        <v>331</v>
      </c>
      <c r="AK6" s="190" t="s">
        <v>331</v>
      </c>
      <c r="AL6" s="190" t="s">
        <v>331</v>
      </c>
      <c r="AM6" s="190" t="s">
        <v>331</v>
      </c>
      <c r="AN6" s="190" t="s">
        <v>331</v>
      </c>
      <c r="AO6" s="190" t="s">
        <v>331</v>
      </c>
      <c r="AP6" s="190" t="s">
        <v>331</v>
      </c>
      <c r="AQ6" s="190" t="s">
        <v>331</v>
      </c>
      <c r="AR6" s="190" t="s">
        <v>331</v>
      </c>
      <c r="AS6" s="190" t="s">
        <v>331</v>
      </c>
      <c r="AT6" s="190" t="s">
        <v>331</v>
      </c>
      <c r="AU6" s="190" t="s">
        <v>331</v>
      </c>
      <c r="AV6" s="190" t="s">
        <v>331</v>
      </c>
      <c r="AW6" s="190" t="s">
        <v>331</v>
      </c>
      <c r="AX6" s="190" t="s">
        <v>331</v>
      </c>
      <c r="AY6" s="190" t="s">
        <v>331</v>
      </c>
      <c r="AZ6" s="190" t="s">
        <v>331</v>
      </c>
      <c r="BA6" s="190" t="s">
        <v>331</v>
      </c>
      <c r="BB6" s="190" t="s">
        <v>331</v>
      </c>
      <c r="BC6" s="190" t="s">
        <v>331</v>
      </c>
      <c r="BD6" s="190" t="s">
        <v>331</v>
      </c>
      <c r="BE6" s="190" t="s">
        <v>331</v>
      </c>
      <c r="BF6" s="190" t="s">
        <v>331</v>
      </c>
      <c r="BG6" s="190" t="s">
        <v>331</v>
      </c>
      <c r="BH6" s="190" t="s">
        <v>331</v>
      </c>
      <c r="BI6" s="190" t="s">
        <v>331</v>
      </c>
      <c r="BJ6" s="190" t="s">
        <v>331</v>
      </c>
      <c r="BK6" s="190" t="s">
        <v>331</v>
      </c>
      <c r="BL6" s="190" t="s">
        <v>331</v>
      </c>
      <c r="BM6" s="190" t="s">
        <v>331</v>
      </c>
      <c r="BN6" s="190" t="s">
        <v>331</v>
      </c>
      <c r="BO6" s="190" t="s">
        <v>331</v>
      </c>
      <c r="BP6" s="190" t="s">
        <v>331</v>
      </c>
      <c r="BQ6" s="190" t="s">
        <v>331</v>
      </c>
      <c r="BR6" s="190" t="s">
        <v>331</v>
      </c>
      <c r="BS6" s="190" t="s">
        <v>331</v>
      </c>
      <c r="BT6" s="190" t="s">
        <v>331</v>
      </c>
      <c r="BU6" s="190" t="s">
        <v>331</v>
      </c>
      <c r="BV6" s="190" t="s">
        <v>331</v>
      </c>
      <c r="BW6" s="190" t="s">
        <v>331</v>
      </c>
      <c r="BX6" s="190" t="s">
        <v>331</v>
      </c>
      <c r="BY6" s="190" t="s">
        <v>331</v>
      </c>
      <c r="BZ6" s="190" t="s">
        <v>331</v>
      </c>
      <c r="CA6" s="190" t="s">
        <v>331</v>
      </c>
      <c r="CB6" s="190" t="s">
        <v>331</v>
      </c>
      <c r="CC6" s="190" t="s">
        <v>331</v>
      </c>
      <c r="CD6" s="190" t="s">
        <v>331</v>
      </c>
      <c r="CE6" s="190" t="s">
        <v>331</v>
      </c>
      <c r="CF6" s="190" t="s">
        <v>331</v>
      </c>
      <c r="CG6" s="190" t="s">
        <v>331</v>
      </c>
      <c r="CH6" s="190" t="s">
        <v>331</v>
      </c>
      <c r="CI6" s="190" t="s">
        <v>331</v>
      </c>
      <c r="CJ6" s="190" t="s">
        <v>331</v>
      </c>
      <c r="CK6" s="190" t="s">
        <v>331</v>
      </c>
      <c r="CL6" s="190" t="s">
        <v>331</v>
      </c>
      <c r="CM6" s="190" t="s">
        <v>331</v>
      </c>
      <c r="CN6" s="190" t="s">
        <v>331</v>
      </c>
      <c r="CO6" s="190" t="s">
        <v>331</v>
      </c>
      <c r="CP6" s="190" t="s">
        <v>331</v>
      </c>
      <c r="CQ6" s="190" t="s">
        <v>331</v>
      </c>
      <c r="CR6" s="190" t="s">
        <v>331</v>
      </c>
      <c r="CS6" s="190" t="s">
        <v>331</v>
      </c>
      <c r="CT6" s="190" t="s">
        <v>331</v>
      </c>
      <c r="CU6" s="190" t="s">
        <v>331</v>
      </c>
      <c r="CV6" s="190" t="s">
        <v>331</v>
      </c>
      <c r="CW6" s="190" t="s">
        <v>331</v>
      </c>
      <c r="CX6" s="190" t="s">
        <v>331</v>
      </c>
      <c r="CY6" s="190" t="s">
        <v>331</v>
      </c>
      <c r="CZ6" s="190" t="s">
        <v>331</v>
      </c>
      <c r="DA6" s="190" t="s">
        <v>331</v>
      </c>
      <c r="DB6" s="190" t="s">
        <v>331</v>
      </c>
      <c r="DC6" s="190" t="s">
        <v>331</v>
      </c>
      <c r="DD6" s="190" t="s">
        <v>331</v>
      </c>
      <c r="DE6" s="190" t="s">
        <v>331</v>
      </c>
      <c r="DF6" s="190" t="s">
        <v>331</v>
      </c>
      <c r="DG6" s="190" t="s">
        <v>331</v>
      </c>
      <c r="DH6" s="190" t="s">
        <v>331</v>
      </c>
      <c r="DI6" s="190" t="s">
        <v>331</v>
      </c>
      <c r="DJ6" s="190" t="s">
        <v>331</v>
      </c>
      <c r="DK6" s="190" t="s">
        <v>331</v>
      </c>
      <c r="DL6" s="190" t="s">
        <v>331</v>
      </c>
      <c r="DM6" s="190" t="s">
        <v>331</v>
      </c>
      <c r="DN6" s="190" t="s">
        <v>331</v>
      </c>
      <c r="DO6" s="190" t="s">
        <v>331</v>
      </c>
      <c r="DP6" s="190" t="s">
        <v>331</v>
      </c>
      <c r="DQ6" s="190" t="s">
        <v>331</v>
      </c>
      <c r="DR6" s="190" t="s">
        <v>331</v>
      </c>
      <c r="DS6" s="190" t="s">
        <v>331</v>
      </c>
      <c r="DT6" s="191" t="s">
        <v>331</v>
      </c>
    </row>
    <row r="7" spans="1:129">
      <c r="A7" s="189" t="s">
        <v>272</v>
      </c>
      <c r="B7" s="190">
        <v>4</v>
      </c>
      <c r="C7" s="190">
        <v>1</v>
      </c>
      <c r="D7" s="190">
        <v>4</v>
      </c>
      <c r="E7" s="190">
        <v>3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190">
        <v>0</v>
      </c>
      <c r="V7" s="190">
        <v>1</v>
      </c>
      <c r="W7" s="190">
        <v>1</v>
      </c>
      <c r="X7" s="190">
        <v>0</v>
      </c>
      <c r="Y7" s="190">
        <v>4</v>
      </c>
      <c r="Z7" s="190">
        <v>4</v>
      </c>
      <c r="AA7" s="190">
        <v>0</v>
      </c>
      <c r="AB7" s="190">
        <v>1</v>
      </c>
      <c r="AC7" s="190">
        <v>1</v>
      </c>
      <c r="AD7" s="190">
        <v>0</v>
      </c>
      <c r="AE7" s="190">
        <v>1</v>
      </c>
      <c r="AF7" s="190">
        <v>1</v>
      </c>
      <c r="AG7" s="190">
        <v>0</v>
      </c>
      <c r="AH7" s="190">
        <v>0</v>
      </c>
      <c r="AI7" s="190">
        <v>0</v>
      </c>
      <c r="AJ7" s="190">
        <v>0</v>
      </c>
      <c r="AK7" s="190">
        <v>0</v>
      </c>
      <c r="AL7" s="190">
        <v>0</v>
      </c>
      <c r="AM7" s="190">
        <v>0</v>
      </c>
      <c r="AN7" s="190">
        <v>3</v>
      </c>
      <c r="AO7" s="190">
        <v>3</v>
      </c>
      <c r="AP7" s="190">
        <v>1</v>
      </c>
      <c r="AQ7" s="190">
        <v>74</v>
      </c>
      <c r="AR7" s="190">
        <v>75</v>
      </c>
      <c r="AS7" s="190">
        <v>1</v>
      </c>
      <c r="AT7" s="190">
        <v>74</v>
      </c>
      <c r="AU7" s="190">
        <v>75</v>
      </c>
      <c r="AV7" s="190">
        <v>0</v>
      </c>
      <c r="AW7" s="190">
        <v>0</v>
      </c>
      <c r="AX7" s="190">
        <v>0</v>
      </c>
      <c r="AY7" s="190">
        <v>0</v>
      </c>
      <c r="AZ7" s="190">
        <v>5</v>
      </c>
      <c r="BA7" s="190">
        <v>5</v>
      </c>
      <c r="BB7" s="190">
        <v>0</v>
      </c>
      <c r="BC7" s="190">
        <v>0</v>
      </c>
      <c r="BD7" s="190">
        <v>0</v>
      </c>
      <c r="BE7" s="190">
        <v>3</v>
      </c>
      <c r="BF7" s="190">
        <v>0</v>
      </c>
      <c r="BG7" s="190">
        <v>0</v>
      </c>
      <c r="BH7" s="190">
        <v>0</v>
      </c>
      <c r="BI7" s="190">
        <v>3</v>
      </c>
      <c r="BJ7" s="190">
        <v>3</v>
      </c>
      <c r="BK7" s="190">
        <v>0</v>
      </c>
      <c r="BL7" s="190">
        <v>0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2</v>
      </c>
      <c r="BS7" s="190">
        <v>2</v>
      </c>
      <c r="BT7" s="190">
        <v>0</v>
      </c>
      <c r="BU7" s="190">
        <v>0</v>
      </c>
      <c r="BV7" s="190">
        <v>0</v>
      </c>
      <c r="BW7" s="190">
        <v>1</v>
      </c>
      <c r="BX7" s="190">
        <v>79</v>
      </c>
      <c r="BY7" s="190">
        <v>80</v>
      </c>
      <c r="BZ7" s="190">
        <v>1</v>
      </c>
      <c r="CA7" s="190">
        <v>79</v>
      </c>
      <c r="CB7" s="190">
        <v>80</v>
      </c>
      <c r="CC7" s="190">
        <v>142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7</v>
      </c>
      <c r="CP7" s="190">
        <v>7</v>
      </c>
      <c r="CQ7" s="190">
        <v>0</v>
      </c>
      <c r="CR7" s="190">
        <v>0</v>
      </c>
      <c r="CS7" s="190">
        <v>0</v>
      </c>
      <c r="CT7" s="190">
        <v>1</v>
      </c>
      <c r="CU7" s="190">
        <v>72</v>
      </c>
      <c r="CV7" s="190">
        <v>73</v>
      </c>
      <c r="CW7" s="190">
        <v>0</v>
      </c>
      <c r="CX7" s="190">
        <v>4</v>
      </c>
      <c r="CY7" s="190">
        <v>4</v>
      </c>
      <c r="CZ7" s="190">
        <v>0</v>
      </c>
      <c r="DA7" s="190">
        <v>0</v>
      </c>
      <c r="DB7" s="190">
        <v>0</v>
      </c>
      <c r="DC7" s="190">
        <v>4</v>
      </c>
      <c r="DD7" s="190">
        <v>0</v>
      </c>
      <c r="DE7" s="190">
        <v>0</v>
      </c>
      <c r="DF7" s="190">
        <v>0</v>
      </c>
      <c r="DG7" s="190">
        <v>4</v>
      </c>
      <c r="DH7" s="190">
        <v>4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113</v>
      </c>
      <c r="C8" s="190">
        <v>17</v>
      </c>
      <c r="D8" s="190">
        <v>114</v>
      </c>
      <c r="E8" s="190">
        <v>77</v>
      </c>
      <c r="F8" s="190">
        <v>0</v>
      </c>
      <c r="G8" s="190">
        <v>5</v>
      </c>
      <c r="H8" s="190">
        <v>5</v>
      </c>
      <c r="I8" s="190">
        <v>0</v>
      </c>
      <c r="J8" s="190">
        <v>30</v>
      </c>
      <c r="K8" s="190">
        <v>30</v>
      </c>
      <c r="L8" s="190">
        <v>0</v>
      </c>
      <c r="M8" s="190">
        <v>14</v>
      </c>
      <c r="N8" s="190">
        <v>14</v>
      </c>
      <c r="O8" s="190">
        <v>0</v>
      </c>
      <c r="P8" s="190">
        <v>16</v>
      </c>
      <c r="Q8" s="190">
        <v>16</v>
      </c>
      <c r="R8" s="190">
        <v>0</v>
      </c>
      <c r="S8" s="190">
        <v>0</v>
      </c>
      <c r="T8" s="190">
        <v>0</v>
      </c>
      <c r="U8" s="190">
        <v>0</v>
      </c>
      <c r="V8" s="190">
        <v>7</v>
      </c>
      <c r="W8" s="190">
        <v>7</v>
      </c>
      <c r="X8" s="190">
        <v>1</v>
      </c>
      <c r="Y8" s="190">
        <v>113</v>
      </c>
      <c r="Z8" s="190">
        <v>114</v>
      </c>
      <c r="AA8" s="190">
        <v>1</v>
      </c>
      <c r="AB8" s="190">
        <v>55</v>
      </c>
      <c r="AC8" s="190">
        <v>56</v>
      </c>
      <c r="AD8" s="190">
        <v>1</v>
      </c>
      <c r="AE8" s="190">
        <v>53</v>
      </c>
      <c r="AF8" s="190">
        <v>54</v>
      </c>
      <c r="AG8" s="190">
        <v>0</v>
      </c>
      <c r="AH8" s="190">
        <v>1</v>
      </c>
      <c r="AI8" s="190">
        <v>1</v>
      </c>
      <c r="AJ8" s="190">
        <v>0</v>
      </c>
      <c r="AK8" s="190">
        <v>1</v>
      </c>
      <c r="AL8" s="190">
        <v>1</v>
      </c>
      <c r="AM8" s="190">
        <v>0</v>
      </c>
      <c r="AN8" s="190">
        <v>58</v>
      </c>
      <c r="AO8" s="190">
        <v>58</v>
      </c>
      <c r="AP8" s="190">
        <v>117</v>
      </c>
      <c r="AQ8" s="190">
        <v>1435</v>
      </c>
      <c r="AR8" s="190">
        <v>1552</v>
      </c>
      <c r="AS8" s="190">
        <v>117</v>
      </c>
      <c r="AT8" s="190">
        <v>1435</v>
      </c>
      <c r="AU8" s="190">
        <v>1552</v>
      </c>
      <c r="AV8" s="190">
        <v>0</v>
      </c>
      <c r="AW8" s="190">
        <v>0</v>
      </c>
      <c r="AX8" s="190">
        <v>0</v>
      </c>
      <c r="AY8" s="190">
        <v>0</v>
      </c>
      <c r="AZ8" s="190">
        <v>123</v>
      </c>
      <c r="BA8" s="190">
        <v>123</v>
      </c>
      <c r="BB8" s="190">
        <v>1</v>
      </c>
      <c r="BC8" s="190">
        <v>0</v>
      </c>
      <c r="BD8" s="190">
        <v>0</v>
      </c>
      <c r="BE8" s="190">
        <v>76</v>
      </c>
      <c r="BF8" s="190">
        <v>0</v>
      </c>
      <c r="BG8" s="190">
        <v>0</v>
      </c>
      <c r="BH8" s="190">
        <v>1</v>
      </c>
      <c r="BI8" s="190">
        <v>76</v>
      </c>
      <c r="BJ8" s="190">
        <v>77</v>
      </c>
      <c r="BK8" s="190">
        <v>-4</v>
      </c>
      <c r="BL8" s="190">
        <v>4</v>
      </c>
      <c r="BM8" s="190">
        <v>0</v>
      </c>
      <c r="BN8" s="190">
        <v>0</v>
      </c>
      <c r="BO8" s="190">
        <v>5</v>
      </c>
      <c r="BP8" s="190">
        <v>5</v>
      </c>
      <c r="BQ8" s="190">
        <v>2</v>
      </c>
      <c r="BR8" s="190">
        <v>14</v>
      </c>
      <c r="BS8" s="190">
        <v>16</v>
      </c>
      <c r="BT8" s="190">
        <v>1</v>
      </c>
      <c r="BU8" s="190">
        <v>24</v>
      </c>
      <c r="BV8" s="190">
        <v>25</v>
      </c>
      <c r="BW8" s="190">
        <v>117</v>
      </c>
      <c r="BX8" s="190">
        <v>1558</v>
      </c>
      <c r="BY8" s="190">
        <v>1675</v>
      </c>
      <c r="BZ8" s="190">
        <v>117</v>
      </c>
      <c r="CA8" s="190">
        <v>1556</v>
      </c>
      <c r="CB8" s="190">
        <v>1673</v>
      </c>
      <c r="CC8" s="190">
        <v>3040</v>
      </c>
      <c r="CD8" s="190">
        <v>0</v>
      </c>
      <c r="CE8" s="190">
        <v>2</v>
      </c>
      <c r="CF8" s="190">
        <v>0</v>
      </c>
      <c r="CG8" s="190">
        <v>2</v>
      </c>
      <c r="CH8" s="190">
        <v>2</v>
      </c>
      <c r="CI8" s="190">
        <v>0</v>
      </c>
      <c r="CJ8" s="190">
        <v>0</v>
      </c>
      <c r="CK8" s="190">
        <v>0</v>
      </c>
      <c r="CL8" s="190">
        <v>0</v>
      </c>
      <c r="CM8" s="190">
        <v>0</v>
      </c>
      <c r="CN8" s="190">
        <v>9</v>
      </c>
      <c r="CO8" s="190">
        <v>118</v>
      </c>
      <c r="CP8" s="190">
        <v>127</v>
      </c>
      <c r="CQ8" s="190">
        <v>0</v>
      </c>
      <c r="CR8" s="190">
        <v>1</v>
      </c>
      <c r="CS8" s="190">
        <v>1</v>
      </c>
      <c r="CT8" s="190">
        <v>108</v>
      </c>
      <c r="CU8" s="190">
        <v>1440</v>
      </c>
      <c r="CV8" s="190">
        <v>1548</v>
      </c>
      <c r="CW8" s="190">
        <v>2</v>
      </c>
      <c r="CX8" s="190">
        <v>43</v>
      </c>
      <c r="CY8" s="190">
        <v>45</v>
      </c>
      <c r="CZ8" s="190">
        <v>2</v>
      </c>
      <c r="DA8" s="190">
        <v>0</v>
      </c>
      <c r="DB8" s="190">
        <v>0</v>
      </c>
      <c r="DC8" s="190">
        <v>43</v>
      </c>
      <c r="DD8" s="190">
        <v>0</v>
      </c>
      <c r="DE8" s="190">
        <v>0</v>
      </c>
      <c r="DF8" s="190">
        <v>2</v>
      </c>
      <c r="DG8" s="190">
        <v>43</v>
      </c>
      <c r="DH8" s="190">
        <v>45</v>
      </c>
      <c r="DI8" s="190">
        <v>0</v>
      </c>
      <c r="DJ8" s="190">
        <v>0</v>
      </c>
      <c r="DK8" s="190">
        <v>0</v>
      </c>
      <c r="DL8" s="190">
        <v>0</v>
      </c>
      <c r="DM8" s="190">
        <v>0</v>
      </c>
      <c r="DN8" s="190">
        <v>0</v>
      </c>
      <c r="DO8" s="190">
        <v>0</v>
      </c>
      <c r="DP8" s="190">
        <v>0</v>
      </c>
      <c r="DQ8" s="190">
        <v>0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1294</v>
      </c>
      <c r="C9" s="190">
        <v>466</v>
      </c>
      <c r="D9" s="190">
        <v>1305</v>
      </c>
      <c r="E9" s="190">
        <v>744</v>
      </c>
      <c r="F9" s="190">
        <v>1</v>
      </c>
      <c r="G9" s="190">
        <v>43</v>
      </c>
      <c r="H9" s="190">
        <v>44</v>
      </c>
      <c r="I9" s="190">
        <v>0</v>
      </c>
      <c r="J9" s="190">
        <v>493</v>
      </c>
      <c r="K9" s="190">
        <v>493</v>
      </c>
      <c r="L9" s="190">
        <v>0</v>
      </c>
      <c r="M9" s="190">
        <v>185</v>
      </c>
      <c r="N9" s="190">
        <v>185</v>
      </c>
      <c r="O9" s="190">
        <v>0</v>
      </c>
      <c r="P9" s="190">
        <v>308</v>
      </c>
      <c r="Q9" s="190">
        <v>308</v>
      </c>
      <c r="R9" s="190">
        <v>0</v>
      </c>
      <c r="S9" s="190">
        <v>32</v>
      </c>
      <c r="T9" s="190">
        <v>32</v>
      </c>
      <c r="U9" s="190">
        <v>0</v>
      </c>
      <c r="V9" s="190">
        <v>68</v>
      </c>
      <c r="W9" s="190">
        <v>68</v>
      </c>
      <c r="X9" s="190">
        <v>22</v>
      </c>
      <c r="Y9" s="190">
        <v>1283</v>
      </c>
      <c r="Z9" s="190">
        <v>1305</v>
      </c>
      <c r="AA9" s="190">
        <v>17</v>
      </c>
      <c r="AB9" s="190">
        <v>523</v>
      </c>
      <c r="AC9" s="190">
        <v>540</v>
      </c>
      <c r="AD9" s="190">
        <v>17</v>
      </c>
      <c r="AE9" s="190">
        <v>506</v>
      </c>
      <c r="AF9" s="190">
        <v>523</v>
      </c>
      <c r="AG9" s="190">
        <v>0</v>
      </c>
      <c r="AH9" s="190">
        <v>13</v>
      </c>
      <c r="AI9" s="190">
        <v>13</v>
      </c>
      <c r="AJ9" s="190">
        <v>0</v>
      </c>
      <c r="AK9" s="190">
        <v>4</v>
      </c>
      <c r="AL9" s="190">
        <v>4</v>
      </c>
      <c r="AM9" s="190">
        <v>5</v>
      </c>
      <c r="AN9" s="190">
        <v>760</v>
      </c>
      <c r="AO9" s="190">
        <v>765</v>
      </c>
      <c r="AP9" s="190">
        <v>1492</v>
      </c>
      <c r="AQ9" s="190">
        <v>14271</v>
      </c>
      <c r="AR9" s="190">
        <v>15763</v>
      </c>
      <c r="AS9" s="190">
        <v>1492</v>
      </c>
      <c r="AT9" s="190">
        <v>14271</v>
      </c>
      <c r="AU9" s="190">
        <v>15763</v>
      </c>
      <c r="AV9" s="190">
        <v>0</v>
      </c>
      <c r="AW9" s="190">
        <v>0</v>
      </c>
      <c r="AX9" s="190">
        <v>0</v>
      </c>
      <c r="AY9" s="190">
        <v>108</v>
      </c>
      <c r="AZ9" s="190">
        <v>1215</v>
      </c>
      <c r="BA9" s="190">
        <v>1323</v>
      </c>
      <c r="BB9" s="190">
        <v>25</v>
      </c>
      <c r="BC9" s="190">
        <v>0</v>
      </c>
      <c r="BD9" s="190">
        <v>0</v>
      </c>
      <c r="BE9" s="190">
        <v>717</v>
      </c>
      <c r="BF9" s="190">
        <v>0</v>
      </c>
      <c r="BG9" s="190">
        <v>2</v>
      </c>
      <c r="BH9" s="190">
        <v>25</v>
      </c>
      <c r="BI9" s="190">
        <v>719</v>
      </c>
      <c r="BJ9" s="190">
        <v>744</v>
      </c>
      <c r="BK9" s="190">
        <v>33</v>
      </c>
      <c r="BL9" s="190">
        <v>-33</v>
      </c>
      <c r="BM9" s="190">
        <v>0</v>
      </c>
      <c r="BN9" s="190">
        <v>5</v>
      </c>
      <c r="BO9" s="190">
        <v>66</v>
      </c>
      <c r="BP9" s="190">
        <v>71</v>
      </c>
      <c r="BQ9" s="190">
        <v>6</v>
      </c>
      <c r="BR9" s="190">
        <v>149</v>
      </c>
      <c r="BS9" s="190">
        <v>155</v>
      </c>
      <c r="BT9" s="190">
        <v>39</v>
      </c>
      <c r="BU9" s="190">
        <v>314</v>
      </c>
      <c r="BV9" s="190">
        <v>353</v>
      </c>
      <c r="BW9" s="190">
        <v>1600</v>
      </c>
      <c r="BX9" s="190">
        <v>15486</v>
      </c>
      <c r="BY9" s="190">
        <v>17086</v>
      </c>
      <c r="BZ9" s="190">
        <v>1591</v>
      </c>
      <c r="CA9" s="190">
        <v>15422</v>
      </c>
      <c r="CB9" s="190">
        <v>17013</v>
      </c>
      <c r="CC9" s="190">
        <v>31411</v>
      </c>
      <c r="CD9" s="190">
        <v>7</v>
      </c>
      <c r="CE9" s="190">
        <v>47</v>
      </c>
      <c r="CF9" s="190">
        <v>9</v>
      </c>
      <c r="CG9" s="190">
        <v>41</v>
      </c>
      <c r="CH9" s="190">
        <v>50</v>
      </c>
      <c r="CI9" s="190">
        <v>24</v>
      </c>
      <c r="CJ9" s="190">
        <v>3</v>
      </c>
      <c r="CK9" s="190">
        <v>0</v>
      </c>
      <c r="CL9" s="190">
        <v>23</v>
      </c>
      <c r="CM9" s="190">
        <v>23</v>
      </c>
      <c r="CN9" s="190">
        <v>83</v>
      </c>
      <c r="CO9" s="190">
        <v>1318</v>
      </c>
      <c r="CP9" s="190">
        <v>1401</v>
      </c>
      <c r="CQ9" s="190">
        <v>0</v>
      </c>
      <c r="CR9" s="190">
        <v>11</v>
      </c>
      <c r="CS9" s="190">
        <v>11</v>
      </c>
      <c r="CT9" s="190">
        <v>1517</v>
      </c>
      <c r="CU9" s="190">
        <v>14168</v>
      </c>
      <c r="CV9" s="190">
        <v>15685</v>
      </c>
      <c r="CW9" s="190">
        <v>119</v>
      </c>
      <c r="CX9" s="190">
        <v>603</v>
      </c>
      <c r="CY9" s="190">
        <v>722</v>
      </c>
      <c r="CZ9" s="190">
        <v>116</v>
      </c>
      <c r="DA9" s="190">
        <v>3</v>
      </c>
      <c r="DB9" s="190">
        <v>0</v>
      </c>
      <c r="DC9" s="190">
        <v>593</v>
      </c>
      <c r="DD9" s="190">
        <v>2</v>
      </c>
      <c r="DE9" s="190">
        <v>0</v>
      </c>
      <c r="DF9" s="190">
        <v>119</v>
      </c>
      <c r="DG9" s="190">
        <v>595</v>
      </c>
      <c r="DH9" s="190">
        <v>714</v>
      </c>
      <c r="DI9" s="190">
        <v>0</v>
      </c>
      <c r="DJ9" s="190">
        <v>0</v>
      </c>
      <c r="DK9" s="190">
        <v>0</v>
      </c>
      <c r="DL9" s="190">
        <v>8</v>
      </c>
      <c r="DM9" s="190">
        <v>0</v>
      </c>
      <c r="DN9" s="190">
        <v>0</v>
      </c>
      <c r="DO9" s="190">
        <v>0</v>
      </c>
      <c r="DP9" s="190">
        <v>8</v>
      </c>
      <c r="DQ9" s="190">
        <v>8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197</v>
      </c>
      <c r="C10" s="190">
        <v>35</v>
      </c>
      <c r="D10" s="190">
        <v>188</v>
      </c>
      <c r="E10" s="190">
        <v>140</v>
      </c>
      <c r="F10" s="190">
        <v>0</v>
      </c>
      <c r="G10" s="190">
        <v>0</v>
      </c>
      <c r="H10" s="190">
        <v>0</v>
      </c>
      <c r="I10" s="190">
        <v>0</v>
      </c>
      <c r="J10" s="190">
        <v>41</v>
      </c>
      <c r="K10" s="190">
        <v>41</v>
      </c>
      <c r="L10" s="190">
        <v>0</v>
      </c>
      <c r="M10" s="190">
        <v>23</v>
      </c>
      <c r="N10" s="190">
        <v>23</v>
      </c>
      <c r="O10" s="190">
        <v>0</v>
      </c>
      <c r="P10" s="190">
        <v>18</v>
      </c>
      <c r="Q10" s="190">
        <v>18</v>
      </c>
      <c r="R10" s="190">
        <v>0</v>
      </c>
      <c r="S10" s="190">
        <v>0</v>
      </c>
      <c r="T10" s="190">
        <v>0</v>
      </c>
      <c r="U10" s="190">
        <v>0</v>
      </c>
      <c r="V10" s="190">
        <v>7</v>
      </c>
      <c r="W10" s="190">
        <v>7</v>
      </c>
      <c r="X10" s="190">
        <v>4</v>
      </c>
      <c r="Y10" s="190">
        <v>184</v>
      </c>
      <c r="Z10" s="190">
        <v>188</v>
      </c>
      <c r="AA10" s="190">
        <v>4</v>
      </c>
      <c r="AB10" s="190">
        <v>100</v>
      </c>
      <c r="AC10" s="190">
        <v>104</v>
      </c>
      <c r="AD10" s="190">
        <v>4</v>
      </c>
      <c r="AE10" s="190">
        <v>93</v>
      </c>
      <c r="AF10" s="190">
        <v>97</v>
      </c>
      <c r="AG10" s="190">
        <v>0</v>
      </c>
      <c r="AH10" s="190">
        <v>4</v>
      </c>
      <c r="AI10" s="190">
        <v>4</v>
      </c>
      <c r="AJ10" s="190">
        <v>0</v>
      </c>
      <c r="AK10" s="190">
        <v>3</v>
      </c>
      <c r="AL10" s="190">
        <v>3</v>
      </c>
      <c r="AM10" s="190">
        <v>0</v>
      </c>
      <c r="AN10" s="190">
        <v>84</v>
      </c>
      <c r="AO10" s="190">
        <v>84</v>
      </c>
      <c r="AP10" s="190">
        <v>186</v>
      </c>
      <c r="AQ10" s="190">
        <v>2450</v>
      </c>
      <c r="AR10" s="190">
        <v>2636</v>
      </c>
      <c r="AS10" s="190">
        <v>186</v>
      </c>
      <c r="AT10" s="190">
        <v>2450</v>
      </c>
      <c r="AU10" s="190">
        <v>2636</v>
      </c>
      <c r="AV10" s="190">
        <v>0</v>
      </c>
      <c r="AW10" s="190">
        <v>0</v>
      </c>
      <c r="AX10" s="190">
        <v>0</v>
      </c>
      <c r="AY10" s="190">
        <v>4</v>
      </c>
      <c r="AZ10" s="190">
        <v>213</v>
      </c>
      <c r="BA10" s="190">
        <v>217</v>
      </c>
      <c r="BB10" s="190">
        <v>3</v>
      </c>
      <c r="BC10" s="190">
        <v>0</v>
      </c>
      <c r="BD10" s="190">
        <v>0</v>
      </c>
      <c r="BE10" s="190">
        <v>136</v>
      </c>
      <c r="BF10" s="190">
        <v>1</v>
      </c>
      <c r="BG10" s="190">
        <v>0</v>
      </c>
      <c r="BH10" s="190">
        <v>3</v>
      </c>
      <c r="BI10" s="190">
        <v>137</v>
      </c>
      <c r="BJ10" s="190">
        <v>140</v>
      </c>
      <c r="BK10" s="190">
        <v>-5</v>
      </c>
      <c r="BL10" s="190">
        <v>5</v>
      </c>
      <c r="BM10" s="190">
        <v>0</v>
      </c>
      <c r="BN10" s="190">
        <v>2</v>
      </c>
      <c r="BO10" s="190">
        <v>5</v>
      </c>
      <c r="BP10" s="190">
        <v>7</v>
      </c>
      <c r="BQ10" s="190">
        <v>0</v>
      </c>
      <c r="BR10" s="190">
        <v>26</v>
      </c>
      <c r="BS10" s="190">
        <v>26</v>
      </c>
      <c r="BT10" s="190">
        <v>4</v>
      </c>
      <c r="BU10" s="190">
        <v>40</v>
      </c>
      <c r="BV10" s="190">
        <v>44</v>
      </c>
      <c r="BW10" s="190">
        <v>190</v>
      </c>
      <c r="BX10" s="190">
        <v>2663</v>
      </c>
      <c r="BY10" s="190">
        <v>2853</v>
      </c>
      <c r="BZ10" s="190">
        <v>190</v>
      </c>
      <c r="CA10" s="190">
        <v>2655</v>
      </c>
      <c r="CB10" s="190">
        <v>2845</v>
      </c>
      <c r="CC10" s="190">
        <v>5096</v>
      </c>
      <c r="CD10" s="190">
        <v>1</v>
      </c>
      <c r="CE10" s="190">
        <v>4</v>
      </c>
      <c r="CF10" s="190">
        <v>0</v>
      </c>
      <c r="CG10" s="190">
        <v>4</v>
      </c>
      <c r="CH10" s="190">
        <v>4</v>
      </c>
      <c r="CI10" s="190">
        <v>5</v>
      </c>
      <c r="CJ10" s="190">
        <v>0</v>
      </c>
      <c r="CK10" s="190">
        <v>0</v>
      </c>
      <c r="CL10" s="190">
        <v>4</v>
      </c>
      <c r="CM10" s="190">
        <v>4</v>
      </c>
      <c r="CN10" s="190">
        <v>7</v>
      </c>
      <c r="CO10" s="190">
        <v>248</v>
      </c>
      <c r="CP10" s="190">
        <v>255</v>
      </c>
      <c r="CQ10" s="190">
        <v>0</v>
      </c>
      <c r="CR10" s="190">
        <v>1</v>
      </c>
      <c r="CS10" s="190">
        <v>1</v>
      </c>
      <c r="CT10" s="190">
        <v>183</v>
      </c>
      <c r="CU10" s="190">
        <v>2415</v>
      </c>
      <c r="CV10" s="190">
        <v>2598</v>
      </c>
      <c r="CW10" s="190">
        <v>12</v>
      </c>
      <c r="CX10" s="190">
        <v>108</v>
      </c>
      <c r="CY10" s="190">
        <v>120</v>
      </c>
      <c r="CZ10" s="190">
        <v>12</v>
      </c>
      <c r="DA10" s="190">
        <v>0</v>
      </c>
      <c r="DB10" s="190">
        <v>0</v>
      </c>
      <c r="DC10" s="190">
        <v>105</v>
      </c>
      <c r="DD10" s="190">
        <v>0</v>
      </c>
      <c r="DE10" s="190">
        <v>0</v>
      </c>
      <c r="DF10" s="190">
        <v>12</v>
      </c>
      <c r="DG10" s="190">
        <v>105</v>
      </c>
      <c r="DH10" s="190">
        <v>117</v>
      </c>
      <c r="DI10" s="190">
        <v>0</v>
      </c>
      <c r="DJ10" s="190">
        <v>0</v>
      </c>
      <c r="DK10" s="190">
        <v>0</v>
      </c>
      <c r="DL10" s="190">
        <v>3</v>
      </c>
      <c r="DM10" s="190">
        <v>0</v>
      </c>
      <c r="DN10" s="190">
        <v>0</v>
      </c>
      <c r="DO10" s="190">
        <v>0</v>
      </c>
      <c r="DP10" s="190">
        <v>3</v>
      </c>
      <c r="DQ10" s="190">
        <v>3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60</v>
      </c>
      <c r="C11" s="190">
        <v>6</v>
      </c>
      <c r="D11" s="190">
        <v>58</v>
      </c>
      <c r="E11" s="190">
        <v>24</v>
      </c>
      <c r="F11" s="190">
        <v>0</v>
      </c>
      <c r="G11" s="190">
        <v>1</v>
      </c>
      <c r="H11" s="190">
        <v>1</v>
      </c>
      <c r="I11" s="190">
        <v>0</v>
      </c>
      <c r="J11" s="190">
        <v>30</v>
      </c>
      <c r="K11" s="190">
        <v>30</v>
      </c>
      <c r="L11" s="190">
        <v>0</v>
      </c>
      <c r="M11" s="190">
        <v>11</v>
      </c>
      <c r="N11" s="190">
        <v>11</v>
      </c>
      <c r="O11" s="190">
        <v>0</v>
      </c>
      <c r="P11" s="190">
        <v>19</v>
      </c>
      <c r="Q11" s="190">
        <v>19</v>
      </c>
      <c r="R11" s="190">
        <v>0</v>
      </c>
      <c r="S11" s="190">
        <v>0</v>
      </c>
      <c r="T11" s="190">
        <v>0</v>
      </c>
      <c r="U11" s="190">
        <v>0</v>
      </c>
      <c r="V11" s="190">
        <v>4</v>
      </c>
      <c r="W11" s="190">
        <v>4</v>
      </c>
      <c r="X11" s="190">
        <v>0</v>
      </c>
      <c r="Y11" s="190">
        <v>58</v>
      </c>
      <c r="Z11" s="190">
        <v>58</v>
      </c>
      <c r="AA11" s="190">
        <v>0</v>
      </c>
      <c r="AB11" s="190">
        <v>15</v>
      </c>
      <c r="AC11" s="190">
        <v>15</v>
      </c>
      <c r="AD11" s="190">
        <v>0</v>
      </c>
      <c r="AE11" s="190">
        <v>14</v>
      </c>
      <c r="AF11" s="190">
        <v>14</v>
      </c>
      <c r="AG11" s="190">
        <v>0</v>
      </c>
      <c r="AH11" s="190">
        <v>1</v>
      </c>
      <c r="AI11" s="190">
        <v>1</v>
      </c>
      <c r="AJ11" s="190">
        <v>0</v>
      </c>
      <c r="AK11" s="190">
        <v>0</v>
      </c>
      <c r="AL11" s="190">
        <v>0</v>
      </c>
      <c r="AM11" s="190">
        <v>0</v>
      </c>
      <c r="AN11" s="190">
        <v>43</v>
      </c>
      <c r="AO11" s="190">
        <v>43</v>
      </c>
      <c r="AP11" s="190">
        <v>82</v>
      </c>
      <c r="AQ11" s="190">
        <v>576</v>
      </c>
      <c r="AR11" s="190">
        <v>658</v>
      </c>
      <c r="AS11" s="190">
        <v>82</v>
      </c>
      <c r="AT11" s="190">
        <v>576</v>
      </c>
      <c r="AU11" s="190">
        <v>658</v>
      </c>
      <c r="AV11" s="190">
        <v>0</v>
      </c>
      <c r="AW11" s="190">
        <v>0</v>
      </c>
      <c r="AX11" s="190">
        <v>0</v>
      </c>
      <c r="AY11" s="190">
        <v>4</v>
      </c>
      <c r="AZ11" s="190">
        <v>59</v>
      </c>
      <c r="BA11" s="190">
        <v>63</v>
      </c>
      <c r="BB11" s="190">
        <v>0</v>
      </c>
      <c r="BC11" s="190">
        <v>0</v>
      </c>
      <c r="BD11" s="190">
        <v>0</v>
      </c>
      <c r="BE11" s="190">
        <v>24</v>
      </c>
      <c r="BF11" s="190">
        <v>0</v>
      </c>
      <c r="BG11" s="190">
        <v>0</v>
      </c>
      <c r="BH11" s="190">
        <v>0</v>
      </c>
      <c r="BI11" s="190">
        <v>24</v>
      </c>
      <c r="BJ11" s="190">
        <v>24</v>
      </c>
      <c r="BK11" s="190">
        <v>-2</v>
      </c>
      <c r="BL11" s="190">
        <v>2</v>
      </c>
      <c r="BM11" s="190">
        <v>0</v>
      </c>
      <c r="BN11" s="190">
        <v>1</v>
      </c>
      <c r="BO11" s="190">
        <v>4</v>
      </c>
      <c r="BP11" s="190">
        <v>5</v>
      </c>
      <c r="BQ11" s="190">
        <v>1</v>
      </c>
      <c r="BR11" s="190">
        <v>9</v>
      </c>
      <c r="BS11" s="190">
        <v>10</v>
      </c>
      <c r="BT11" s="190">
        <v>4</v>
      </c>
      <c r="BU11" s="190">
        <v>20</v>
      </c>
      <c r="BV11" s="190">
        <v>24</v>
      </c>
      <c r="BW11" s="190">
        <v>86</v>
      </c>
      <c r="BX11" s="190">
        <v>635</v>
      </c>
      <c r="BY11" s="190">
        <v>721</v>
      </c>
      <c r="BZ11" s="190">
        <v>83</v>
      </c>
      <c r="CA11" s="190">
        <v>632</v>
      </c>
      <c r="CB11" s="190">
        <v>715</v>
      </c>
      <c r="CC11" s="190">
        <v>1610</v>
      </c>
      <c r="CD11" s="190">
        <v>0</v>
      </c>
      <c r="CE11" s="190">
        <v>5</v>
      </c>
      <c r="CF11" s="190">
        <v>3</v>
      </c>
      <c r="CG11" s="190">
        <v>2</v>
      </c>
      <c r="CH11" s="190">
        <v>5</v>
      </c>
      <c r="CI11" s="190">
        <v>1</v>
      </c>
      <c r="CJ11" s="190">
        <v>0</v>
      </c>
      <c r="CK11" s="190">
        <v>0</v>
      </c>
      <c r="CL11" s="190">
        <v>1</v>
      </c>
      <c r="CM11" s="190">
        <v>1</v>
      </c>
      <c r="CN11" s="190">
        <v>7</v>
      </c>
      <c r="CO11" s="190">
        <v>68</v>
      </c>
      <c r="CP11" s="190">
        <v>75</v>
      </c>
      <c r="CQ11" s="190">
        <v>0</v>
      </c>
      <c r="CR11" s="190">
        <v>0</v>
      </c>
      <c r="CS11" s="190">
        <v>0</v>
      </c>
      <c r="CT11" s="190">
        <v>79</v>
      </c>
      <c r="CU11" s="190">
        <v>567</v>
      </c>
      <c r="CV11" s="190">
        <v>646</v>
      </c>
      <c r="CW11" s="190">
        <v>11</v>
      </c>
      <c r="CX11" s="190">
        <v>26</v>
      </c>
      <c r="CY11" s="190">
        <v>37</v>
      </c>
      <c r="CZ11" s="190">
        <v>11</v>
      </c>
      <c r="DA11" s="190">
        <v>0</v>
      </c>
      <c r="DB11" s="190">
        <v>0</v>
      </c>
      <c r="DC11" s="190">
        <v>26</v>
      </c>
      <c r="DD11" s="190">
        <v>0</v>
      </c>
      <c r="DE11" s="190">
        <v>0</v>
      </c>
      <c r="DF11" s="190">
        <v>11</v>
      </c>
      <c r="DG11" s="190">
        <v>26</v>
      </c>
      <c r="DH11" s="190">
        <v>37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 ht="15.75">
      <c r="A12" s="189" t="s">
        <v>371</v>
      </c>
      <c r="B12" s="190">
        <v>2197</v>
      </c>
      <c r="C12" s="190">
        <v>579</v>
      </c>
      <c r="D12" s="190">
        <v>1863</v>
      </c>
      <c r="E12" s="190">
        <v>1076</v>
      </c>
      <c r="F12" s="190">
        <v>1</v>
      </c>
      <c r="G12" s="190">
        <v>20</v>
      </c>
      <c r="H12" s="190">
        <v>21</v>
      </c>
      <c r="I12" s="190">
        <v>1</v>
      </c>
      <c r="J12" s="190">
        <v>695</v>
      </c>
      <c r="K12" s="190">
        <v>696</v>
      </c>
      <c r="L12" s="190">
        <v>0</v>
      </c>
      <c r="M12" s="190">
        <v>180</v>
      </c>
      <c r="N12" s="190">
        <v>180</v>
      </c>
      <c r="O12" s="190">
        <v>1</v>
      </c>
      <c r="P12" s="190">
        <v>515</v>
      </c>
      <c r="Q12" s="190">
        <v>516</v>
      </c>
      <c r="R12" s="190">
        <v>0</v>
      </c>
      <c r="S12" s="190">
        <v>59</v>
      </c>
      <c r="T12" s="190">
        <v>59</v>
      </c>
      <c r="U12" s="190">
        <v>0</v>
      </c>
      <c r="V12" s="190">
        <v>91</v>
      </c>
      <c r="W12" s="190">
        <v>91</v>
      </c>
      <c r="X12" s="190">
        <v>29</v>
      </c>
      <c r="Y12" s="190">
        <v>1008</v>
      </c>
      <c r="Z12" s="190">
        <v>1037</v>
      </c>
      <c r="AA12" s="190">
        <v>16</v>
      </c>
      <c r="AB12" s="190">
        <v>504</v>
      </c>
      <c r="AC12" s="190">
        <v>520</v>
      </c>
      <c r="AD12" s="190">
        <v>16</v>
      </c>
      <c r="AE12" s="190">
        <v>497</v>
      </c>
      <c r="AF12" s="190">
        <v>513</v>
      </c>
      <c r="AG12" s="190">
        <v>0</v>
      </c>
      <c r="AH12" s="190">
        <v>5</v>
      </c>
      <c r="AI12" s="190">
        <v>5</v>
      </c>
      <c r="AJ12" s="190">
        <v>0</v>
      </c>
      <c r="AK12" s="190">
        <v>2</v>
      </c>
      <c r="AL12" s="190">
        <v>2</v>
      </c>
      <c r="AM12" s="190">
        <v>13</v>
      </c>
      <c r="AN12" s="190">
        <v>504</v>
      </c>
      <c r="AO12" s="190">
        <v>517</v>
      </c>
      <c r="AP12" s="190">
        <v>3651</v>
      </c>
      <c r="AQ12" s="190">
        <v>25346</v>
      </c>
      <c r="AR12" s="190">
        <v>28997</v>
      </c>
      <c r="AS12" s="190">
        <v>3624</v>
      </c>
      <c r="AT12" s="190">
        <v>25090</v>
      </c>
      <c r="AU12" s="190">
        <v>28714</v>
      </c>
      <c r="AV12" s="190">
        <v>27</v>
      </c>
      <c r="AW12" s="190">
        <v>256</v>
      </c>
      <c r="AX12" s="190">
        <v>283</v>
      </c>
      <c r="AY12" s="190">
        <v>61</v>
      </c>
      <c r="AZ12" s="190">
        <v>2505</v>
      </c>
      <c r="BA12" s="190">
        <v>2566</v>
      </c>
      <c r="BB12" s="190">
        <v>77</v>
      </c>
      <c r="BC12" s="190">
        <v>8</v>
      </c>
      <c r="BD12" s="190">
        <v>0</v>
      </c>
      <c r="BE12" s="190">
        <v>969</v>
      </c>
      <c r="BF12" s="190">
        <v>13</v>
      </c>
      <c r="BG12" s="190">
        <v>9</v>
      </c>
      <c r="BH12" s="190">
        <v>85</v>
      </c>
      <c r="BI12" s="190">
        <v>991</v>
      </c>
      <c r="BJ12" s="190">
        <v>1076</v>
      </c>
      <c r="BK12" s="190">
        <v>-145</v>
      </c>
      <c r="BL12" s="190">
        <v>145</v>
      </c>
      <c r="BM12" s="190">
        <v>0</v>
      </c>
      <c r="BN12" s="190">
        <v>12</v>
      </c>
      <c r="BO12" s="190">
        <v>56</v>
      </c>
      <c r="BP12" s="190">
        <v>68</v>
      </c>
      <c r="BQ12" s="190">
        <v>5</v>
      </c>
      <c r="BR12" s="190">
        <v>51</v>
      </c>
      <c r="BS12" s="190">
        <v>56</v>
      </c>
      <c r="BT12" s="190">
        <v>104</v>
      </c>
      <c r="BU12" s="190">
        <v>1262</v>
      </c>
      <c r="BV12" s="190">
        <v>1366</v>
      </c>
      <c r="BW12" s="190">
        <v>3712</v>
      </c>
      <c r="BX12" s="190">
        <v>27851</v>
      </c>
      <c r="BY12" s="190">
        <v>31563</v>
      </c>
      <c r="BZ12" s="190">
        <v>3612</v>
      </c>
      <c r="CA12" s="190">
        <v>27331</v>
      </c>
      <c r="CB12" s="190">
        <v>30943</v>
      </c>
      <c r="CC12" s="190">
        <v>63267</v>
      </c>
      <c r="CD12" s="190">
        <v>28</v>
      </c>
      <c r="CE12" s="190">
        <v>677</v>
      </c>
      <c r="CF12" s="190">
        <v>99</v>
      </c>
      <c r="CG12" s="190">
        <v>393</v>
      </c>
      <c r="CH12" s="190">
        <v>492</v>
      </c>
      <c r="CI12" s="190">
        <v>153</v>
      </c>
      <c r="CJ12" s="190">
        <v>13</v>
      </c>
      <c r="CK12" s="190">
        <v>1</v>
      </c>
      <c r="CL12" s="190">
        <v>127</v>
      </c>
      <c r="CM12" s="190">
        <v>128</v>
      </c>
      <c r="CN12" s="190">
        <v>205</v>
      </c>
      <c r="CO12" s="190">
        <v>2777</v>
      </c>
      <c r="CP12" s="190">
        <v>2982</v>
      </c>
      <c r="CQ12" s="190">
        <v>0</v>
      </c>
      <c r="CR12" s="190">
        <v>0</v>
      </c>
      <c r="CS12" s="190">
        <v>0</v>
      </c>
      <c r="CT12" s="190">
        <v>3507</v>
      </c>
      <c r="CU12" s="190">
        <v>25074</v>
      </c>
      <c r="CV12" s="190">
        <v>28581</v>
      </c>
      <c r="CW12" s="190">
        <v>269</v>
      </c>
      <c r="CX12" s="190">
        <v>1370</v>
      </c>
      <c r="CY12" s="190">
        <v>1639</v>
      </c>
      <c r="CZ12" s="190">
        <v>261</v>
      </c>
      <c r="DA12" s="190">
        <v>5</v>
      </c>
      <c r="DB12" s="190">
        <v>0</v>
      </c>
      <c r="DC12" s="190">
        <v>1304</v>
      </c>
      <c r="DD12" s="190">
        <v>24</v>
      </c>
      <c r="DE12" s="190">
        <v>4</v>
      </c>
      <c r="DF12" s="190">
        <v>266</v>
      </c>
      <c r="DG12" s="190">
        <v>1332</v>
      </c>
      <c r="DH12" s="190">
        <v>1598</v>
      </c>
      <c r="DI12" s="190">
        <v>3</v>
      </c>
      <c r="DJ12" s="190">
        <v>0</v>
      </c>
      <c r="DK12" s="190">
        <v>0</v>
      </c>
      <c r="DL12" s="190">
        <v>38</v>
      </c>
      <c r="DM12" s="190">
        <v>0</v>
      </c>
      <c r="DN12" s="190">
        <v>0</v>
      </c>
      <c r="DO12" s="190">
        <v>3</v>
      </c>
      <c r="DP12" s="190">
        <v>38</v>
      </c>
      <c r="DQ12" s="190">
        <v>41</v>
      </c>
      <c r="DR12" s="190">
        <v>1</v>
      </c>
      <c r="DS12" s="190">
        <v>1</v>
      </c>
      <c r="DT12" s="191">
        <v>2</v>
      </c>
    </row>
    <row r="13" spans="1:129">
      <c r="A13" s="189" t="s">
        <v>278</v>
      </c>
      <c r="B13" s="190">
        <v>178</v>
      </c>
      <c r="C13" s="190">
        <v>12</v>
      </c>
      <c r="D13" s="190">
        <v>188</v>
      </c>
      <c r="E13" s="190">
        <v>99</v>
      </c>
      <c r="F13" s="190">
        <v>0</v>
      </c>
      <c r="G13" s="190">
        <v>0</v>
      </c>
      <c r="H13" s="190">
        <v>0</v>
      </c>
      <c r="I13" s="190">
        <v>0</v>
      </c>
      <c r="J13" s="190">
        <v>86</v>
      </c>
      <c r="K13" s="190">
        <v>86</v>
      </c>
      <c r="L13" s="190">
        <v>0</v>
      </c>
      <c r="M13" s="190">
        <v>45</v>
      </c>
      <c r="N13" s="190">
        <v>45</v>
      </c>
      <c r="O13" s="190">
        <v>0</v>
      </c>
      <c r="P13" s="190">
        <v>41</v>
      </c>
      <c r="Q13" s="190">
        <v>41</v>
      </c>
      <c r="R13" s="190">
        <v>0</v>
      </c>
      <c r="S13" s="190">
        <v>0</v>
      </c>
      <c r="T13" s="190">
        <v>0</v>
      </c>
      <c r="U13" s="190">
        <v>0</v>
      </c>
      <c r="V13" s="190">
        <v>3</v>
      </c>
      <c r="W13" s="190">
        <v>3</v>
      </c>
      <c r="X13" s="190">
        <v>3</v>
      </c>
      <c r="Y13" s="190">
        <v>185</v>
      </c>
      <c r="Z13" s="190">
        <v>188</v>
      </c>
      <c r="AA13" s="190">
        <v>2</v>
      </c>
      <c r="AB13" s="190">
        <v>66</v>
      </c>
      <c r="AC13" s="190">
        <v>68</v>
      </c>
      <c r="AD13" s="190">
        <v>2</v>
      </c>
      <c r="AE13" s="190">
        <v>63</v>
      </c>
      <c r="AF13" s="190">
        <v>65</v>
      </c>
      <c r="AG13" s="190">
        <v>0</v>
      </c>
      <c r="AH13" s="190">
        <v>2</v>
      </c>
      <c r="AI13" s="190">
        <v>2</v>
      </c>
      <c r="AJ13" s="190">
        <v>0</v>
      </c>
      <c r="AK13" s="190">
        <v>1</v>
      </c>
      <c r="AL13" s="190">
        <v>1</v>
      </c>
      <c r="AM13" s="190">
        <v>1</v>
      </c>
      <c r="AN13" s="190">
        <v>119</v>
      </c>
      <c r="AO13" s="190">
        <v>120</v>
      </c>
      <c r="AP13" s="190">
        <v>360</v>
      </c>
      <c r="AQ13" s="190">
        <v>2033</v>
      </c>
      <c r="AR13" s="190">
        <v>2393</v>
      </c>
      <c r="AS13" s="190">
        <v>360</v>
      </c>
      <c r="AT13" s="190">
        <v>2033</v>
      </c>
      <c r="AU13" s="190">
        <v>2393</v>
      </c>
      <c r="AV13" s="190">
        <v>0</v>
      </c>
      <c r="AW13" s="190">
        <v>0</v>
      </c>
      <c r="AX13" s="190">
        <v>0</v>
      </c>
      <c r="AY13" s="190">
        <v>9</v>
      </c>
      <c r="AZ13" s="190">
        <v>214</v>
      </c>
      <c r="BA13" s="190">
        <v>223</v>
      </c>
      <c r="BB13" s="190">
        <v>5</v>
      </c>
      <c r="BC13" s="190">
        <v>0</v>
      </c>
      <c r="BD13" s="190">
        <v>0</v>
      </c>
      <c r="BE13" s="190">
        <v>93</v>
      </c>
      <c r="BF13" s="190">
        <v>1</v>
      </c>
      <c r="BG13" s="190">
        <v>0</v>
      </c>
      <c r="BH13" s="190">
        <v>5</v>
      </c>
      <c r="BI13" s="190">
        <v>94</v>
      </c>
      <c r="BJ13" s="190">
        <v>99</v>
      </c>
      <c r="BK13" s="190">
        <v>-12</v>
      </c>
      <c r="BL13" s="190">
        <v>12</v>
      </c>
      <c r="BM13" s="190">
        <v>0</v>
      </c>
      <c r="BN13" s="190">
        <v>0</v>
      </c>
      <c r="BO13" s="190">
        <v>4</v>
      </c>
      <c r="BP13" s="190">
        <v>4</v>
      </c>
      <c r="BQ13" s="190">
        <v>2</v>
      </c>
      <c r="BR13" s="190">
        <v>22</v>
      </c>
      <c r="BS13" s="190">
        <v>24</v>
      </c>
      <c r="BT13" s="190">
        <v>14</v>
      </c>
      <c r="BU13" s="190">
        <v>82</v>
      </c>
      <c r="BV13" s="190">
        <v>96</v>
      </c>
      <c r="BW13" s="190">
        <v>369</v>
      </c>
      <c r="BX13" s="190">
        <v>2247</v>
      </c>
      <c r="BY13" s="190">
        <v>2616</v>
      </c>
      <c r="BZ13" s="190">
        <v>369</v>
      </c>
      <c r="CA13" s="190">
        <v>2245</v>
      </c>
      <c r="CB13" s="190">
        <v>2614</v>
      </c>
      <c r="CC13" s="190">
        <v>5359</v>
      </c>
      <c r="CD13" s="190">
        <v>0</v>
      </c>
      <c r="CE13" s="190">
        <v>1</v>
      </c>
      <c r="CF13" s="190">
        <v>0</v>
      </c>
      <c r="CG13" s="190">
        <v>1</v>
      </c>
      <c r="CH13" s="190">
        <v>1</v>
      </c>
      <c r="CI13" s="190">
        <v>2</v>
      </c>
      <c r="CJ13" s="190">
        <v>0</v>
      </c>
      <c r="CK13" s="190">
        <v>0</v>
      </c>
      <c r="CL13" s="190">
        <v>1</v>
      </c>
      <c r="CM13" s="190">
        <v>1</v>
      </c>
      <c r="CN13" s="190">
        <v>19</v>
      </c>
      <c r="CO13" s="190">
        <v>203</v>
      </c>
      <c r="CP13" s="190">
        <v>222</v>
      </c>
      <c r="CQ13" s="190">
        <v>0</v>
      </c>
      <c r="CR13" s="190">
        <v>0</v>
      </c>
      <c r="CS13" s="190">
        <v>0</v>
      </c>
      <c r="CT13" s="190">
        <v>350</v>
      </c>
      <c r="CU13" s="190">
        <v>2044</v>
      </c>
      <c r="CV13" s="190">
        <v>2394</v>
      </c>
      <c r="CW13" s="190">
        <v>30</v>
      </c>
      <c r="CX13" s="190">
        <v>99</v>
      </c>
      <c r="CY13" s="190">
        <v>129</v>
      </c>
      <c r="CZ13" s="190">
        <v>30</v>
      </c>
      <c r="DA13" s="190">
        <v>0</v>
      </c>
      <c r="DB13" s="190">
        <v>0</v>
      </c>
      <c r="DC13" s="190">
        <v>97</v>
      </c>
      <c r="DD13" s="190">
        <v>0</v>
      </c>
      <c r="DE13" s="190">
        <v>0</v>
      </c>
      <c r="DF13" s="190">
        <v>30</v>
      </c>
      <c r="DG13" s="190">
        <v>97</v>
      </c>
      <c r="DH13" s="190">
        <v>127</v>
      </c>
      <c r="DI13" s="190">
        <v>0</v>
      </c>
      <c r="DJ13" s="190">
        <v>0</v>
      </c>
      <c r="DK13" s="190">
        <v>0</v>
      </c>
      <c r="DL13" s="190">
        <v>2</v>
      </c>
      <c r="DM13" s="190">
        <v>0</v>
      </c>
      <c r="DN13" s="190">
        <v>0</v>
      </c>
      <c r="DO13" s="190">
        <v>0</v>
      </c>
      <c r="DP13" s="190">
        <v>2</v>
      </c>
      <c r="DQ13" s="190">
        <v>2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573</v>
      </c>
      <c r="C14" s="190">
        <v>103</v>
      </c>
      <c r="D14" s="190">
        <v>596</v>
      </c>
      <c r="E14" s="190">
        <v>387</v>
      </c>
      <c r="F14" s="190">
        <v>0</v>
      </c>
      <c r="G14" s="190">
        <v>2</v>
      </c>
      <c r="H14" s="190">
        <v>2</v>
      </c>
      <c r="I14" s="190">
        <v>0</v>
      </c>
      <c r="J14" s="190">
        <v>194</v>
      </c>
      <c r="K14" s="190">
        <v>194</v>
      </c>
      <c r="L14" s="190">
        <v>0</v>
      </c>
      <c r="M14" s="190">
        <v>67</v>
      </c>
      <c r="N14" s="190">
        <v>67</v>
      </c>
      <c r="O14" s="190">
        <v>0</v>
      </c>
      <c r="P14" s="190">
        <v>127</v>
      </c>
      <c r="Q14" s="190">
        <v>127</v>
      </c>
      <c r="R14" s="190">
        <v>0</v>
      </c>
      <c r="S14" s="190">
        <v>0</v>
      </c>
      <c r="T14" s="190">
        <v>0</v>
      </c>
      <c r="U14" s="190">
        <v>0</v>
      </c>
      <c r="V14" s="190">
        <v>15</v>
      </c>
      <c r="W14" s="190">
        <v>15</v>
      </c>
      <c r="X14" s="190">
        <v>21</v>
      </c>
      <c r="Y14" s="190">
        <v>575</v>
      </c>
      <c r="Z14" s="190">
        <v>596</v>
      </c>
      <c r="AA14" s="190">
        <v>9</v>
      </c>
      <c r="AB14" s="190">
        <v>267</v>
      </c>
      <c r="AC14" s="190">
        <v>276</v>
      </c>
      <c r="AD14" s="190">
        <v>9</v>
      </c>
      <c r="AE14" s="190">
        <v>264</v>
      </c>
      <c r="AF14" s="190">
        <v>273</v>
      </c>
      <c r="AG14" s="190">
        <v>0</v>
      </c>
      <c r="AH14" s="190">
        <v>0</v>
      </c>
      <c r="AI14" s="190">
        <v>0</v>
      </c>
      <c r="AJ14" s="190">
        <v>0</v>
      </c>
      <c r="AK14" s="190">
        <v>3</v>
      </c>
      <c r="AL14" s="190">
        <v>3</v>
      </c>
      <c r="AM14" s="190">
        <v>12</v>
      </c>
      <c r="AN14" s="190">
        <v>308</v>
      </c>
      <c r="AO14" s="190">
        <v>320</v>
      </c>
      <c r="AP14" s="190">
        <v>492</v>
      </c>
      <c r="AQ14" s="190">
        <v>5953</v>
      </c>
      <c r="AR14" s="190">
        <v>6445</v>
      </c>
      <c r="AS14" s="190">
        <v>493</v>
      </c>
      <c r="AT14" s="190">
        <v>5953</v>
      </c>
      <c r="AU14" s="190">
        <v>6446</v>
      </c>
      <c r="AV14" s="190">
        <v>-1</v>
      </c>
      <c r="AW14" s="190">
        <v>0</v>
      </c>
      <c r="AX14" s="190">
        <v>-1</v>
      </c>
      <c r="AY14" s="190">
        <v>38</v>
      </c>
      <c r="AZ14" s="190">
        <v>580</v>
      </c>
      <c r="BA14" s="190">
        <v>618</v>
      </c>
      <c r="BB14" s="190">
        <v>20</v>
      </c>
      <c r="BC14" s="190">
        <v>0</v>
      </c>
      <c r="BD14" s="190">
        <v>0</v>
      </c>
      <c r="BE14" s="190">
        <v>365</v>
      </c>
      <c r="BF14" s="190">
        <v>2</v>
      </c>
      <c r="BG14" s="190">
        <v>0</v>
      </c>
      <c r="BH14" s="190">
        <v>20</v>
      </c>
      <c r="BI14" s="190">
        <v>367</v>
      </c>
      <c r="BJ14" s="190">
        <v>387</v>
      </c>
      <c r="BK14" s="190">
        <v>-4</v>
      </c>
      <c r="BL14" s="190">
        <v>4</v>
      </c>
      <c r="BM14" s="190">
        <v>0</v>
      </c>
      <c r="BN14" s="190">
        <v>5</v>
      </c>
      <c r="BO14" s="190">
        <v>24</v>
      </c>
      <c r="BP14" s="190">
        <v>29</v>
      </c>
      <c r="BQ14" s="190">
        <v>2</v>
      </c>
      <c r="BR14" s="190">
        <v>70</v>
      </c>
      <c r="BS14" s="190">
        <v>72</v>
      </c>
      <c r="BT14" s="190">
        <v>15</v>
      </c>
      <c r="BU14" s="190">
        <v>115</v>
      </c>
      <c r="BV14" s="190">
        <v>130</v>
      </c>
      <c r="BW14" s="190">
        <v>530</v>
      </c>
      <c r="BX14" s="190">
        <v>6533</v>
      </c>
      <c r="BY14" s="190">
        <v>7063</v>
      </c>
      <c r="BZ14" s="190">
        <v>528</v>
      </c>
      <c r="CA14" s="190">
        <v>6499</v>
      </c>
      <c r="CB14" s="190">
        <v>7027</v>
      </c>
      <c r="CC14" s="190">
        <v>12446</v>
      </c>
      <c r="CD14" s="190">
        <v>3</v>
      </c>
      <c r="CE14" s="190">
        <v>34</v>
      </c>
      <c r="CF14" s="190">
        <v>2</v>
      </c>
      <c r="CG14" s="190">
        <v>27</v>
      </c>
      <c r="CH14" s="190">
        <v>29</v>
      </c>
      <c r="CI14" s="190">
        <v>7</v>
      </c>
      <c r="CJ14" s="190">
        <v>0</v>
      </c>
      <c r="CK14" s="190">
        <v>0</v>
      </c>
      <c r="CL14" s="190">
        <v>7</v>
      </c>
      <c r="CM14" s="190">
        <v>7</v>
      </c>
      <c r="CN14" s="190">
        <v>39</v>
      </c>
      <c r="CO14" s="190">
        <v>600</v>
      </c>
      <c r="CP14" s="190">
        <v>639</v>
      </c>
      <c r="CQ14" s="190">
        <v>0</v>
      </c>
      <c r="CR14" s="190">
        <v>3</v>
      </c>
      <c r="CS14" s="190">
        <v>3</v>
      </c>
      <c r="CT14" s="190">
        <v>491</v>
      </c>
      <c r="CU14" s="190">
        <v>5933</v>
      </c>
      <c r="CV14" s="190">
        <v>6424</v>
      </c>
      <c r="CW14" s="190">
        <v>25</v>
      </c>
      <c r="CX14" s="190">
        <v>212</v>
      </c>
      <c r="CY14" s="190">
        <v>237</v>
      </c>
      <c r="CZ14" s="190">
        <v>25</v>
      </c>
      <c r="DA14" s="190">
        <v>0</v>
      </c>
      <c r="DB14" s="190">
        <v>0</v>
      </c>
      <c r="DC14" s="190">
        <v>209</v>
      </c>
      <c r="DD14" s="190">
        <v>2</v>
      </c>
      <c r="DE14" s="190">
        <v>1</v>
      </c>
      <c r="DF14" s="190">
        <v>25</v>
      </c>
      <c r="DG14" s="190">
        <v>212</v>
      </c>
      <c r="DH14" s="190">
        <v>237</v>
      </c>
      <c r="DI14" s="190">
        <v>0</v>
      </c>
      <c r="DJ14" s="190">
        <v>0</v>
      </c>
      <c r="DK14" s="190">
        <v>0</v>
      </c>
      <c r="DL14" s="190">
        <v>0</v>
      </c>
      <c r="DM14" s="190">
        <v>0</v>
      </c>
      <c r="DN14" s="190">
        <v>0</v>
      </c>
      <c r="DO14" s="190">
        <v>0</v>
      </c>
      <c r="DP14" s="190">
        <v>0</v>
      </c>
      <c r="DQ14" s="190">
        <v>0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4455</v>
      </c>
      <c r="C15" s="190">
        <v>1753</v>
      </c>
      <c r="D15" s="190">
        <v>4178</v>
      </c>
      <c r="E15" s="190">
        <v>3007</v>
      </c>
      <c r="F15" s="190">
        <v>13</v>
      </c>
      <c r="G15" s="190">
        <v>121</v>
      </c>
      <c r="H15" s="190">
        <v>134</v>
      </c>
      <c r="I15" s="190">
        <v>2</v>
      </c>
      <c r="J15" s="190">
        <v>1092</v>
      </c>
      <c r="K15" s="190">
        <v>1094</v>
      </c>
      <c r="L15" s="190">
        <v>2</v>
      </c>
      <c r="M15" s="190">
        <v>1090</v>
      </c>
      <c r="N15" s="190">
        <v>1092</v>
      </c>
      <c r="O15" s="190">
        <v>0</v>
      </c>
      <c r="P15" s="190">
        <v>2</v>
      </c>
      <c r="Q15" s="190">
        <v>2</v>
      </c>
      <c r="R15" s="190">
        <v>2</v>
      </c>
      <c r="S15" s="190">
        <v>171</v>
      </c>
      <c r="T15" s="190">
        <v>173</v>
      </c>
      <c r="U15" s="190">
        <v>0</v>
      </c>
      <c r="V15" s="190">
        <v>77</v>
      </c>
      <c r="W15" s="190">
        <v>77</v>
      </c>
      <c r="X15" s="190">
        <v>61</v>
      </c>
      <c r="Y15" s="190">
        <v>3668</v>
      </c>
      <c r="Z15" s="190">
        <v>3729</v>
      </c>
      <c r="AA15" s="190">
        <v>26</v>
      </c>
      <c r="AB15" s="190">
        <v>1617</v>
      </c>
      <c r="AC15" s="190">
        <v>1643</v>
      </c>
      <c r="AD15" s="190">
        <v>24</v>
      </c>
      <c r="AE15" s="190">
        <v>1566</v>
      </c>
      <c r="AF15" s="190">
        <v>1590</v>
      </c>
      <c r="AG15" s="190">
        <v>2</v>
      </c>
      <c r="AH15" s="190">
        <v>29</v>
      </c>
      <c r="AI15" s="190">
        <v>31</v>
      </c>
      <c r="AJ15" s="190">
        <v>0</v>
      </c>
      <c r="AK15" s="190">
        <v>22</v>
      </c>
      <c r="AL15" s="190">
        <v>22</v>
      </c>
      <c r="AM15" s="190">
        <v>35</v>
      </c>
      <c r="AN15" s="190">
        <v>2051</v>
      </c>
      <c r="AO15" s="190">
        <v>2086</v>
      </c>
      <c r="AP15" s="190">
        <v>11568</v>
      </c>
      <c r="AQ15" s="190">
        <v>73805</v>
      </c>
      <c r="AR15" s="190">
        <v>85373</v>
      </c>
      <c r="AS15" s="190">
        <v>11094</v>
      </c>
      <c r="AT15" s="190">
        <v>70681</v>
      </c>
      <c r="AU15" s="190">
        <v>81775</v>
      </c>
      <c r="AV15" s="190">
        <v>474</v>
      </c>
      <c r="AW15" s="190">
        <v>3124</v>
      </c>
      <c r="AX15" s="190">
        <v>3598</v>
      </c>
      <c r="AY15" s="190">
        <v>-114</v>
      </c>
      <c r="AZ15" s="190">
        <v>3233</v>
      </c>
      <c r="BA15" s="190">
        <v>3119</v>
      </c>
      <c r="BB15" s="190">
        <v>201</v>
      </c>
      <c r="BC15" s="190">
        <v>1</v>
      </c>
      <c r="BD15" s="190">
        <v>1</v>
      </c>
      <c r="BE15" s="190">
        <v>2753</v>
      </c>
      <c r="BF15" s="190">
        <v>23</v>
      </c>
      <c r="BG15" s="190">
        <v>28</v>
      </c>
      <c r="BH15" s="190">
        <v>203</v>
      </c>
      <c r="BI15" s="190">
        <v>2804</v>
      </c>
      <c r="BJ15" s="190">
        <v>3007</v>
      </c>
      <c r="BK15" s="190">
        <v>-336</v>
      </c>
      <c r="BL15" s="190">
        <v>336</v>
      </c>
      <c r="BM15" s="190">
        <v>0</v>
      </c>
      <c r="BN15" s="190">
        <v>15</v>
      </c>
      <c r="BO15" s="190">
        <v>54</v>
      </c>
      <c r="BP15" s="190">
        <v>69</v>
      </c>
      <c r="BQ15" s="190">
        <v>3</v>
      </c>
      <c r="BR15" s="190">
        <v>9</v>
      </c>
      <c r="BS15" s="190">
        <v>12</v>
      </c>
      <c r="BT15" s="190">
        <v>1</v>
      </c>
      <c r="BU15" s="190">
        <v>30</v>
      </c>
      <c r="BV15" s="190">
        <v>31</v>
      </c>
      <c r="BW15" s="190">
        <v>11454</v>
      </c>
      <c r="BX15" s="190">
        <v>77038</v>
      </c>
      <c r="BY15" s="190">
        <v>88492</v>
      </c>
      <c r="BZ15" s="190">
        <v>11283</v>
      </c>
      <c r="CA15" s="190">
        <v>76158</v>
      </c>
      <c r="CB15" s="190">
        <v>87441</v>
      </c>
      <c r="CC15" s="190">
        <v>204012</v>
      </c>
      <c r="CD15" s="190">
        <v>73</v>
      </c>
      <c r="CE15" s="190">
        <v>891</v>
      </c>
      <c r="CF15" s="190">
        <v>160</v>
      </c>
      <c r="CG15" s="190">
        <v>664</v>
      </c>
      <c r="CH15" s="190">
        <v>824</v>
      </c>
      <c r="CI15" s="190">
        <v>255</v>
      </c>
      <c r="CJ15" s="190">
        <v>38</v>
      </c>
      <c r="CK15" s="190">
        <v>11</v>
      </c>
      <c r="CL15" s="190">
        <v>216</v>
      </c>
      <c r="CM15" s="190">
        <v>227</v>
      </c>
      <c r="CN15" s="190">
        <v>664</v>
      </c>
      <c r="CO15" s="190">
        <v>6899</v>
      </c>
      <c r="CP15" s="190">
        <v>7563</v>
      </c>
      <c r="CQ15" s="190">
        <v>0</v>
      </c>
      <c r="CR15" s="190">
        <v>0</v>
      </c>
      <c r="CS15" s="190">
        <v>0</v>
      </c>
      <c r="CT15" s="190">
        <v>10790</v>
      </c>
      <c r="CU15" s="190">
        <v>70139</v>
      </c>
      <c r="CV15" s="190">
        <v>80929</v>
      </c>
      <c r="CW15" s="190">
        <v>1028</v>
      </c>
      <c r="CX15" s="190">
        <v>5160</v>
      </c>
      <c r="CY15" s="190">
        <v>6188</v>
      </c>
      <c r="CZ15" s="190">
        <v>878</v>
      </c>
      <c r="DA15" s="190">
        <v>16</v>
      </c>
      <c r="DB15" s="190">
        <v>0</v>
      </c>
      <c r="DC15" s="190">
        <v>4259</v>
      </c>
      <c r="DD15" s="190">
        <v>39</v>
      </c>
      <c r="DE15" s="190">
        <v>10</v>
      </c>
      <c r="DF15" s="190">
        <v>894</v>
      </c>
      <c r="DG15" s="190">
        <v>4308</v>
      </c>
      <c r="DH15" s="190">
        <v>5202</v>
      </c>
      <c r="DI15" s="190">
        <v>131</v>
      </c>
      <c r="DJ15" s="190">
        <v>3</v>
      </c>
      <c r="DK15" s="190">
        <v>0</v>
      </c>
      <c r="DL15" s="190">
        <v>839</v>
      </c>
      <c r="DM15" s="190">
        <v>13</v>
      </c>
      <c r="DN15" s="190">
        <v>0</v>
      </c>
      <c r="DO15" s="190">
        <v>134</v>
      </c>
      <c r="DP15" s="190">
        <v>852</v>
      </c>
      <c r="DQ15" s="190">
        <v>986</v>
      </c>
      <c r="DR15" s="190">
        <v>6</v>
      </c>
      <c r="DS15" s="190">
        <v>34</v>
      </c>
      <c r="DT15" s="191">
        <v>40</v>
      </c>
    </row>
    <row r="16" spans="1:129" s="172" customFormat="1">
      <c r="A16" s="189" t="s">
        <v>281</v>
      </c>
      <c r="B16" s="190">
        <v>150</v>
      </c>
      <c r="C16" s="190">
        <v>24</v>
      </c>
      <c r="D16" s="190">
        <v>157</v>
      </c>
      <c r="E16" s="190">
        <v>94</v>
      </c>
      <c r="F16" s="190">
        <v>0</v>
      </c>
      <c r="G16" s="190">
        <v>2</v>
      </c>
      <c r="H16" s="190">
        <v>2</v>
      </c>
      <c r="I16" s="190">
        <v>0</v>
      </c>
      <c r="J16" s="190">
        <v>56</v>
      </c>
      <c r="K16" s="190">
        <v>56</v>
      </c>
      <c r="L16" s="190">
        <v>0</v>
      </c>
      <c r="M16" s="190">
        <v>19</v>
      </c>
      <c r="N16" s="190">
        <v>19</v>
      </c>
      <c r="O16" s="190">
        <v>0</v>
      </c>
      <c r="P16" s="190">
        <v>37</v>
      </c>
      <c r="Q16" s="190">
        <v>37</v>
      </c>
      <c r="R16" s="190">
        <v>0</v>
      </c>
      <c r="S16" s="190">
        <v>0</v>
      </c>
      <c r="T16" s="190">
        <v>0</v>
      </c>
      <c r="U16" s="190">
        <v>0</v>
      </c>
      <c r="V16" s="190">
        <v>7</v>
      </c>
      <c r="W16" s="190">
        <v>7</v>
      </c>
      <c r="X16" s="190">
        <v>1</v>
      </c>
      <c r="Y16" s="190">
        <v>156</v>
      </c>
      <c r="Z16" s="190">
        <v>157</v>
      </c>
      <c r="AA16" s="190">
        <v>1</v>
      </c>
      <c r="AB16" s="190">
        <v>72</v>
      </c>
      <c r="AC16" s="190">
        <v>73</v>
      </c>
      <c r="AD16" s="190">
        <v>1</v>
      </c>
      <c r="AE16" s="190">
        <v>69</v>
      </c>
      <c r="AF16" s="190">
        <v>70</v>
      </c>
      <c r="AG16" s="190">
        <v>0</v>
      </c>
      <c r="AH16" s="190">
        <v>2</v>
      </c>
      <c r="AI16" s="190">
        <v>2</v>
      </c>
      <c r="AJ16" s="190">
        <v>0</v>
      </c>
      <c r="AK16" s="190">
        <v>1</v>
      </c>
      <c r="AL16" s="190">
        <v>1</v>
      </c>
      <c r="AM16" s="190">
        <v>0</v>
      </c>
      <c r="AN16" s="190">
        <v>84</v>
      </c>
      <c r="AO16" s="190">
        <v>84</v>
      </c>
      <c r="AP16" s="190">
        <v>189</v>
      </c>
      <c r="AQ16" s="190">
        <v>1221</v>
      </c>
      <c r="AR16" s="190">
        <v>1410</v>
      </c>
      <c r="AS16" s="190">
        <v>189</v>
      </c>
      <c r="AT16" s="190">
        <v>1221</v>
      </c>
      <c r="AU16" s="190">
        <v>1410</v>
      </c>
      <c r="AV16" s="190">
        <v>0</v>
      </c>
      <c r="AW16" s="190">
        <v>0</v>
      </c>
      <c r="AX16" s="190">
        <v>0</v>
      </c>
      <c r="AY16" s="190">
        <v>9</v>
      </c>
      <c r="AZ16" s="190">
        <v>125</v>
      </c>
      <c r="BA16" s="190">
        <v>134</v>
      </c>
      <c r="BB16" s="190">
        <v>1</v>
      </c>
      <c r="BC16" s="190">
        <v>0</v>
      </c>
      <c r="BD16" s="190">
        <v>0</v>
      </c>
      <c r="BE16" s="190">
        <v>92</v>
      </c>
      <c r="BF16" s="190">
        <v>1</v>
      </c>
      <c r="BG16" s="190">
        <v>0</v>
      </c>
      <c r="BH16" s="190">
        <v>1</v>
      </c>
      <c r="BI16" s="190">
        <v>93</v>
      </c>
      <c r="BJ16" s="190">
        <v>94</v>
      </c>
      <c r="BK16" s="190">
        <v>5</v>
      </c>
      <c r="BL16" s="190">
        <v>-5</v>
      </c>
      <c r="BM16" s="190">
        <v>0</v>
      </c>
      <c r="BN16" s="190">
        <v>0</v>
      </c>
      <c r="BO16" s="190">
        <v>3</v>
      </c>
      <c r="BP16" s="190">
        <v>3</v>
      </c>
      <c r="BQ16" s="190">
        <v>1</v>
      </c>
      <c r="BR16" s="190">
        <v>10</v>
      </c>
      <c r="BS16" s="190">
        <v>11</v>
      </c>
      <c r="BT16" s="190">
        <v>2</v>
      </c>
      <c r="BU16" s="190">
        <v>24</v>
      </c>
      <c r="BV16" s="190">
        <v>26</v>
      </c>
      <c r="BW16" s="190">
        <v>198</v>
      </c>
      <c r="BX16" s="190">
        <v>1346</v>
      </c>
      <c r="BY16" s="190">
        <v>1544</v>
      </c>
      <c r="BZ16" s="190">
        <v>197</v>
      </c>
      <c r="CA16" s="190">
        <v>1338</v>
      </c>
      <c r="CB16" s="190">
        <v>1535</v>
      </c>
      <c r="CC16" s="190">
        <v>3490</v>
      </c>
      <c r="CD16" s="190">
        <v>0</v>
      </c>
      <c r="CE16" s="190">
        <v>9</v>
      </c>
      <c r="CF16" s="190">
        <v>1</v>
      </c>
      <c r="CG16" s="190">
        <v>8</v>
      </c>
      <c r="CH16" s="190">
        <v>9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7</v>
      </c>
      <c r="CO16" s="190">
        <v>121</v>
      </c>
      <c r="CP16" s="190">
        <v>128</v>
      </c>
      <c r="CQ16" s="190">
        <v>0</v>
      </c>
      <c r="CR16" s="190">
        <v>2</v>
      </c>
      <c r="CS16" s="190">
        <v>2</v>
      </c>
      <c r="CT16" s="190">
        <v>191</v>
      </c>
      <c r="CU16" s="190">
        <v>1225</v>
      </c>
      <c r="CV16" s="190">
        <v>1416</v>
      </c>
      <c r="CW16" s="190">
        <v>10</v>
      </c>
      <c r="CX16" s="190">
        <v>53</v>
      </c>
      <c r="CY16" s="190">
        <v>63</v>
      </c>
      <c r="CZ16" s="190">
        <v>10</v>
      </c>
      <c r="DA16" s="190">
        <v>0</v>
      </c>
      <c r="DB16" s="190">
        <v>0</v>
      </c>
      <c r="DC16" s="190">
        <v>51</v>
      </c>
      <c r="DD16" s="190">
        <v>0</v>
      </c>
      <c r="DE16" s="190">
        <v>0</v>
      </c>
      <c r="DF16" s="190">
        <v>10</v>
      </c>
      <c r="DG16" s="190">
        <v>51</v>
      </c>
      <c r="DH16" s="190">
        <v>61</v>
      </c>
      <c r="DI16" s="190">
        <v>0</v>
      </c>
      <c r="DJ16" s="190">
        <v>0</v>
      </c>
      <c r="DK16" s="190">
        <v>0</v>
      </c>
      <c r="DL16" s="190">
        <v>2</v>
      </c>
      <c r="DM16" s="190">
        <v>0</v>
      </c>
      <c r="DN16" s="190">
        <v>0</v>
      </c>
      <c r="DO16" s="190">
        <v>0</v>
      </c>
      <c r="DP16" s="190">
        <v>2</v>
      </c>
      <c r="DQ16" s="190">
        <v>2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1020</v>
      </c>
      <c r="C17" s="190">
        <v>230</v>
      </c>
      <c r="D17" s="190">
        <v>1001</v>
      </c>
      <c r="E17" s="190">
        <v>560</v>
      </c>
      <c r="F17" s="190">
        <v>0</v>
      </c>
      <c r="G17" s="190">
        <v>2</v>
      </c>
      <c r="H17" s="190">
        <v>2</v>
      </c>
      <c r="I17" s="190">
        <v>0</v>
      </c>
      <c r="J17" s="190">
        <v>402</v>
      </c>
      <c r="K17" s="190">
        <v>402</v>
      </c>
      <c r="L17" s="190">
        <v>0</v>
      </c>
      <c r="M17" s="190">
        <v>132</v>
      </c>
      <c r="N17" s="190">
        <v>132</v>
      </c>
      <c r="O17" s="190">
        <v>0</v>
      </c>
      <c r="P17" s="190">
        <v>270</v>
      </c>
      <c r="Q17" s="190">
        <v>270</v>
      </c>
      <c r="R17" s="190">
        <v>0</v>
      </c>
      <c r="S17" s="190">
        <v>1</v>
      </c>
      <c r="T17" s="190">
        <v>1</v>
      </c>
      <c r="U17" s="190">
        <v>0</v>
      </c>
      <c r="V17" s="190">
        <v>39</v>
      </c>
      <c r="W17" s="190">
        <v>39</v>
      </c>
      <c r="X17" s="190">
        <v>21</v>
      </c>
      <c r="Y17" s="190">
        <v>980</v>
      </c>
      <c r="Z17" s="190">
        <v>1001</v>
      </c>
      <c r="AA17" s="190">
        <v>17</v>
      </c>
      <c r="AB17" s="190">
        <v>401</v>
      </c>
      <c r="AC17" s="190">
        <v>418</v>
      </c>
      <c r="AD17" s="190">
        <v>15</v>
      </c>
      <c r="AE17" s="190">
        <v>390</v>
      </c>
      <c r="AF17" s="190">
        <v>405</v>
      </c>
      <c r="AG17" s="190">
        <v>0</v>
      </c>
      <c r="AH17" s="190">
        <v>9</v>
      </c>
      <c r="AI17" s="190">
        <v>9</v>
      </c>
      <c r="AJ17" s="190">
        <v>2</v>
      </c>
      <c r="AK17" s="190">
        <v>2</v>
      </c>
      <c r="AL17" s="190">
        <v>4</v>
      </c>
      <c r="AM17" s="190">
        <v>4</v>
      </c>
      <c r="AN17" s="190">
        <v>579</v>
      </c>
      <c r="AO17" s="190">
        <v>583</v>
      </c>
      <c r="AP17" s="190">
        <v>826</v>
      </c>
      <c r="AQ17" s="190">
        <v>10548</v>
      </c>
      <c r="AR17" s="190">
        <v>11374</v>
      </c>
      <c r="AS17" s="190">
        <v>826</v>
      </c>
      <c r="AT17" s="190">
        <v>10548</v>
      </c>
      <c r="AU17" s="190">
        <v>11374</v>
      </c>
      <c r="AV17" s="190">
        <v>0</v>
      </c>
      <c r="AW17" s="190">
        <v>0</v>
      </c>
      <c r="AX17" s="190">
        <v>0</v>
      </c>
      <c r="AY17" s="190">
        <v>41</v>
      </c>
      <c r="AZ17" s="190">
        <v>990</v>
      </c>
      <c r="BA17" s="190">
        <v>1031</v>
      </c>
      <c r="BB17" s="190">
        <v>17</v>
      </c>
      <c r="BC17" s="190">
        <v>0</v>
      </c>
      <c r="BD17" s="190">
        <v>0</v>
      </c>
      <c r="BE17" s="190">
        <v>541</v>
      </c>
      <c r="BF17" s="190">
        <v>1</v>
      </c>
      <c r="BG17" s="190">
        <v>1</v>
      </c>
      <c r="BH17" s="190">
        <v>17</v>
      </c>
      <c r="BI17" s="190">
        <v>543</v>
      </c>
      <c r="BJ17" s="190">
        <v>560</v>
      </c>
      <c r="BK17" s="190">
        <v>-4</v>
      </c>
      <c r="BL17" s="190">
        <v>4</v>
      </c>
      <c r="BM17" s="190">
        <v>0</v>
      </c>
      <c r="BN17" s="190">
        <v>2</v>
      </c>
      <c r="BO17" s="190">
        <v>32</v>
      </c>
      <c r="BP17" s="190">
        <v>34</v>
      </c>
      <c r="BQ17" s="190">
        <v>1</v>
      </c>
      <c r="BR17" s="190">
        <v>123</v>
      </c>
      <c r="BS17" s="190">
        <v>124</v>
      </c>
      <c r="BT17" s="190">
        <v>25</v>
      </c>
      <c r="BU17" s="190">
        <v>288</v>
      </c>
      <c r="BV17" s="190">
        <v>313</v>
      </c>
      <c r="BW17" s="190">
        <v>867</v>
      </c>
      <c r="BX17" s="190">
        <v>11538</v>
      </c>
      <c r="BY17" s="190">
        <v>12405</v>
      </c>
      <c r="BZ17" s="190">
        <v>864</v>
      </c>
      <c r="CA17" s="190">
        <v>11504</v>
      </c>
      <c r="CB17" s="190">
        <v>12368</v>
      </c>
      <c r="CC17" s="190">
        <v>20824</v>
      </c>
      <c r="CD17" s="190">
        <v>8</v>
      </c>
      <c r="CE17" s="190">
        <v>24</v>
      </c>
      <c r="CF17" s="190">
        <v>3</v>
      </c>
      <c r="CG17" s="190">
        <v>26</v>
      </c>
      <c r="CH17" s="190">
        <v>29</v>
      </c>
      <c r="CI17" s="190">
        <v>8</v>
      </c>
      <c r="CJ17" s="190">
        <v>1</v>
      </c>
      <c r="CK17" s="190">
        <v>0</v>
      </c>
      <c r="CL17" s="190">
        <v>8</v>
      </c>
      <c r="CM17" s="190">
        <v>8</v>
      </c>
      <c r="CN17" s="190">
        <v>37</v>
      </c>
      <c r="CO17" s="190">
        <v>1156</v>
      </c>
      <c r="CP17" s="190">
        <v>1193</v>
      </c>
      <c r="CQ17" s="190">
        <v>0</v>
      </c>
      <c r="CR17" s="190">
        <v>12</v>
      </c>
      <c r="CS17" s="190">
        <v>12</v>
      </c>
      <c r="CT17" s="190">
        <v>830</v>
      </c>
      <c r="CU17" s="190">
        <v>10382</v>
      </c>
      <c r="CV17" s="190">
        <v>11212</v>
      </c>
      <c r="CW17" s="190">
        <v>65</v>
      </c>
      <c r="CX17" s="190">
        <v>370</v>
      </c>
      <c r="CY17" s="190">
        <v>435</v>
      </c>
      <c r="CZ17" s="190">
        <v>65</v>
      </c>
      <c r="DA17" s="190">
        <v>0</v>
      </c>
      <c r="DB17" s="190">
        <v>0</v>
      </c>
      <c r="DC17" s="190">
        <v>366</v>
      </c>
      <c r="DD17" s="190">
        <v>0</v>
      </c>
      <c r="DE17" s="190">
        <v>0</v>
      </c>
      <c r="DF17" s="190">
        <v>65</v>
      </c>
      <c r="DG17" s="190">
        <v>366</v>
      </c>
      <c r="DH17" s="190">
        <v>431</v>
      </c>
      <c r="DI17" s="190">
        <v>0</v>
      </c>
      <c r="DJ17" s="190">
        <v>0</v>
      </c>
      <c r="DK17" s="190">
        <v>0</v>
      </c>
      <c r="DL17" s="190">
        <v>4</v>
      </c>
      <c r="DM17" s="190">
        <v>0</v>
      </c>
      <c r="DN17" s="190">
        <v>0</v>
      </c>
      <c r="DO17" s="190">
        <v>0</v>
      </c>
      <c r="DP17" s="190">
        <v>4</v>
      </c>
      <c r="DQ17" s="190">
        <v>4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1215</v>
      </c>
      <c r="C18" s="190">
        <v>150</v>
      </c>
      <c r="D18" s="190">
        <v>1146</v>
      </c>
      <c r="E18" s="190">
        <v>783</v>
      </c>
      <c r="F18" s="190">
        <v>2</v>
      </c>
      <c r="G18" s="190">
        <v>17</v>
      </c>
      <c r="H18" s="190">
        <v>19</v>
      </c>
      <c r="I18" s="190">
        <v>0</v>
      </c>
      <c r="J18" s="190">
        <v>292</v>
      </c>
      <c r="K18" s="190">
        <v>292</v>
      </c>
      <c r="L18" s="190">
        <v>0</v>
      </c>
      <c r="M18" s="190">
        <v>139</v>
      </c>
      <c r="N18" s="190">
        <v>139</v>
      </c>
      <c r="O18" s="190">
        <v>0</v>
      </c>
      <c r="P18" s="190">
        <v>153</v>
      </c>
      <c r="Q18" s="190">
        <v>153</v>
      </c>
      <c r="R18" s="190">
        <v>0</v>
      </c>
      <c r="S18" s="190">
        <v>8</v>
      </c>
      <c r="T18" s="190">
        <v>8</v>
      </c>
      <c r="U18" s="190">
        <v>0</v>
      </c>
      <c r="V18" s="190">
        <v>71</v>
      </c>
      <c r="W18" s="190">
        <v>71</v>
      </c>
      <c r="X18" s="190">
        <v>26</v>
      </c>
      <c r="Y18" s="190">
        <v>1117</v>
      </c>
      <c r="Z18" s="190">
        <v>1143</v>
      </c>
      <c r="AA18" s="190">
        <v>13</v>
      </c>
      <c r="AB18" s="190">
        <v>457</v>
      </c>
      <c r="AC18" s="190">
        <v>470</v>
      </c>
      <c r="AD18" s="190">
        <v>11</v>
      </c>
      <c r="AE18" s="190">
        <v>437</v>
      </c>
      <c r="AF18" s="190">
        <v>448</v>
      </c>
      <c r="AG18" s="190">
        <v>2</v>
      </c>
      <c r="AH18" s="190">
        <v>10</v>
      </c>
      <c r="AI18" s="190">
        <v>12</v>
      </c>
      <c r="AJ18" s="190">
        <v>0</v>
      </c>
      <c r="AK18" s="190">
        <v>10</v>
      </c>
      <c r="AL18" s="190">
        <v>10</v>
      </c>
      <c r="AM18" s="190">
        <v>13</v>
      </c>
      <c r="AN18" s="190">
        <v>660</v>
      </c>
      <c r="AO18" s="190">
        <v>673</v>
      </c>
      <c r="AP18" s="190">
        <v>2190</v>
      </c>
      <c r="AQ18" s="190">
        <v>14011</v>
      </c>
      <c r="AR18" s="190">
        <v>16201</v>
      </c>
      <c r="AS18" s="190">
        <v>2190</v>
      </c>
      <c r="AT18" s="190">
        <v>14011</v>
      </c>
      <c r="AU18" s="190">
        <v>16201</v>
      </c>
      <c r="AV18" s="190">
        <v>0</v>
      </c>
      <c r="AW18" s="190">
        <v>0</v>
      </c>
      <c r="AX18" s="190">
        <v>0</v>
      </c>
      <c r="AY18" s="190">
        <v>59</v>
      </c>
      <c r="AZ18" s="190">
        <v>1132</v>
      </c>
      <c r="BA18" s="190">
        <v>1191</v>
      </c>
      <c r="BB18" s="190">
        <v>34</v>
      </c>
      <c r="BC18" s="190">
        <v>0</v>
      </c>
      <c r="BD18" s="190">
        <v>0</v>
      </c>
      <c r="BE18" s="190">
        <v>729</v>
      </c>
      <c r="BF18" s="190">
        <v>15</v>
      </c>
      <c r="BG18" s="190">
        <v>5</v>
      </c>
      <c r="BH18" s="190">
        <v>34</v>
      </c>
      <c r="BI18" s="190">
        <v>749</v>
      </c>
      <c r="BJ18" s="190">
        <v>783</v>
      </c>
      <c r="BK18" s="190">
        <v>-17</v>
      </c>
      <c r="BL18" s="190">
        <v>17</v>
      </c>
      <c r="BM18" s="190">
        <v>0</v>
      </c>
      <c r="BN18" s="190">
        <v>3</v>
      </c>
      <c r="BO18" s="190">
        <v>20</v>
      </c>
      <c r="BP18" s="190">
        <v>23</v>
      </c>
      <c r="BQ18" s="190">
        <v>8</v>
      </c>
      <c r="BR18" s="190">
        <v>138</v>
      </c>
      <c r="BS18" s="190">
        <v>146</v>
      </c>
      <c r="BT18" s="190">
        <v>31</v>
      </c>
      <c r="BU18" s="190">
        <v>208</v>
      </c>
      <c r="BV18" s="190">
        <v>239</v>
      </c>
      <c r="BW18" s="190">
        <v>2249</v>
      </c>
      <c r="BX18" s="190">
        <v>15143</v>
      </c>
      <c r="BY18" s="190">
        <v>17392</v>
      </c>
      <c r="BZ18" s="190">
        <v>2224</v>
      </c>
      <c r="CA18" s="190">
        <v>14764</v>
      </c>
      <c r="CB18" s="190">
        <v>16988</v>
      </c>
      <c r="CC18" s="190">
        <v>41573</v>
      </c>
      <c r="CD18" s="190">
        <v>26</v>
      </c>
      <c r="CE18" s="190">
        <v>345</v>
      </c>
      <c r="CF18" s="190">
        <v>24</v>
      </c>
      <c r="CG18" s="190">
        <v>321</v>
      </c>
      <c r="CH18" s="190">
        <v>345</v>
      </c>
      <c r="CI18" s="190">
        <v>60</v>
      </c>
      <c r="CJ18" s="190">
        <v>2</v>
      </c>
      <c r="CK18" s="190">
        <v>1</v>
      </c>
      <c r="CL18" s="190">
        <v>58</v>
      </c>
      <c r="CM18" s="190">
        <v>59</v>
      </c>
      <c r="CN18" s="190">
        <v>88</v>
      </c>
      <c r="CO18" s="190">
        <v>1137</v>
      </c>
      <c r="CP18" s="190">
        <v>1225</v>
      </c>
      <c r="CQ18" s="190">
        <v>0</v>
      </c>
      <c r="CR18" s="190">
        <v>2</v>
      </c>
      <c r="CS18" s="190">
        <v>2</v>
      </c>
      <c r="CT18" s="190">
        <v>2161</v>
      </c>
      <c r="CU18" s="190">
        <v>14006</v>
      </c>
      <c r="CV18" s="190">
        <v>16167</v>
      </c>
      <c r="CW18" s="190">
        <v>153</v>
      </c>
      <c r="CX18" s="190">
        <v>703</v>
      </c>
      <c r="CY18" s="190">
        <v>856</v>
      </c>
      <c r="CZ18" s="190">
        <v>150</v>
      </c>
      <c r="DA18" s="190">
        <v>3</v>
      </c>
      <c r="DB18" s="190">
        <v>0</v>
      </c>
      <c r="DC18" s="190">
        <v>684</v>
      </c>
      <c r="DD18" s="190">
        <v>16</v>
      </c>
      <c r="DE18" s="190">
        <v>1</v>
      </c>
      <c r="DF18" s="190">
        <v>153</v>
      </c>
      <c r="DG18" s="190">
        <v>701</v>
      </c>
      <c r="DH18" s="190">
        <v>854</v>
      </c>
      <c r="DI18" s="190">
        <v>0</v>
      </c>
      <c r="DJ18" s="190">
        <v>0</v>
      </c>
      <c r="DK18" s="190">
        <v>0</v>
      </c>
      <c r="DL18" s="190">
        <v>2</v>
      </c>
      <c r="DM18" s="190">
        <v>0</v>
      </c>
      <c r="DN18" s="190">
        <v>0</v>
      </c>
      <c r="DO18" s="190">
        <v>0</v>
      </c>
      <c r="DP18" s="190">
        <v>2</v>
      </c>
      <c r="DQ18" s="190">
        <v>2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60</v>
      </c>
      <c r="C19" s="190">
        <v>1</v>
      </c>
      <c r="D19" s="190">
        <v>64</v>
      </c>
      <c r="E19" s="190">
        <v>50</v>
      </c>
      <c r="F19" s="190">
        <v>0</v>
      </c>
      <c r="G19" s="190">
        <v>0</v>
      </c>
      <c r="H19" s="190">
        <v>0</v>
      </c>
      <c r="I19" s="190">
        <v>0</v>
      </c>
      <c r="J19" s="190">
        <v>10</v>
      </c>
      <c r="K19" s="190">
        <v>10</v>
      </c>
      <c r="L19" s="190">
        <v>0</v>
      </c>
      <c r="M19" s="190">
        <v>4</v>
      </c>
      <c r="N19" s="190">
        <v>4</v>
      </c>
      <c r="O19" s="190">
        <v>0</v>
      </c>
      <c r="P19" s="190">
        <v>6</v>
      </c>
      <c r="Q19" s="190">
        <v>6</v>
      </c>
      <c r="R19" s="190">
        <v>0</v>
      </c>
      <c r="S19" s="190">
        <v>1</v>
      </c>
      <c r="T19" s="190">
        <v>1</v>
      </c>
      <c r="U19" s="190">
        <v>0</v>
      </c>
      <c r="V19" s="190">
        <v>4</v>
      </c>
      <c r="W19" s="190">
        <v>4</v>
      </c>
      <c r="X19" s="190">
        <v>0</v>
      </c>
      <c r="Y19" s="190">
        <v>64</v>
      </c>
      <c r="Z19" s="190">
        <v>64</v>
      </c>
      <c r="AA19" s="190">
        <v>0</v>
      </c>
      <c r="AB19" s="190">
        <v>33</v>
      </c>
      <c r="AC19" s="190">
        <v>33</v>
      </c>
      <c r="AD19" s="190">
        <v>0</v>
      </c>
      <c r="AE19" s="190">
        <v>26</v>
      </c>
      <c r="AF19" s="190">
        <v>26</v>
      </c>
      <c r="AG19" s="190">
        <v>0</v>
      </c>
      <c r="AH19" s="190">
        <v>4</v>
      </c>
      <c r="AI19" s="190">
        <v>4</v>
      </c>
      <c r="AJ19" s="190">
        <v>0</v>
      </c>
      <c r="AK19" s="190">
        <v>3</v>
      </c>
      <c r="AL19" s="190">
        <v>3</v>
      </c>
      <c r="AM19" s="190">
        <v>0</v>
      </c>
      <c r="AN19" s="190">
        <v>31</v>
      </c>
      <c r="AO19" s="190">
        <v>31</v>
      </c>
      <c r="AP19" s="190">
        <v>75</v>
      </c>
      <c r="AQ19" s="190">
        <v>884</v>
      </c>
      <c r="AR19" s="190">
        <v>959</v>
      </c>
      <c r="AS19" s="190">
        <v>75</v>
      </c>
      <c r="AT19" s="190">
        <v>884</v>
      </c>
      <c r="AU19" s="190">
        <v>959</v>
      </c>
      <c r="AV19" s="190">
        <v>0</v>
      </c>
      <c r="AW19" s="190">
        <v>0</v>
      </c>
      <c r="AX19" s="190">
        <v>0</v>
      </c>
      <c r="AY19" s="190">
        <v>7</v>
      </c>
      <c r="AZ19" s="190">
        <v>64</v>
      </c>
      <c r="BA19" s="190">
        <v>71</v>
      </c>
      <c r="BB19" s="190">
        <v>0</v>
      </c>
      <c r="BC19" s="190">
        <v>0</v>
      </c>
      <c r="BD19" s="190">
        <v>0</v>
      </c>
      <c r="BE19" s="190">
        <v>50</v>
      </c>
      <c r="BF19" s="190">
        <v>0</v>
      </c>
      <c r="BG19" s="190">
        <v>0</v>
      </c>
      <c r="BH19" s="190">
        <v>0</v>
      </c>
      <c r="BI19" s="190">
        <v>50</v>
      </c>
      <c r="BJ19" s="190">
        <v>50</v>
      </c>
      <c r="BK19" s="190">
        <v>7</v>
      </c>
      <c r="BL19" s="190">
        <v>-7</v>
      </c>
      <c r="BM19" s="190">
        <v>0</v>
      </c>
      <c r="BN19" s="190">
        <v>0</v>
      </c>
      <c r="BO19" s="190">
        <v>2</v>
      </c>
      <c r="BP19" s="190">
        <v>2</v>
      </c>
      <c r="BQ19" s="190">
        <v>0</v>
      </c>
      <c r="BR19" s="190">
        <v>10</v>
      </c>
      <c r="BS19" s="190">
        <v>10</v>
      </c>
      <c r="BT19" s="190">
        <v>0</v>
      </c>
      <c r="BU19" s="190">
        <v>9</v>
      </c>
      <c r="BV19" s="190">
        <v>9</v>
      </c>
      <c r="BW19" s="190">
        <v>82</v>
      </c>
      <c r="BX19" s="190">
        <v>948</v>
      </c>
      <c r="BY19" s="190">
        <v>1030</v>
      </c>
      <c r="BZ19" s="190">
        <v>82</v>
      </c>
      <c r="CA19" s="190">
        <v>940</v>
      </c>
      <c r="CB19" s="190">
        <v>1022</v>
      </c>
      <c r="CC19" s="190">
        <v>1951</v>
      </c>
      <c r="CD19" s="190">
        <v>1</v>
      </c>
      <c r="CE19" s="190">
        <v>4</v>
      </c>
      <c r="CF19" s="190">
        <v>0</v>
      </c>
      <c r="CG19" s="190">
        <v>5</v>
      </c>
      <c r="CH19" s="190">
        <v>5</v>
      </c>
      <c r="CI19" s="190">
        <v>2</v>
      </c>
      <c r="CJ19" s="190">
        <v>1</v>
      </c>
      <c r="CK19" s="190">
        <v>0</v>
      </c>
      <c r="CL19" s="190">
        <v>3</v>
      </c>
      <c r="CM19" s="190">
        <v>3</v>
      </c>
      <c r="CN19" s="190">
        <v>11</v>
      </c>
      <c r="CO19" s="190">
        <v>89</v>
      </c>
      <c r="CP19" s="190">
        <v>100</v>
      </c>
      <c r="CQ19" s="190">
        <v>0</v>
      </c>
      <c r="CR19" s="190">
        <v>0</v>
      </c>
      <c r="CS19" s="190">
        <v>0</v>
      </c>
      <c r="CT19" s="190">
        <v>71</v>
      </c>
      <c r="CU19" s="190">
        <v>859</v>
      </c>
      <c r="CV19" s="190">
        <v>930</v>
      </c>
      <c r="CW19" s="190">
        <v>2</v>
      </c>
      <c r="CX19" s="190">
        <v>26</v>
      </c>
      <c r="CY19" s="190">
        <v>28</v>
      </c>
      <c r="CZ19" s="190">
        <v>2</v>
      </c>
      <c r="DA19" s="190">
        <v>0</v>
      </c>
      <c r="DB19" s="190">
        <v>0</v>
      </c>
      <c r="DC19" s="190">
        <v>25</v>
      </c>
      <c r="DD19" s="190">
        <v>0</v>
      </c>
      <c r="DE19" s="190">
        <v>0</v>
      </c>
      <c r="DF19" s="190">
        <v>2</v>
      </c>
      <c r="DG19" s="190">
        <v>25</v>
      </c>
      <c r="DH19" s="190">
        <v>27</v>
      </c>
      <c r="DI19" s="190">
        <v>0</v>
      </c>
      <c r="DJ19" s="190">
        <v>0</v>
      </c>
      <c r="DK19" s="190">
        <v>0</v>
      </c>
      <c r="DL19" s="190">
        <v>1</v>
      </c>
      <c r="DM19" s="190">
        <v>0</v>
      </c>
      <c r="DN19" s="190">
        <v>0</v>
      </c>
      <c r="DO19" s="190">
        <v>0</v>
      </c>
      <c r="DP19" s="190">
        <v>1</v>
      </c>
      <c r="DQ19" s="190">
        <v>1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5729</v>
      </c>
      <c r="C20" s="190">
        <v>1781</v>
      </c>
      <c r="D20" s="190">
        <v>5448</v>
      </c>
      <c r="E20" s="190">
        <v>3592</v>
      </c>
      <c r="F20" s="190">
        <v>3</v>
      </c>
      <c r="G20" s="190">
        <v>31</v>
      </c>
      <c r="H20" s="190">
        <v>34</v>
      </c>
      <c r="I20" s="190">
        <v>1</v>
      </c>
      <c r="J20" s="190">
        <v>1646</v>
      </c>
      <c r="K20" s="190">
        <v>1647</v>
      </c>
      <c r="L20" s="190">
        <v>1</v>
      </c>
      <c r="M20" s="190">
        <v>836</v>
      </c>
      <c r="N20" s="190">
        <v>837</v>
      </c>
      <c r="O20" s="190">
        <v>0</v>
      </c>
      <c r="P20" s="190">
        <v>810</v>
      </c>
      <c r="Q20" s="190">
        <v>810</v>
      </c>
      <c r="R20" s="190">
        <v>0</v>
      </c>
      <c r="S20" s="190">
        <v>13</v>
      </c>
      <c r="T20" s="190">
        <v>13</v>
      </c>
      <c r="U20" s="190">
        <v>0</v>
      </c>
      <c r="V20" s="190">
        <v>209</v>
      </c>
      <c r="W20" s="190">
        <v>209</v>
      </c>
      <c r="X20" s="190">
        <v>174</v>
      </c>
      <c r="Y20" s="190">
        <v>5273</v>
      </c>
      <c r="Z20" s="190">
        <v>5447</v>
      </c>
      <c r="AA20" s="190">
        <v>101</v>
      </c>
      <c r="AB20" s="190">
        <v>2196</v>
      </c>
      <c r="AC20" s="190">
        <v>2297</v>
      </c>
      <c r="AD20" s="190">
        <v>98</v>
      </c>
      <c r="AE20" s="190">
        <v>2059</v>
      </c>
      <c r="AF20" s="190">
        <v>2157</v>
      </c>
      <c r="AG20" s="190">
        <v>2</v>
      </c>
      <c r="AH20" s="190">
        <v>101</v>
      </c>
      <c r="AI20" s="190">
        <v>103</v>
      </c>
      <c r="AJ20" s="190">
        <v>1</v>
      </c>
      <c r="AK20" s="190">
        <v>36</v>
      </c>
      <c r="AL20" s="190">
        <v>37</v>
      </c>
      <c r="AM20" s="190">
        <v>73</v>
      </c>
      <c r="AN20" s="190">
        <v>3077</v>
      </c>
      <c r="AO20" s="190">
        <v>3150</v>
      </c>
      <c r="AP20" s="190">
        <v>9443</v>
      </c>
      <c r="AQ20" s="190">
        <v>55328</v>
      </c>
      <c r="AR20" s="190">
        <v>64771</v>
      </c>
      <c r="AS20" s="190">
        <v>9443</v>
      </c>
      <c r="AT20" s="190">
        <v>55330</v>
      </c>
      <c r="AU20" s="190">
        <v>64773</v>
      </c>
      <c r="AV20" s="190">
        <v>0</v>
      </c>
      <c r="AW20" s="190">
        <v>-2</v>
      </c>
      <c r="AX20" s="190">
        <v>-2</v>
      </c>
      <c r="AY20" s="190">
        <v>210</v>
      </c>
      <c r="AZ20" s="190">
        <v>5078</v>
      </c>
      <c r="BA20" s="190">
        <v>5288</v>
      </c>
      <c r="BB20" s="190">
        <v>239</v>
      </c>
      <c r="BC20" s="190">
        <v>2</v>
      </c>
      <c r="BD20" s="190">
        <v>1</v>
      </c>
      <c r="BE20" s="190">
        <v>3295</v>
      </c>
      <c r="BF20" s="190">
        <v>36</v>
      </c>
      <c r="BG20" s="190">
        <v>19</v>
      </c>
      <c r="BH20" s="190">
        <v>242</v>
      </c>
      <c r="BI20" s="190">
        <v>3350</v>
      </c>
      <c r="BJ20" s="190">
        <v>3592</v>
      </c>
      <c r="BK20" s="190">
        <v>-224</v>
      </c>
      <c r="BL20" s="190">
        <v>224</v>
      </c>
      <c r="BM20" s="190">
        <v>0</v>
      </c>
      <c r="BN20" s="190">
        <v>25</v>
      </c>
      <c r="BO20" s="190">
        <v>104</v>
      </c>
      <c r="BP20" s="190">
        <v>129</v>
      </c>
      <c r="BQ20" s="190">
        <v>67</v>
      </c>
      <c r="BR20" s="190">
        <v>578</v>
      </c>
      <c r="BS20" s="190">
        <v>645</v>
      </c>
      <c r="BT20" s="190">
        <v>100</v>
      </c>
      <c r="BU20" s="190">
        <v>822</v>
      </c>
      <c r="BV20" s="190">
        <v>922</v>
      </c>
      <c r="BW20" s="190">
        <v>9653</v>
      </c>
      <c r="BX20" s="190">
        <v>60406</v>
      </c>
      <c r="BY20" s="190">
        <v>70059</v>
      </c>
      <c r="BZ20" s="190">
        <v>9595</v>
      </c>
      <c r="CA20" s="190">
        <v>59405</v>
      </c>
      <c r="CB20" s="190">
        <v>69000</v>
      </c>
      <c r="CC20" s="190">
        <v>160862</v>
      </c>
      <c r="CD20" s="190">
        <v>59</v>
      </c>
      <c r="CE20" s="190">
        <v>829</v>
      </c>
      <c r="CF20" s="190">
        <v>55</v>
      </c>
      <c r="CG20" s="190">
        <v>754</v>
      </c>
      <c r="CH20" s="190">
        <v>809</v>
      </c>
      <c r="CI20" s="190">
        <v>319</v>
      </c>
      <c r="CJ20" s="190">
        <v>15</v>
      </c>
      <c r="CK20" s="190">
        <v>3</v>
      </c>
      <c r="CL20" s="190">
        <v>247</v>
      </c>
      <c r="CM20" s="190">
        <v>250</v>
      </c>
      <c r="CN20" s="190">
        <v>385</v>
      </c>
      <c r="CO20" s="190">
        <v>5207</v>
      </c>
      <c r="CP20" s="190">
        <v>5592</v>
      </c>
      <c r="CQ20" s="190">
        <v>0</v>
      </c>
      <c r="CR20" s="190">
        <v>13</v>
      </c>
      <c r="CS20" s="190">
        <v>13</v>
      </c>
      <c r="CT20" s="190">
        <v>9268</v>
      </c>
      <c r="CU20" s="190">
        <v>55199</v>
      </c>
      <c r="CV20" s="190">
        <v>64467</v>
      </c>
      <c r="CW20" s="190">
        <v>624</v>
      </c>
      <c r="CX20" s="190">
        <v>2117</v>
      </c>
      <c r="CY20" s="190">
        <v>2741</v>
      </c>
      <c r="CZ20" s="190">
        <v>619</v>
      </c>
      <c r="DA20" s="190">
        <v>4</v>
      </c>
      <c r="DB20" s="190">
        <v>0</v>
      </c>
      <c r="DC20" s="190">
        <v>2007</v>
      </c>
      <c r="DD20" s="190">
        <v>30</v>
      </c>
      <c r="DE20" s="190">
        <v>3</v>
      </c>
      <c r="DF20" s="190">
        <v>623</v>
      </c>
      <c r="DG20" s="190">
        <v>2040</v>
      </c>
      <c r="DH20" s="190">
        <v>2663</v>
      </c>
      <c r="DI20" s="190">
        <v>1</v>
      </c>
      <c r="DJ20" s="190">
        <v>0</v>
      </c>
      <c r="DK20" s="190">
        <v>0</v>
      </c>
      <c r="DL20" s="190">
        <v>75</v>
      </c>
      <c r="DM20" s="190">
        <v>2</v>
      </c>
      <c r="DN20" s="190">
        <v>0</v>
      </c>
      <c r="DO20" s="190">
        <v>1</v>
      </c>
      <c r="DP20" s="190">
        <v>77</v>
      </c>
      <c r="DQ20" s="190">
        <v>78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865</v>
      </c>
      <c r="C21" s="190">
        <v>152</v>
      </c>
      <c r="D21" s="190">
        <v>830</v>
      </c>
      <c r="E21" s="190">
        <v>570</v>
      </c>
      <c r="F21" s="190">
        <v>0</v>
      </c>
      <c r="G21" s="190">
        <v>3</v>
      </c>
      <c r="H21" s="190">
        <v>3</v>
      </c>
      <c r="I21" s="190">
        <v>0</v>
      </c>
      <c r="J21" s="190">
        <v>224</v>
      </c>
      <c r="K21" s="190">
        <v>224</v>
      </c>
      <c r="L21" s="190">
        <v>0</v>
      </c>
      <c r="M21" s="190">
        <v>127</v>
      </c>
      <c r="N21" s="190">
        <v>127</v>
      </c>
      <c r="O21" s="190">
        <v>0</v>
      </c>
      <c r="P21" s="190">
        <v>97</v>
      </c>
      <c r="Q21" s="190">
        <v>97</v>
      </c>
      <c r="R21" s="190">
        <v>0</v>
      </c>
      <c r="S21" s="190">
        <v>1</v>
      </c>
      <c r="T21" s="190">
        <v>1</v>
      </c>
      <c r="U21" s="190">
        <v>0</v>
      </c>
      <c r="V21" s="190">
        <v>36</v>
      </c>
      <c r="W21" s="190">
        <v>36</v>
      </c>
      <c r="X21" s="190">
        <v>39</v>
      </c>
      <c r="Y21" s="190">
        <v>790</v>
      </c>
      <c r="Z21" s="190">
        <v>829</v>
      </c>
      <c r="AA21" s="190">
        <v>27</v>
      </c>
      <c r="AB21" s="190">
        <v>366</v>
      </c>
      <c r="AC21" s="190">
        <v>393</v>
      </c>
      <c r="AD21" s="190">
        <v>22</v>
      </c>
      <c r="AE21" s="190">
        <v>353</v>
      </c>
      <c r="AF21" s="190">
        <v>375</v>
      </c>
      <c r="AG21" s="190">
        <v>2</v>
      </c>
      <c r="AH21" s="190">
        <v>9</v>
      </c>
      <c r="AI21" s="190">
        <v>11</v>
      </c>
      <c r="AJ21" s="190">
        <v>3</v>
      </c>
      <c r="AK21" s="190">
        <v>4</v>
      </c>
      <c r="AL21" s="190">
        <v>7</v>
      </c>
      <c r="AM21" s="190">
        <v>12</v>
      </c>
      <c r="AN21" s="190">
        <v>424</v>
      </c>
      <c r="AO21" s="190">
        <v>436</v>
      </c>
      <c r="AP21" s="190">
        <v>1416</v>
      </c>
      <c r="AQ21" s="190">
        <v>8477</v>
      </c>
      <c r="AR21" s="190">
        <v>9893</v>
      </c>
      <c r="AS21" s="190">
        <v>1416</v>
      </c>
      <c r="AT21" s="190">
        <v>8478</v>
      </c>
      <c r="AU21" s="190">
        <v>9894</v>
      </c>
      <c r="AV21" s="190">
        <v>0</v>
      </c>
      <c r="AW21" s="190">
        <v>-1</v>
      </c>
      <c r="AX21" s="190">
        <v>-1</v>
      </c>
      <c r="AY21" s="190">
        <v>63</v>
      </c>
      <c r="AZ21" s="190">
        <v>820</v>
      </c>
      <c r="BA21" s="190">
        <v>883</v>
      </c>
      <c r="BB21" s="190">
        <v>38</v>
      </c>
      <c r="BC21" s="190">
        <v>1</v>
      </c>
      <c r="BD21" s="190">
        <v>0</v>
      </c>
      <c r="BE21" s="190">
        <v>521</v>
      </c>
      <c r="BF21" s="190">
        <v>7</v>
      </c>
      <c r="BG21" s="190">
        <v>3</v>
      </c>
      <c r="BH21" s="190">
        <v>39</v>
      </c>
      <c r="BI21" s="190">
        <v>531</v>
      </c>
      <c r="BJ21" s="190">
        <v>570</v>
      </c>
      <c r="BK21" s="190">
        <v>-12</v>
      </c>
      <c r="BL21" s="190">
        <v>12</v>
      </c>
      <c r="BM21" s="190">
        <v>0</v>
      </c>
      <c r="BN21" s="190">
        <v>4</v>
      </c>
      <c r="BO21" s="190">
        <v>21</v>
      </c>
      <c r="BP21" s="190">
        <v>25</v>
      </c>
      <c r="BQ21" s="190">
        <v>7</v>
      </c>
      <c r="BR21" s="190">
        <v>109</v>
      </c>
      <c r="BS21" s="190">
        <v>116</v>
      </c>
      <c r="BT21" s="190">
        <v>25</v>
      </c>
      <c r="BU21" s="190">
        <v>147</v>
      </c>
      <c r="BV21" s="190">
        <v>172</v>
      </c>
      <c r="BW21" s="190">
        <v>1479</v>
      </c>
      <c r="BX21" s="190">
        <v>9297</v>
      </c>
      <c r="BY21" s="190">
        <v>10776</v>
      </c>
      <c r="BZ21" s="190">
        <v>1466</v>
      </c>
      <c r="CA21" s="190">
        <v>9149</v>
      </c>
      <c r="CB21" s="190">
        <v>10615</v>
      </c>
      <c r="CC21" s="190">
        <v>24091</v>
      </c>
      <c r="CD21" s="190">
        <v>21</v>
      </c>
      <c r="CE21" s="190">
        <v>131</v>
      </c>
      <c r="CF21" s="190">
        <v>13</v>
      </c>
      <c r="CG21" s="190">
        <v>122</v>
      </c>
      <c r="CH21" s="190">
        <v>135</v>
      </c>
      <c r="CI21" s="190">
        <v>31</v>
      </c>
      <c r="CJ21" s="190">
        <v>0</v>
      </c>
      <c r="CK21" s="190">
        <v>0</v>
      </c>
      <c r="CL21" s="190">
        <v>26</v>
      </c>
      <c r="CM21" s="190">
        <v>26</v>
      </c>
      <c r="CN21" s="190">
        <v>74</v>
      </c>
      <c r="CO21" s="190">
        <v>912</v>
      </c>
      <c r="CP21" s="190">
        <v>986</v>
      </c>
      <c r="CQ21" s="190">
        <v>0</v>
      </c>
      <c r="CR21" s="190">
        <v>1</v>
      </c>
      <c r="CS21" s="190">
        <v>1</v>
      </c>
      <c r="CT21" s="190">
        <v>1405</v>
      </c>
      <c r="CU21" s="190">
        <v>8385</v>
      </c>
      <c r="CV21" s="190">
        <v>9790</v>
      </c>
      <c r="CW21" s="190">
        <v>101</v>
      </c>
      <c r="CX21" s="190">
        <v>334</v>
      </c>
      <c r="CY21" s="190">
        <v>435</v>
      </c>
      <c r="CZ21" s="190">
        <v>101</v>
      </c>
      <c r="DA21" s="190">
        <v>0</v>
      </c>
      <c r="DB21" s="190">
        <v>0</v>
      </c>
      <c r="DC21" s="190">
        <v>321</v>
      </c>
      <c r="DD21" s="190">
        <v>5</v>
      </c>
      <c r="DE21" s="190">
        <v>0</v>
      </c>
      <c r="DF21" s="190">
        <v>101</v>
      </c>
      <c r="DG21" s="190">
        <v>326</v>
      </c>
      <c r="DH21" s="190">
        <v>427</v>
      </c>
      <c r="DI21" s="190">
        <v>0</v>
      </c>
      <c r="DJ21" s="190">
        <v>0</v>
      </c>
      <c r="DK21" s="190">
        <v>0</v>
      </c>
      <c r="DL21" s="190">
        <v>8</v>
      </c>
      <c r="DM21" s="190">
        <v>0</v>
      </c>
      <c r="DN21" s="190">
        <v>0</v>
      </c>
      <c r="DO21" s="190">
        <v>0</v>
      </c>
      <c r="DP21" s="190">
        <v>8</v>
      </c>
      <c r="DQ21" s="190">
        <v>8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411</v>
      </c>
      <c r="C22" s="190">
        <v>46</v>
      </c>
      <c r="D22" s="190">
        <v>388</v>
      </c>
      <c r="E22" s="190">
        <v>267</v>
      </c>
      <c r="F22" s="190">
        <v>0</v>
      </c>
      <c r="G22" s="190">
        <v>19</v>
      </c>
      <c r="H22" s="190">
        <v>19</v>
      </c>
      <c r="I22" s="190">
        <v>0</v>
      </c>
      <c r="J22" s="190">
        <v>101</v>
      </c>
      <c r="K22" s="190">
        <v>101</v>
      </c>
      <c r="L22" s="190">
        <v>0</v>
      </c>
      <c r="M22" s="190">
        <v>34</v>
      </c>
      <c r="N22" s="190">
        <v>34</v>
      </c>
      <c r="O22" s="190">
        <v>0</v>
      </c>
      <c r="P22" s="190">
        <v>67</v>
      </c>
      <c r="Q22" s="190">
        <v>67</v>
      </c>
      <c r="R22" s="190">
        <v>0</v>
      </c>
      <c r="S22" s="190">
        <v>3</v>
      </c>
      <c r="T22" s="190">
        <v>3</v>
      </c>
      <c r="U22" s="190">
        <v>0</v>
      </c>
      <c r="V22" s="190">
        <v>20</v>
      </c>
      <c r="W22" s="190">
        <v>20</v>
      </c>
      <c r="X22" s="190">
        <v>7</v>
      </c>
      <c r="Y22" s="190">
        <v>381</v>
      </c>
      <c r="Z22" s="190">
        <v>388</v>
      </c>
      <c r="AA22" s="190">
        <v>3</v>
      </c>
      <c r="AB22" s="190">
        <v>173</v>
      </c>
      <c r="AC22" s="190">
        <v>176</v>
      </c>
      <c r="AD22" s="190">
        <v>2</v>
      </c>
      <c r="AE22" s="190">
        <v>155</v>
      </c>
      <c r="AF22" s="190">
        <v>157</v>
      </c>
      <c r="AG22" s="190">
        <v>0</v>
      </c>
      <c r="AH22" s="190">
        <v>8</v>
      </c>
      <c r="AI22" s="190">
        <v>8</v>
      </c>
      <c r="AJ22" s="190">
        <v>1</v>
      </c>
      <c r="AK22" s="190">
        <v>10</v>
      </c>
      <c r="AL22" s="190">
        <v>11</v>
      </c>
      <c r="AM22" s="190">
        <v>4</v>
      </c>
      <c r="AN22" s="190">
        <v>208</v>
      </c>
      <c r="AO22" s="190">
        <v>212</v>
      </c>
      <c r="AP22" s="190">
        <v>507</v>
      </c>
      <c r="AQ22" s="190">
        <v>5488</v>
      </c>
      <c r="AR22" s="190">
        <v>5995</v>
      </c>
      <c r="AS22" s="190">
        <v>507</v>
      </c>
      <c r="AT22" s="190">
        <v>5489</v>
      </c>
      <c r="AU22" s="190">
        <v>5996</v>
      </c>
      <c r="AV22" s="190">
        <v>0</v>
      </c>
      <c r="AW22" s="190">
        <v>-1</v>
      </c>
      <c r="AX22" s="190">
        <v>-1</v>
      </c>
      <c r="AY22" s="190">
        <v>31</v>
      </c>
      <c r="AZ22" s="190">
        <v>458</v>
      </c>
      <c r="BA22" s="190">
        <v>489</v>
      </c>
      <c r="BB22" s="190">
        <v>8</v>
      </c>
      <c r="BC22" s="190">
        <v>0</v>
      </c>
      <c r="BD22" s="190">
        <v>0</v>
      </c>
      <c r="BE22" s="190">
        <v>258</v>
      </c>
      <c r="BF22" s="190">
        <v>1</v>
      </c>
      <c r="BG22" s="190">
        <v>0</v>
      </c>
      <c r="BH22" s="190">
        <v>8</v>
      </c>
      <c r="BI22" s="190">
        <v>259</v>
      </c>
      <c r="BJ22" s="190">
        <v>267</v>
      </c>
      <c r="BK22" s="190">
        <v>9</v>
      </c>
      <c r="BL22" s="190">
        <v>-9</v>
      </c>
      <c r="BM22" s="190">
        <v>0</v>
      </c>
      <c r="BN22" s="190">
        <v>1</v>
      </c>
      <c r="BO22" s="190">
        <v>14</v>
      </c>
      <c r="BP22" s="190">
        <v>15</v>
      </c>
      <c r="BQ22" s="190">
        <v>0</v>
      </c>
      <c r="BR22" s="190">
        <v>34</v>
      </c>
      <c r="BS22" s="190">
        <v>34</v>
      </c>
      <c r="BT22" s="190">
        <v>13</v>
      </c>
      <c r="BU22" s="190">
        <v>160</v>
      </c>
      <c r="BV22" s="190">
        <v>173</v>
      </c>
      <c r="BW22" s="190">
        <v>538</v>
      </c>
      <c r="BX22" s="190">
        <v>5946</v>
      </c>
      <c r="BY22" s="190">
        <v>6484</v>
      </c>
      <c r="BZ22" s="190">
        <v>535</v>
      </c>
      <c r="CA22" s="190">
        <v>5922</v>
      </c>
      <c r="CB22" s="190">
        <v>6457</v>
      </c>
      <c r="CC22" s="190">
        <v>11949</v>
      </c>
      <c r="CD22" s="190">
        <v>2</v>
      </c>
      <c r="CE22" s="190">
        <v>25</v>
      </c>
      <c r="CF22" s="190">
        <v>3</v>
      </c>
      <c r="CG22" s="190">
        <v>21</v>
      </c>
      <c r="CH22" s="190">
        <v>24</v>
      </c>
      <c r="CI22" s="190">
        <v>4</v>
      </c>
      <c r="CJ22" s="190">
        <v>1</v>
      </c>
      <c r="CK22" s="190">
        <v>0</v>
      </c>
      <c r="CL22" s="190">
        <v>3</v>
      </c>
      <c r="CM22" s="190">
        <v>3</v>
      </c>
      <c r="CN22" s="190">
        <v>29</v>
      </c>
      <c r="CO22" s="190">
        <v>489</v>
      </c>
      <c r="CP22" s="190">
        <v>518</v>
      </c>
      <c r="CQ22" s="190">
        <v>0</v>
      </c>
      <c r="CR22" s="190">
        <v>0</v>
      </c>
      <c r="CS22" s="190">
        <v>0</v>
      </c>
      <c r="CT22" s="190">
        <v>509</v>
      </c>
      <c r="CU22" s="190">
        <v>5457</v>
      </c>
      <c r="CV22" s="190">
        <v>5966</v>
      </c>
      <c r="CW22" s="190">
        <v>28</v>
      </c>
      <c r="CX22" s="190">
        <v>249</v>
      </c>
      <c r="CY22" s="190">
        <v>277</v>
      </c>
      <c r="CZ22" s="190">
        <v>28</v>
      </c>
      <c r="DA22" s="190">
        <v>0</v>
      </c>
      <c r="DB22" s="190">
        <v>0</v>
      </c>
      <c r="DC22" s="190">
        <v>246</v>
      </c>
      <c r="DD22" s="190">
        <v>1</v>
      </c>
      <c r="DE22" s="190">
        <v>0</v>
      </c>
      <c r="DF22" s="190">
        <v>28</v>
      </c>
      <c r="DG22" s="190">
        <v>247</v>
      </c>
      <c r="DH22" s="190">
        <v>275</v>
      </c>
      <c r="DI22" s="190">
        <v>0</v>
      </c>
      <c r="DJ22" s="190">
        <v>0</v>
      </c>
      <c r="DK22" s="190">
        <v>0</v>
      </c>
      <c r="DL22" s="190">
        <v>2</v>
      </c>
      <c r="DM22" s="190">
        <v>0</v>
      </c>
      <c r="DN22" s="190">
        <v>0</v>
      </c>
      <c r="DO22" s="190">
        <v>0</v>
      </c>
      <c r="DP22" s="190">
        <v>2</v>
      </c>
      <c r="DQ22" s="190">
        <v>2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110</v>
      </c>
      <c r="C23" s="190">
        <v>8</v>
      </c>
      <c r="D23" s="190">
        <v>115</v>
      </c>
      <c r="E23" s="190">
        <v>91</v>
      </c>
      <c r="F23" s="190">
        <v>1</v>
      </c>
      <c r="G23" s="190">
        <v>12</v>
      </c>
      <c r="H23" s="190">
        <v>13</v>
      </c>
      <c r="I23" s="190">
        <v>0</v>
      </c>
      <c r="J23" s="190">
        <v>22</v>
      </c>
      <c r="K23" s="190">
        <v>22</v>
      </c>
      <c r="L23" s="190">
        <v>0</v>
      </c>
      <c r="M23" s="190">
        <v>15</v>
      </c>
      <c r="N23" s="190">
        <v>15</v>
      </c>
      <c r="O23" s="190">
        <v>0</v>
      </c>
      <c r="P23" s="190">
        <v>7</v>
      </c>
      <c r="Q23" s="190">
        <v>7</v>
      </c>
      <c r="R23" s="190">
        <v>0</v>
      </c>
      <c r="S23" s="190">
        <v>1</v>
      </c>
      <c r="T23" s="190">
        <v>1</v>
      </c>
      <c r="U23" s="190">
        <v>0</v>
      </c>
      <c r="V23" s="190">
        <v>2</v>
      </c>
      <c r="W23" s="190">
        <v>2</v>
      </c>
      <c r="X23" s="190">
        <v>5</v>
      </c>
      <c r="Y23" s="190">
        <v>110</v>
      </c>
      <c r="Z23" s="190">
        <v>115</v>
      </c>
      <c r="AA23" s="190">
        <v>3</v>
      </c>
      <c r="AB23" s="190">
        <v>68</v>
      </c>
      <c r="AC23" s="190">
        <v>71</v>
      </c>
      <c r="AD23" s="190">
        <v>3</v>
      </c>
      <c r="AE23" s="190">
        <v>53</v>
      </c>
      <c r="AF23" s="190">
        <v>56</v>
      </c>
      <c r="AG23" s="190">
        <v>0</v>
      </c>
      <c r="AH23" s="190">
        <v>7</v>
      </c>
      <c r="AI23" s="190">
        <v>7</v>
      </c>
      <c r="AJ23" s="190">
        <v>0</v>
      </c>
      <c r="AK23" s="190">
        <v>8</v>
      </c>
      <c r="AL23" s="190">
        <v>8</v>
      </c>
      <c r="AM23" s="190">
        <v>2</v>
      </c>
      <c r="AN23" s="190">
        <v>42</v>
      </c>
      <c r="AO23" s="190">
        <v>44</v>
      </c>
      <c r="AP23" s="190">
        <v>206</v>
      </c>
      <c r="AQ23" s="190">
        <v>1232</v>
      </c>
      <c r="AR23" s="190">
        <v>1438</v>
      </c>
      <c r="AS23" s="190">
        <v>206</v>
      </c>
      <c r="AT23" s="190">
        <v>1233</v>
      </c>
      <c r="AU23" s="190">
        <v>1439</v>
      </c>
      <c r="AV23" s="190">
        <v>0</v>
      </c>
      <c r="AW23" s="190">
        <v>-1</v>
      </c>
      <c r="AX23" s="190">
        <v>-1</v>
      </c>
      <c r="AY23" s="190">
        <v>18</v>
      </c>
      <c r="AZ23" s="190">
        <v>157</v>
      </c>
      <c r="BA23" s="190">
        <v>175</v>
      </c>
      <c r="BB23" s="190">
        <v>7</v>
      </c>
      <c r="BC23" s="190">
        <v>0</v>
      </c>
      <c r="BD23" s="190">
        <v>0</v>
      </c>
      <c r="BE23" s="190">
        <v>84</v>
      </c>
      <c r="BF23" s="190">
        <v>0</v>
      </c>
      <c r="BG23" s="190">
        <v>0</v>
      </c>
      <c r="BH23" s="190">
        <v>7</v>
      </c>
      <c r="BI23" s="190">
        <v>84</v>
      </c>
      <c r="BJ23" s="190">
        <v>91</v>
      </c>
      <c r="BK23" s="190">
        <v>-1</v>
      </c>
      <c r="BL23" s="190">
        <v>1</v>
      </c>
      <c r="BM23" s="190">
        <v>0</v>
      </c>
      <c r="BN23" s="190">
        <v>0</v>
      </c>
      <c r="BO23" s="190">
        <v>6</v>
      </c>
      <c r="BP23" s="190">
        <v>6</v>
      </c>
      <c r="BQ23" s="190">
        <v>4</v>
      </c>
      <c r="BR23" s="190">
        <v>19</v>
      </c>
      <c r="BS23" s="190">
        <v>23</v>
      </c>
      <c r="BT23" s="190">
        <v>8</v>
      </c>
      <c r="BU23" s="190">
        <v>47</v>
      </c>
      <c r="BV23" s="190">
        <v>55</v>
      </c>
      <c r="BW23" s="190">
        <v>224</v>
      </c>
      <c r="BX23" s="190">
        <v>1389</v>
      </c>
      <c r="BY23" s="190">
        <v>1613</v>
      </c>
      <c r="BZ23" s="190">
        <v>224</v>
      </c>
      <c r="CA23" s="190">
        <v>1387</v>
      </c>
      <c r="CB23" s="190">
        <v>1611</v>
      </c>
      <c r="CC23" s="190">
        <v>3183</v>
      </c>
      <c r="CD23" s="190">
        <v>0</v>
      </c>
      <c r="CE23" s="190">
        <v>3</v>
      </c>
      <c r="CF23" s="190">
        <v>0</v>
      </c>
      <c r="CG23" s="190">
        <v>2</v>
      </c>
      <c r="CH23" s="190">
        <v>2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22</v>
      </c>
      <c r="CO23" s="190">
        <v>132</v>
      </c>
      <c r="CP23" s="190">
        <v>154</v>
      </c>
      <c r="CQ23" s="190">
        <v>0</v>
      </c>
      <c r="CR23" s="190">
        <v>0</v>
      </c>
      <c r="CS23" s="190">
        <v>0</v>
      </c>
      <c r="CT23" s="190">
        <v>202</v>
      </c>
      <c r="CU23" s="190">
        <v>1257</v>
      </c>
      <c r="CV23" s="190">
        <v>1459</v>
      </c>
      <c r="CW23" s="190">
        <v>16</v>
      </c>
      <c r="CX23" s="190">
        <v>53</v>
      </c>
      <c r="CY23" s="190">
        <v>69</v>
      </c>
      <c r="CZ23" s="190">
        <v>16</v>
      </c>
      <c r="DA23" s="190">
        <v>0</v>
      </c>
      <c r="DB23" s="190">
        <v>0</v>
      </c>
      <c r="DC23" s="190">
        <v>53</v>
      </c>
      <c r="DD23" s="190">
        <v>0</v>
      </c>
      <c r="DE23" s="190">
        <v>0</v>
      </c>
      <c r="DF23" s="190">
        <v>16</v>
      </c>
      <c r="DG23" s="190">
        <v>53</v>
      </c>
      <c r="DH23" s="190">
        <v>69</v>
      </c>
      <c r="DI23" s="190">
        <v>0</v>
      </c>
      <c r="DJ23" s="190">
        <v>0</v>
      </c>
      <c r="DK23" s="190">
        <v>0</v>
      </c>
      <c r="DL23" s="190">
        <v>0</v>
      </c>
      <c r="DM23" s="190">
        <v>0</v>
      </c>
      <c r="DN23" s="190">
        <v>0</v>
      </c>
      <c r="DO23" s="190">
        <v>0</v>
      </c>
      <c r="DP23" s="190">
        <v>0</v>
      </c>
      <c r="DQ23" s="190">
        <v>0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35694</v>
      </c>
      <c r="C24" s="190">
        <v>7514</v>
      </c>
      <c r="D24" s="190">
        <v>37400</v>
      </c>
      <c r="E24" s="190">
        <v>29033</v>
      </c>
      <c r="F24" s="190">
        <v>46</v>
      </c>
      <c r="G24" s="190">
        <v>213</v>
      </c>
      <c r="H24" s="190">
        <v>259</v>
      </c>
      <c r="I24" s="190">
        <v>22</v>
      </c>
      <c r="J24" s="190">
        <v>7089</v>
      </c>
      <c r="K24" s="190">
        <v>7111</v>
      </c>
      <c r="L24" s="190">
        <v>11</v>
      </c>
      <c r="M24" s="190">
        <v>2619</v>
      </c>
      <c r="N24" s="190">
        <v>2630</v>
      </c>
      <c r="O24" s="190">
        <v>11</v>
      </c>
      <c r="P24" s="190">
        <v>4470</v>
      </c>
      <c r="Q24" s="190">
        <v>4481</v>
      </c>
      <c r="R24" s="190">
        <v>3</v>
      </c>
      <c r="S24" s="190">
        <v>100</v>
      </c>
      <c r="T24" s="190">
        <v>103</v>
      </c>
      <c r="U24" s="190">
        <v>0</v>
      </c>
      <c r="V24" s="190">
        <v>1256</v>
      </c>
      <c r="W24" s="190">
        <v>1256</v>
      </c>
      <c r="X24" s="190">
        <v>2134</v>
      </c>
      <c r="Y24" s="190">
        <v>32739</v>
      </c>
      <c r="Z24" s="190">
        <v>34873</v>
      </c>
      <c r="AA24" s="190">
        <v>1503</v>
      </c>
      <c r="AB24" s="190">
        <v>17051</v>
      </c>
      <c r="AC24" s="190">
        <v>18554</v>
      </c>
      <c r="AD24" s="190">
        <v>1251</v>
      </c>
      <c r="AE24" s="190">
        <v>15763</v>
      </c>
      <c r="AF24" s="190">
        <v>17014</v>
      </c>
      <c r="AG24" s="190">
        <v>93</v>
      </c>
      <c r="AH24" s="190">
        <v>554</v>
      </c>
      <c r="AI24" s="190">
        <v>647</v>
      </c>
      <c r="AJ24" s="190">
        <v>159</v>
      </c>
      <c r="AK24" s="190">
        <v>734</v>
      </c>
      <c r="AL24" s="190">
        <v>893</v>
      </c>
      <c r="AM24" s="190">
        <v>631</v>
      </c>
      <c r="AN24" s="190">
        <v>15688</v>
      </c>
      <c r="AO24" s="190">
        <v>16319</v>
      </c>
      <c r="AP24" s="190">
        <v>79709</v>
      </c>
      <c r="AQ24" s="190">
        <v>417841</v>
      </c>
      <c r="AR24" s="190">
        <v>497550</v>
      </c>
      <c r="AS24" s="190">
        <v>81092</v>
      </c>
      <c r="AT24" s="190">
        <v>432162</v>
      </c>
      <c r="AU24" s="190">
        <v>513254</v>
      </c>
      <c r="AV24" s="190">
        <v>-1383</v>
      </c>
      <c r="AW24" s="190">
        <v>-14321</v>
      </c>
      <c r="AX24" s="190">
        <v>-15704</v>
      </c>
      <c r="AY24" s="190">
        <v>4073</v>
      </c>
      <c r="AZ24" s="190">
        <v>43067</v>
      </c>
      <c r="BA24" s="190">
        <v>47140</v>
      </c>
      <c r="BB24" s="190">
        <v>2415</v>
      </c>
      <c r="BC24" s="190">
        <v>65</v>
      </c>
      <c r="BD24" s="190">
        <v>6</v>
      </c>
      <c r="BE24" s="190">
        <v>26044</v>
      </c>
      <c r="BF24" s="190">
        <v>242</v>
      </c>
      <c r="BG24" s="190">
        <v>261</v>
      </c>
      <c r="BH24" s="190">
        <v>2486</v>
      </c>
      <c r="BI24" s="190">
        <v>26547</v>
      </c>
      <c r="BJ24" s="190">
        <v>29033</v>
      </c>
      <c r="BK24" s="190">
        <v>-1485</v>
      </c>
      <c r="BL24" s="190">
        <v>1485</v>
      </c>
      <c r="BM24" s="190">
        <v>0</v>
      </c>
      <c r="BN24" s="190">
        <v>39</v>
      </c>
      <c r="BO24" s="190">
        <v>236</v>
      </c>
      <c r="BP24" s="190">
        <v>275</v>
      </c>
      <c r="BQ24" s="190">
        <v>351</v>
      </c>
      <c r="BR24" s="190">
        <v>2706</v>
      </c>
      <c r="BS24" s="190">
        <v>3057</v>
      </c>
      <c r="BT24" s="190">
        <v>2682</v>
      </c>
      <c r="BU24" s="190">
        <v>12093</v>
      </c>
      <c r="BV24" s="190">
        <v>14775</v>
      </c>
      <c r="BW24" s="190">
        <v>83782</v>
      </c>
      <c r="BX24" s="190">
        <v>460908</v>
      </c>
      <c r="BY24" s="190">
        <v>544690</v>
      </c>
      <c r="BZ24" s="190">
        <v>81359</v>
      </c>
      <c r="CA24" s="190">
        <v>452250</v>
      </c>
      <c r="CB24" s="190">
        <v>533609</v>
      </c>
      <c r="CC24" s="190">
        <v>1073273</v>
      </c>
      <c r="CD24" s="190">
        <v>619</v>
      </c>
      <c r="CE24" s="190">
        <v>9010</v>
      </c>
      <c r="CF24" s="190">
        <v>2213</v>
      </c>
      <c r="CG24" s="190">
        <v>5249</v>
      </c>
      <c r="CH24" s="190">
        <v>7462</v>
      </c>
      <c r="CI24" s="190">
        <v>4067</v>
      </c>
      <c r="CJ24" s="190">
        <v>543</v>
      </c>
      <c r="CK24" s="190">
        <v>210</v>
      </c>
      <c r="CL24" s="190">
        <v>3409</v>
      </c>
      <c r="CM24" s="190">
        <v>3619</v>
      </c>
      <c r="CN24" s="190">
        <v>3225</v>
      </c>
      <c r="CO24" s="190">
        <v>27255</v>
      </c>
      <c r="CP24" s="190">
        <v>30480</v>
      </c>
      <c r="CQ24" s="190">
        <v>61</v>
      </c>
      <c r="CR24" s="190">
        <v>282</v>
      </c>
      <c r="CS24" s="190">
        <v>343</v>
      </c>
      <c r="CT24" s="190">
        <v>80557</v>
      </c>
      <c r="CU24" s="190">
        <v>433653</v>
      </c>
      <c r="CV24" s="190">
        <v>514210</v>
      </c>
      <c r="CW24" s="190">
        <v>5483</v>
      </c>
      <c r="CX24" s="190">
        <v>17386</v>
      </c>
      <c r="CY24" s="190">
        <v>22869</v>
      </c>
      <c r="CZ24" s="190">
        <v>5293</v>
      </c>
      <c r="DA24" s="190">
        <v>158</v>
      </c>
      <c r="DB24" s="190">
        <v>2</v>
      </c>
      <c r="DC24" s="190">
        <v>16839</v>
      </c>
      <c r="DD24" s="190">
        <v>264</v>
      </c>
      <c r="DE24" s="190">
        <v>86</v>
      </c>
      <c r="DF24" s="190">
        <v>5453</v>
      </c>
      <c r="DG24" s="190">
        <v>17189</v>
      </c>
      <c r="DH24" s="190">
        <v>22642</v>
      </c>
      <c r="DI24" s="190">
        <v>29</v>
      </c>
      <c r="DJ24" s="190">
        <v>1</v>
      </c>
      <c r="DK24" s="190">
        <v>0</v>
      </c>
      <c r="DL24" s="190">
        <v>189</v>
      </c>
      <c r="DM24" s="190">
        <v>7</v>
      </c>
      <c r="DN24" s="190">
        <v>1</v>
      </c>
      <c r="DO24" s="190">
        <v>30</v>
      </c>
      <c r="DP24" s="190">
        <v>197</v>
      </c>
      <c r="DQ24" s="190">
        <v>227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593</v>
      </c>
      <c r="C25" s="190">
        <v>110</v>
      </c>
      <c r="D25" s="190">
        <v>582</v>
      </c>
      <c r="E25" s="190">
        <v>389</v>
      </c>
      <c r="F25" s="190">
        <v>0</v>
      </c>
      <c r="G25" s="190">
        <v>2</v>
      </c>
      <c r="H25" s="190">
        <v>2</v>
      </c>
      <c r="I25" s="190">
        <v>0</v>
      </c>
      <c r="J25" s="190">
        <v>173</v>
      </c>
      <c r="K25" s="190">
        <v>173</v>
      </c>
      <c r="L25" s="190">
        <v>0</v>
      </c>
      <c r="M25" s="190">
        <v>88</v>
      </c>
      <c r="N25" s="190">
        <v>88</v>
      </c>
      <c r="O25" s="190">
        <v>0</v>
      </c>
      <c r="P25" s="190">
        <v>85</v>
      </c>
      <c r="Q25" s="190">
        <v>85</v>
      </c>
      <c r="R25" s="190">
        <v>0</v>
      </c>
      <c r="S25" s="190">
        <v>2</v>
      </c>
      <c r="T25" s="190">
        <v>2</v>
      </c>
      <c r="U25" s="190">
        <v>0</v>
      </c>
      <c r="V25" s="190">
        <v>20</v>
      </c>
      <c r="W25" s="190">
        <v>20</v>
      </c>
      <c r="X25" s="190">
        <v>13</v>
      </c>
      <c r="Y25" s="190">
        <v>568</v>
      </c>
      <c r="Z25" s="190">
        <v>581</v>
      </c>
      <c r="AA25" s="190">
        <v>7</v>
      </c>
      <c r="AB25" s="190">
        <v>234</v>
      </c>
      <c r="AC25" s="190">
        <v>241</v>
      </c>
      <c r="AD25" s="190">
        <v>6</v>
      </c>
      <c r="AE25" s="190">
        <v>230</v>
      </c>
      <c r="AF25" s="190">
        <v>236</v>
      </c>
      <c r="AG25" s="190">
        <v>0</v>
      </c>
      <c r="AH25" s="190">
        <v>3</v>
      </c>
      <c r="AI25" s="190">
        <v>3</v>
      </c>
      <c r="AJ25" s="190">
        <v>1</v>
      </c>
      <c r="AK25" s="190">
        <v>1</v>
      </c>
      <c r="AL25" s="190">
        <v>2</v>
      </c>
      <c r="AM25" s="190">
        <v>6</v>
      </c>
      <c r="AN25" s="190">
        <v>334</v>
      </c>
      <c r="AO25" s="190">
        <v>340</v>
      </c>
      <c r="AP25" s="190">
        <v>1646</v>
      </c>
      <c r="AQ25" s="190">
        <v>9320</v>
      </c>
      <c r="AR25" s="190">
        <v>10966</v>
      </c>
      <c r="AS25" s="190">
        <v>1646</v>
      </c>
      <c r="AT25" s="190">
        <v>9320</v>
      </c>
      <c r="AU25" s="190">
        <v>10966</v>
      </c>
      <c r="AV25" s="190">
        <v>0</v>
      </c>
      <c r="AW25" s="190">
        <v>0</v>
      </c>
      <c r="AX25" s="190">
        <v>0</v>
      </c>
      <c r="AY25" s="190">
        <v>29</v>
      </c>
      <c r="AZ25" s="190">
        <v>671</v>
      </c>
      <c r="BA25" s="190">
        <v>700</v>
      </c>
      <c r="BB25" s="190">
        <v>22</v>
      </c>
      <c r="BC25" s="190">
        <v>0</v>
      </c>
      <c r="BD25" s="190">
        <v>0</v>
      </c>
      <c r="BE25" s="190">
        <v>366</v>
      </c>
      <c r="BF25" s="190">
        <v>1</v>
      </c>
      <c r="BG25" s="190">
        <v>0</v>
      </c>
      <c r="BH25" s="190">
        <v>22</v>
      </c>
      <c r="BI25" s="190">
        <v>367</v>
      </c>
      <c r="BJ25" s="190">
        <v>389</v>
      </c>
      <c r="BK25" s="190">
        <v>-31</v>
      </c>
      <c r="BL25" s="190">
        <v>31</v>
      </c>
      <c r="BM25" s="190">
        <v>0</v>
      </c>
      <c r="BN25" s="190">
        <v>10</v>
      </c>
      <c r="BO25" s="190">
        <v>28</v>
      </c>
      <c r="BP25" s="190">
        <v>38</v>
      </c>
      <c r="BQ25" s="190">
        <v>8</v>
      </c>
      <c r="BR25" s="190">
        <v>144</v>
      </c>
      <c r="BS25" s="190">
        <v>152</v>
      </c>
      <c r="BT25" s="190">
        <v>20</v>
      </c>
      <c r="BU25" s="190">
        <v>101</v>
      </c>
      <c r="BV25" s="190">
        <v>121</v>
      </c>
      <c r="BW25" s="190">
        <v>1675</v>
      </c>
      <c r="BX25" s="190">
        <v>9991</v>
      </c>
      <c r="BY25" s="190">
        <v>11666</v>
      </c>
      <c r="BZ25" s="190">
        <v>1659</v>
      </c>
      <c r="CA25" s="190">
        <v>9924</v>
      </c>
      <c r="CB25" s="190">
        <v>11583</v>
      </c>
      <c r="CC25" s="190">
        <v>28088</v>
      </c>
      <c r="CD25" s="190">
        <v>2</v>
      </c>
      <c r="CE25" s="190">
        <v>79</v>
      </c>
      <c r="CF25" s="190">
        <v>15</v>
      </c>
      <c r="CG25" s="190">
        <v>61</v>
      </c>
      <c r="CH25" s="190">
        <v>76</v>
      </c>
      <c r="CI25" s="190">
        <v>6</v>
      </c>
      <c r="CJ25" s="190">
        <v>9</v>
      </c>
      <c r="CK25" s="190">
        <v>1</v>
      </c>
      <c r="CL25" s="190">
        <v>6</v>
      </c>
      <c r="CM25" s="190">
        <v>7</v>
      </c>
      <c r="CN25" s="190">
        <v>66</v>
      </c>
      <c r="CO25" s="190">
        <v>751</v>
      </c>
      <c r="CP25" s="190">
        <v>817</v>
      </c>
      <c r="CQ25" s="190">
        <v>0</v>
      </c>
      <c r="CR25" s="190">
        <v>0</v>
      </c>
      <c r="CS25" s="190">
        <v>0</v>
      </c>
      <c r="CT25" s="190">
        <v>1609</v>
      </c>
      <c r="CU25" s="190">
        <v>9240</v>
      </c>
      <c r="CV25" s="190">
        <v>10849</v>
      </c>
      <c r="CW25" s="190">
        <v>102</v>
      </c>
      <c r="CX25" s="190">
        <v>485</v>
      </c>
      <c r="CY25" s="190">
        <v>587</v>
      </c>
      <c r="CZ25" s="190">
        <v>102</v>
      </c>
      <c r="DA25" s="190">
        <v>0</v>
      </c>
      <c r="DB25" s="190">
        <v>0</v>
      </c>
      <c r="DC25" s="190">
        <v>477</v>
      </c>
      <c r="DD25" s="190">
        <v>5</v>
      </c>
      <c r="DE25" s="190">
        <v>0</v>
      </c>
      <c r="DF25" s="190">
        <v>102</v>
      </c>
      <c r="DG25" s="190">
        <v>482</v>
      </c>
      <c r="DH25" s="190">
        <v>584</v>
      </c>
      <c r="DI25" s="190">
        <v>0</v>
      </c>
      <c r="DJ25" s="190">
        <v>0</v>
      </c>
      <c r="DK25" s="190">
        <v>0</v>
      </c>
      <c r="DL25" s="190">
        <v>3</v>
      </c>
      <c r="DM25" s="190">
        <v>0</v>
      </c>
      <c r="DN25" s="190">
        <v>0</v>
      </c>
      <c r="DO25" s="190">
        <v>0</v>
      </c>
      <c r="DP25" s="190">
        <v>3</v>
      </c>
      <c r="DQ25" s="190">
        <v>3</v>
      </c>
      <c r="DR25" s="190">
        <v>0</v>
      </c>
      <c r="DS25" s="190">
        <v>3</v>
      </c>
      <c r="DT25" s="191">
        <v>3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429</v>
      </c>
      <c r="C26" s="190">
        <v>119</v>
      </c>
      <c r="D26" s="190">
        <v>411</v>
      </c>
      <c r="E26" s="190">
        <v>274</v>
      </c>
      <c r="F26" s="190">
        <v>0</v>
      </c>
      <c r="G26" s="190">
        <v>7</v>
      </c>
      <c r="H26" s="190">
        <v>7</v>
      </c>
      <c r="I26" s="190">
        <v>1</v>
      </c>
      <c r="J26" s="190">
        <v>121</v>
      </c>
      <c r="K26" s="190">
        <v>122</v>
      </c>
      <c r="L26" s="190">
        <v>1</v>
      </c>
      <c r="M26" s="190">
        <v>52</v>
      </c>
      <c r="N26" s="190">
        <v>53</v>
      </c>
      <c r="O26" s="190">
        <v>0</v>
      </c>
      <c r="P26" s="190">
        <v>69</v>
      </c>
      <c r="Q26" s="190">
        <v>69</v>
      </c>
      <c r="R26" s="190">
        <v>0</v>
      </c>
      <c r="S26" s="190">
        <v>4</v>
      </c>
      <c r="T26" s="190">
        <v>4</v>
      </c>
      <c r="U26" s="190">
        <v>0</v>
      </c>
      <c r="V26" s="190">
        <v>15</v>
      </c>
      <c r="W26" s="190">
        <v>15</v>
      </c>
      <c r="X26" s="190">
        <v>9</v>
      </c>
      <c r="Y26" s="190">
        <v>402</v>
      </c>
      <c r="Z26" s="190">
        <v>411</v>
      </c>
      <c r="AA26" s="190">
        <v>5</v>
      </c>
      <c r="AB26" s="190">
        <v>174</v>
      </c>
      <c r="AC26" s="190">
        <v>179</v>
      </c>
      <c r="AD26" s="190">
        <v>5</v>
      </c>
      <c r="AE26" s="190">
        <v>168</v>
      </c>
      <c r="AF26" s="190">
        <v>173</v>
      </c>
      <c r="AG26" s="190">
        <v>0</v>
      </c>
      <c r="AH26" s="190">
        <v>6</v>
      </c>
      <c r="AI26" s="190">
        <v>6</v>
      </c>
      <c r="AJ26" s="190">
        <v>0</v>
      </c>
      <c r="AK26" s="190">
        <v>0</v>
      </c>
      <c r="AL26" s="190">
        <v>0</v>
      </c>
      <c r="AM26" s="190">
        <v>4</v>
      </c>
      <c r="AN26" s="190">
        <v>228</v>
      </c>
      <c r="AO26" s="190">
        <v>232</v>
      </c>
      <c r="AP26" s="190">
        <v>541</v>
      </c>
      <c r="AQ26" s="190">
        <v>5037</v>
      </c>
      <c r="AR26" s="190">
        <v>5578</v>
      </c>
      <c r="AS26" s="190">
        <v>541</v>
      </c>
      <c r="AT26" s="190">
        <v>5037</v>
      </c>
      <c r="AU26" s="190">
        <v>5578</v>
      </c>
      <c r="AV26" s="190">
        <v>0</v>
      </c>
      <c r="AW26" s="190">
        <v>0</v>
      </c>
      <c r="AX26" s="190">
        <v>0</v>
      </c>
      <c r="AY26" s="190">
        <v>20</v>
      </c>
      <c r="AZ26" s="190">
        <v>441</v>
      </c>
      <c r="BA26" s="190">
        <v>461</v>
      </c>
      <c r="BB26" s="190">
        <v>8</v>
      </c>
      <c r="BC26" s="190">
        <v>0</v>
      </c>
      <c r="BD26" s="190">
        <v>0</v>
      </c>
      <c r="BE26" s="190">
        <v>251</v>
      </c>
      <c r="BF26" s="190">
        <v>10</v>
      </c>
      <c r="BG26" s="190">
        <v>5</v>
      </c>
      <c r="BH26" s="190">
        <v>8</v>
      </c>
      <c r="BI26" s="190">
        <v>266</v>
      </c>
      <c r="BJ26" s="190">
        <v>274</v>
      </c>
      <c r="BK26" s="190">
        <v>-6</v>
      </c>
      <c r="BL26" s="190">
        <v>6</v>
      </c>
      <c r="BM26" s="190">
        <v>0</v>
      </c>
      <c r="BN26" s="190">
        <v>1</v>
      </c>
      <c r="BO26" s="190">
        <v>16</v>
      </c>
      <c r="BP26" s="190">
        <v>17</v>
      </c>
      <c r="BQ26" s="190">
        <v>3</v>
      </c>
      <c r="BR26" s="190">
        <v>49</v>
      </c>
      <c r="BS26" s="190">
        <v>52</v>
      </c>
      <c r="BT26" s="190">
        <v>14</v>
      </c>
      <c r="BU26" s="190">
        <v>104</v>
      </c>
      <c r="BV26" s="190">
        <v>118</v>
      </c>
      <c r="BW26" s="190">
        <v>561</v>
      </c>
      <c r="BX26" s="190">
        <v>5478</v>
      </c>
      <c r="BY26" s="190">
        <v>6039</v>
      </c>
      <c r="BZ26" s="190">
        <v>524</v>
      </c>
      <c r="CA26" s="190">
        <v>5169</v>
      </c>
      <c r="CB26" s="190">
        <v>5693</v>
      </c>
      <c r="CC26" s="190">
        <v>9532</v>
      </c>
      <c r="CD26" s="190">
        <v>9</v>
      </c>
      <c r="CE26" s="190">
        <v>319</v>
      </c>
      <c r="CF26" s="190">
        <v>35</v>
      </c>
      <c r="CG26" s="190">
        <v>240</v>
      </c>
      <c r="CH26" s="190">
        <v>275</v>
      </c>
      <c r="CI26" s="190">
        <v>71</v>
      </c>
      <c r="CJ26" s="190">
        <v>13</v>
      </c>
      <c r="CK26" s="190">
        <v>2</v>
      </c>
      <c r="CL26" s="190">
        <v>69</v>
      </c>
      <c r="CM26" s="190">
        <v>71</v>
      </c>
      <c r="CN26" s="190">
        <v>31</v>
      </c>
      <c r="CO26" s="190">
        <v>457</v>
      </c>
      <c r="CP26" s="190">
        <v>488</v>
      </c>
      <c r="CQ26" s="190">
        <v>0</v>
      </c>
      <c r="CR26" s="190">
        <v>0</v>
      </c>
      <c r="CS26" s="190">
        <v>0</v>
      </c>
      <c r="CT26" s="190">
        <v>530</v>
      </c>
      <c r="CU26" s="190">
        <v>5021</v>
      </c>
      <c r="CV26" s="190">
        <v>5551</v>
      </c>
      <c r="CW26" s="190">
        <v>46</v>
      </c>
      <c r="CX26" s="190">
        <v>172</v>
      </c>
      <c r="CY26" s="190">
        <v>218</v>
      </c>
      <c r="CZ26" s="190">
        <v>41</v>
      </c>
      <c r="DA26" s="190">
        <v>4</v>
      </c>
      <c r="DB26" s="190">
        <v>0</v>
      </c>
      <c r="DC26" s="190">
        <v>160</v>
      </c>
      <c r="DD26" s="190">
        <v>8</v>
      </c>
      <c r="DE26" s="190">
        <v>0</v>
      </c>
      <c r="DF26" s="190">
        <v>45</v>
      </c>
      <c r="DG26" s="190">
        <v>168</v>
      </c>
      <c r="DH26" s="190">
        <v>213</v>
      </c>
      <c r="DI26" s="190">
        <v>1</v>
      </c>
      <c r="DJ26" s="190">
        <v>0</v>
      </c>
      <c r="DK26" s="190">
        <v>0</v>
      </c>
      <c r="DL26" s="190">
        <v>3</v>
      </c>
      <c r="DM26" s="190">
        <v>1</v>
      </c>
      <c r="DN26" s="190">
        <v>0</v>
      </c>
      <c r="DO26" s="190">
        <v>1</v>
      </c>
      <c r="DP26" s="190">
        <v>4</v>
      </c>
      <c r="DQ26" s="190">
        <v>5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79</v>
      </c>
      <c r="C27" s="190">
        <v>11</v>
      </c>
      <c r="D27" s="190">
        <v>87</v>
      </c>
      <c r="E27" s="190">
        <v>45</v>
      </c>
      <c r="F27" s="190">
        <v>2</v>
      </c>
      <c r="G27" s="190">
        <v>7</v>
      </c>
      <c r="H27" s="190">
        <v>9</v>
      </c>
      <c r="I27" s="190">
        <v>0</v>
      </c>
      <c r="J27" s="190">
        <v>33</v>
      </c>
      <c r="K27" s="190">
        <v>33</v>
      </c>
      <c r="L27" s="190">
        <v>0</v>
      </c>
      <c r="M27" s="190">
        <v>13</v>
      </c>
      <c r="N27" s="190">
        <v>13</v>
      </c>
      <c r="O27" s="190">
        <v>0</v>
      </c>
      <c r="P27" s="190">
        <v>20</v>
      </c>
      <c r="Q27" s="190">
        <v>20</v>
      </c>
      <c r="R27" s="190">
        <v>0</v>
      </c>
      <c r="S27" s="190">
        <v>1</v>
      </c>
      <c r="T27" s="190">
        <v>1</v>
      </c>
      <c r="U27" s="190">
        <v>0</v>
      </c>
      <c r="V27" s="190">
        <v>9</v>
      </c>
      <c r="W27" s="190">
        <v>9</v>
      </c>
      <c r="X27" s="190">
        <v>3</v>
      </c>
      <c r="Y27" s="190">
        <v>84</v>
      </c>
      <c r="Z27" s="190">
        <v>87</v>
      </c>
      <c r="AA27" s="190">
        <v>1</v>
      </c>
      <c r="AB27" s="190">
        <v>28</v>
      </c>
      <c r="AC27" s="190">
        <v>29</v>
      </c>
      <c r="AD27" s="190">
        <v>1</v>
      </c>
      <c r="AE27" s="190">
        <v>21</v>
      </c>
      <c r="AF27" s="190">
        <v>22</v>
      </c>
      <c r="AG27" s="190">
        <v>0</v>
      </c>
      <c r="AH27" s="190">
        <v>6</v>
      </c>
      <c r="AI27" s="190">
        <v>6</v>
      </c>
      <c r="AJ27" s="190">
        <v>0</v>
      </c>
      <c r="AK27" s="190">
        <v>1</v>
      </c>
      <c r="AL27" s="190">
        <v>1</v>
      </c>
      <c r="AM27" s="190">
        <v>2</v>
      </c>
      <c r="AN27" s="190">
        <v>56</v>
      </c>
      <c r="AO27" s="190">
        <v>58</v>
      </c>
      <c r="AP27" s="190">
        <v>76</v>
      </c>
      <c r="AQ27" s="190">
        <v>878</v>
      </c>
      <c r="AR27" s="190">
        <v>954</v>
      </c>
      <c r="AS27" s="190">
        <v>76</v>
      </c>
      <c r="AT27" s="190">
        <v>878</v>
      </c>
      <c r="AU27" s="190">
        <v>954</v>
      </c>
      <c r="AV27" s="190">
        <v>0</v>
      </c>
      <c r="AW27" s="190">
        <v>0</v>
      </c>
      <c r="AX27" s="190">
        <v>0</v>
      </c>
      <c r="AY27" s="190">
        <v>3</v>
      </c>
      <c r="AZ27" s="190">
        <v>77</v>
      </c>
      <c r="BA27" s="190">
        <v>80</v>
      </c>
      <c r="BB27" s="190">
        <v>5</v>
      </c>
      <c r="BC27" s="190">
        <v>0</v>
      </c>
      <c r="BD27" s="190">
        <v>0</v>
      </c>
      <c r="BE27" s="190">
        <v>40</v>
      </c>
      <c r="BF27" s="190">
        <v>0</v>
      </c>
      <c r="BG27" s="190">
        <v>0</v>
      </c>
      <c r="BH27" s="190">
        <v>5</v>
      </c>
      <c r="BI27" s="190">
        <v>40</v>
      </c>
      <c r="BJ27" s="190">
        <v>45</v>
      </c>
      <c r="BK27" s="190">
        <v>-4</v>
      </c>
      <c r="BL27" s="190">
        <v>4</v>
      </c>
      <c r="BM27" s="190">
        <v>0</v>
      </c>
      <c r="BN27" s="190">
        <v>0</v>
      </c>
      <c r="BO27" s="190">
        <v>2</v>
      </c>
      <c r="BP27" s="190">
        <v>2</v>
      </c>
      <c r="BQ27" s="190">
        <v>0</v>
      </c>
      <c r="BR27" s="190">
        <v>12</v>
      </c>
      <c r="BS27" s="190">
        <v>12</v>
      </c>
      <c r="BT27" s="190">
        <v>2</v>
      </c>
      <c r="BU27" s="190">
        <v>19</v>
      </c>
      <c r="BV27" s="190">
        <v>21</v>
      </c>
      <c r="BW27" s="190">
        <v>79</v>
      </c>
      <c r="BX27" s="190">
        <v>955</v>
      </c>
      <c r="BY27" s="190">
        <v>1034</v>
      </c>
      <c r="BZ27" s="190">
        <v>78</v>
      </c>
      <c r="CA27" s="190">
        <v>952</v>
      </c>
      <c r="CB27" s="190">
        <v>1030</v>
      </c>
      <c r="CC27" s="190">
        <v>1839</v>
      </c>
      <c r="CD27" s="190">
        <v>1</v>
      </c>
      <c r="CE27" s="190">
        <v>2</v>
      </c>
      <c r="CF27" s="190">
        <v>1</v>
      </c>
      <c r="CG27" s="190">
        <v>2</v>
      </c>
      <c r="CH27" s="190">
        <v>3</v>
      </c>
      <c r="CI27" s="190">
        <v>1</v>
      </c>
      <c r="CJ27" s="190">
        <v>0</v>
      </c>
      <c r="CK27" s="190">
        <v>0</v>
      </c>
      <c r="CL27" s="190">
        <v>1</v>
      </c>
      <c r="CM27" s="190">
        <v>1</v>
      </c>
      <c r="CN27" s="190">
        <v>1</v>
      </c>
      <c r="CO27" s="190">
        <v>80</v>
      </c>
      <c r="CP27" s="190">
        <v>81</v>
      </c>
      <c r="CQ27" s="190">
        <v>0</v>
      </c>
      <c r="CR27" s="190">
        <v>0</v>
      </c>
      <c r="CS27" s="190">
        <v>0</v>
      </c>
      <c r="CT27" s="190">
        <v>78</v>
      </c>
      <c r="CU27" s="190">
        <v>875</v>
      </c>
      <c r="CV27" s="190">
        <v>953</v>
      </c>
      <c r="CW27" s="190">
        <v>6</v>
      </c>
      <c r="CX27" s="190">
        <v>39</v>
      </c>
      <c r="CY27" s="190">
        <v>45</v>
      </c>
      <c r="CZ27" s="190">
        <v>6</v>
      </c>
      <c r="DA27" s="190">
        <v>0</v>
      </c>
      <c r="DB27" s="190">
        <v>0</v>
      </c>
      <c r="DC27" s="190">
        <v>38</v>
      </c>
      <c r="DD27" s="190">
        <v>0</v>
      </c>
      <c r="DE27" s="190">
        <v>0</v>
      </c>
      <c r="DF27" s="190">
        <v>6</v>
      </c>
      <c r="DG27" s="190">
        <v>38</v>
      </c>
      <c r="DH27" s="190">
        <v>44</v>
      </c>
      <c r="DI27" s="190">
        <v>0</v>
      </c>
      <c r="DJ27" s="190">
        <v>0</v>
      </c>
      <c r="DK27" s="190">
        <v>0</v>
      </c>
      <c r="DL27" s="190">
        <v>1</v>
      </c>
      <c r="DM27" s="190">
        <v>0</v>
      </c>
      <c r="DN27" s="190">
        <v>0</v>
      </c>
      <c r="DO27" s="190">
        <v>0</v>
      </c>
      <c r="DP27" s="190">
        <v>1</v>
      </c>
      <c r="DQ27" s="190">
        <v>1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488</v>
      </c>
      <c r="C28" s="190">
        <v>62</v>
      </c>
      <c r="D28" s="190">
        <v>454</v>
      </c>
      <c r="E28" s="190">
        <v>364</v>
      </c>
      <c r="F28" s="190">
        <v>0</v>
      </c>
      <c r="G28" s="190">
        <v>20</v>
      </c>
      <c r="H28" s="190">
        <v>20</v>
      </c>
      <c r="I28" s="190">
        <v>0</v>
      </c>
      <c r="J28" s="190">
        <v>83</v>
      </c>
      <c r="K28" s="190">
        <v>83</v>
      </c>
      <c r="L28" s="190">
        <v>0</v>
      </c>
      <c r="M28" s="190">
        <v>42</v>
      </c>
      <c r="N28" s="190">
        <v>42</v>
      </c>
      <c r="O28" s="190">
        <v>0</v>
      </c>
      <c r="P28" s="190">
        <v>41</v>
      </c>
      <c r="Q28" s="190">
        <v>41</v>
      </c>
      <c r="R28" s="190">
        <v>0</v>
      </c>
      <c r="S28" s="190">
        <v>3</v>
      </c>
      <c r="T28" s="190">
        <v>3</v>
      </c>
      <c r="U28" s="190">
        <v>0</v>
      </c>
      <c r="V28" s="190">
        <v>7</v>
      </c>
      <c r="W28" s="190">
        <v>7</v>
      </c>
      <c r="X28" s="190">
        <v>16</v>
      </c>
      <c r="Y28" s="190">
        <v>438</v>
      </c>
      <c r="Z28" s="190">
        <v>454</v>
      </c>
      <c r="AA28" s="190">
        <v>7</v>
      </c>
      <c r="AB28" s="190">
        <v>248</v>
      </c>
      <c r="AC28" s="190">
        <v>255</v>
      </c>
      <c r="AD28" s="190">
        <v>6</v>
      </c>
      <c r="AE28" s="190">
        <v>233</v>
      </c>
      <c r="AF28" s="190">
        <v>239</v>
      </c>
      <c r="AG28" s="190">
        <v>1</v>
      </c>
      <c r="AH28" s="190">
        <v>8</v>
      </c>
      <c r="AI28" s="190">
        <v>9</v>
      </c>
      <c r="AJ28" s="190">
        <v>0</v>
      </c>
      <c r="AK28" s="190">
        <v>7</v>
      </c>
      <c r="AL28" s="190">
        <v>7</v>
      </c>
      <c r="AM28" s="190">
        <v>9</v>
      </c>
      <c r="AN28" s="190">
        <v>190</v>
      </c>
      <c r="AO28" s="190">
        <v>199</v>
      </c>
      <c r="AP28" s="190">
        <v>488</v>
      </c>
      <c r="AQ28" s="190">
        <v>5367</v>
      </c>
      <c r="AR28" s="190">
        <v>5855</v>
      </c>
      <c r="AS28" s="190">
        <v>488</v>
      </c>
      <c r="AT28" s="190">
        <v>5367</v>
      </c>
      <c r="AU28" s="190">
        <v>5855</v>
      </c>
      <c r="AV28" s="190">
        <v>0</v>
      </c>
      <c r="AW28" s="190">
        <v>0</v>
      </c>
      <c r="AX28" s="190">
        <v>0</v>
      </c>
      <c r="AY28" s="190">
        <v>45</v>
      </c>
      <c r="AZ28" s="190">
        <v>530</v>
      </c>
      <c r="BA28" s="190">
        <v>575</v>
      </c>
      <c r="BB28" s="190">
        <v>17</v>
      </c>
      <c r="BC28" s="190">
        <v>0</v>
      </c>
      <c r="BD28" s="190">
        <v>0</v>
      </c>
      <c r="BE28" s="190">
        <v>345</v>
      </c>
      <c r="BF28" s="190">
        <v>1</v>
      </c>
      <c r="BG28" s="190">
        <v>1</v>
      </c>
      <c r="BH28" s="190">
        <v>17</v>
      </c>
      <c r="BI28" s="190">
        <v>347</v>
      </c>
      <c r="BJ28" s="190">
        <v>364</v>
      </c>
      <c r="BK28" s="190">
        <v>2</v>
      </c>
      <c r="BL28" s="190">
        <v>-2</v>
      </c>
      <c r="BM28" s="190">
        <v>0</v>
      </c>
      <c r="BN28" s="190">
        <v>5</v>
      </c>
      <c r="BO28" s="190">
        <v>9</v>
      </c>
      <c r="BP28" s="190">
        <v>14</v>
      </c>
      <c r="BQ28" s="190">
        <v>11</v>
      </c>
      <c r="BR28" s="190">
        <v>79</v>
      </c>
      <c r="BS28" s="190">
        <v>90</v>
      </c>
      <c r="BT28" s="190">
        <v>10</v>
      </c>
      <c r="BU28" s="190">
        <v>97</v>
      </c>
      <c r="BV28" s="190">
        <v>107</v>
      </c>
      <c r="BW28" s="190">
        <v>533</v>
      </c>
      <c r="BX28" s="190">
        <v>5897</v>
      </c>
      <c r="BY28" s="190">
        <v>6430</v>
      </c>
      <c r="BZ28" s="190">
        <v>530</v>
      </c>
      <c r="CA28" s="190">
        <v>5843</v>
      </c>
      <c r="CB28" s="190">
        <v>6373</v>
      </c>
      <c r="CC28" s="190">
        <v>11865</v>
      </c>
      <c r="CD28" s="190">
        <v>2</v>
      </c>
      <c r="CE28" s="190">
        <v>48</v>
      </c>
      <c r="CF28" s="190">
        <v>3</v>
      </c>
      <c r="CG28" s="190">
        <v>41</v>
      </c>
      <c r="CH28" s="190">
        <v>44</v>
      </c>
      <c r="CI28" s="190">
        <v>14</v>
      </c>
      <c r="CJ28" s="190">
        <v>1</v>
      </c>
      <c r="CK28" s="190">
        <v>0</v>
      </c>
      <c r="CL28" s="190">
        <v>13</v>
      </c>
      <c r="CM28" s="190">
        <v>13</v>
      </c>
      <c r="CN28" s="190">
        <v>35</v>
      </c>
      <c r="CO28" s="190">
        <v>591</v>
      </c>
      <c r="CP28" s="190">
        <v>626</v>
      </c>
      <c r="CQ28" s="190">
        <v>0</v>
      </c>
      <c r="CR28" s="190">
        <v>0</v>
      </c>
      <c r="CS28" s="190">
        <v>0</v>
      </c>
      <c r="CT28" s="190">
        <v>498</v>
      </c>
      <c r="CU28" s="190">
        <v>5306</v>
      </c>
      <c r="CV28" s="190">
        <v>5804</v>
      </c>
      <c r="CW28" s="190">
        <v>21</v>
      </c>
      <c r="CX28" s="190">
        <v>186</v>
      </c>
      <c r="CY28" s="190">
        <v>207</v>
      </c>
      <c r="CZ28" s="190">
        <v>20</v>
      </c>
      <c r="DA28" s="190">
        <v>1</v>
      </c>
      <c r="DB28" s="190">
        <v>0</v>
      </c>
      <c r="DC28" s="190">
        <v>181</v>
      </c>
      <c r="DD28" s="190">
        <v>2</v>
      </c>
      <c r="DE28" s="190">
        <v>0</v>
      </c>
      <c r="DF28" s="190">
        <v>21</v>
      </c>
      <c r="DG28" s="190">
        <v>183</v>
      </c>
      <c r="DH28" s="190">
        <v>204</v>
      </c>
      <c r="DI28" s="190">
        <v>0</v>
      </c>
      <c r="DJ28" s="190">
        <v>0</v>
      </c>
      <c r="DK28" s="190">
        <v>0</v>
      </c>
      <c r="DL28" s="190">
        <v>3</v>
      </c>
      <c r="DM28" s="190">
        <v>0</v>
      </c>
      <c r="DN28" s="190">
        <v>0</v>
      </c>
      <c r="DO28" s="190">
        <v>0</v>
      </c>
      <c r="DP28" s="190">
        <v>3</v>
      </c>
      <c r="DQ28" s="190">
        <v>3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1613</v>
      </c>
      <c r="C29" s="190">
        <v>289</v>
      </c>
      <c r="D29" s="190">
        <v>1429</v>
      </c>
      <c r="E29" s="190">
        <v>885</v>
      </c>
      <c r="F29" s="190">
        <v>1</v>
      </c>
      <c r="G29" s="190">
        <v>6</v>
      </c>
      <c r="H29" s="190">
        <v>7</v>
      </c>
      <c r="I29" s="190">
        <v>0</v>
      </c>
      <c r="J29" s="190">
        <v>431</v>
      </c>
      <c r="K29" s="190">
        <v>431</v>
      </c>
      <c r="L29" s="190">
        <v>0</v>
      </c>
      <c r="M29" s="190">
        <v>166</v>
      </c>
      <c r="N29" s="190">
        <v>166</v>
      </c>
      <c r="O29" s="190">
        <v>0</v>
      </c>
      <c r="P29" s="190">
        <v>265</v>
      </c>
      <c r="Q29" s="190">
        <v>265</v>
      </c>
      <c r="R29" s="190">
        <v>0</v>
      </c>
      <c r="S29" s="190">
        <v>6</v>
      </c>
      <c r="T29" s="190">
        <v>6</v>
      </c>
      <c r="U29" s="190">
        <v>0</v>
      </c>
      <c r="V29" s="190">
        <v>113</v>
      </c>
      <c r="W29" s="190">
        <v>113</v>
      </c>
      <c r="X29" s="190">
        <v>41</v>
      </c>
      <c r="Y29" s="190">
        <v>1388</v>
      </c>
      <c r="Z29" s="190">
        <v>1429</v>
      </c>
      <c r="AA29" s="190">
        <v>30</v>
      </c>
      <c r="AB29" s="190">
        <v>593</v>
      </c>
      <c r="AC29" s="190">
        <v>623</v>
      </c>
      <c r="AD29" s="190">
        <v>29</v>
      </c>
      <c r="AE29" s="190">
        <v>584</v>
      </c>
      <c r="AF29" s="190">
        <v>613</v>
      </c>
      <c r="AG29" s="190">
        <v>1</v>
      </c>
      <c r="AH29" s="190">
        <v>6</v>
      </c>
      <c r="AI29" s="190">
        <v>7</v>
      </c>
      <c r="AJ29" s="190">
        <v>0</v>
      </c>
      <c r="AK29" s="190">
        <v>3</v>
      </c>
      <c r="AL29" s="190">
        <v>3</v>
      </c>
      <c r="AM29" s="190">
        <v>11</v>
      </c>
      <c r="AN29" s="190">
        <v>795</v>
      </c>
      <c r="AO29" s="190">
        <v>806</v>
      </c>
      <c r="AP29" s="190">
        <v>3407</v>
      </c>
      <c r="AQ29" s="190">
        <v>18902</v>
      </c>
      <c r="AR29" s="190">
        <v>22309</v>
      </c>
      <c r="AS29" s="190">
        <v>3407</v>
      </c>
      <c r="AT29" s="190">
        <v>18902</v>
      </c>
      <c r="AU29" s="190">
        <v>22309</v>
      </c>
      <c r="AV29" s="190">
        <v>0</v>
      </c>
      <c r="AW29" s="190">
        <v>0</v>
      </c>
      <c r="AX29" s="190">
        <v>0</v>
      </c>
      <c r="AY29" s="190">
        <v>136</v>
      </c>
      <c r="AZ29" s="190">
        <v>1579</v>
      </c>
      <c r="BA29" s="190">
        <v>1715</v>
      </c>
      <c r="BB29" s="190">
        <v>47</v>
      </c>
      <c r="BC29" s="190">
        <v>0</v>
      </c>
      <c r="BD29" s="190">
        <v>0</v>
      </c>
      <c r="BE29" s="190">
        <v>836</v>
      </c>
      <c r="BF29" s="190">
        <v>2</v>
      </c>
      <c r="BG29" s="190">
        <v>0</v>
      </c>
      <c r="BH29" s="190">
        <v>47</v>
      </c>
      <c r="BI29" s="190">
        <v>838</v>
      </c>
      <c r="BJ29" s="190">
        <v>885</v>
      </c>
      <c r="BK29" s="190">
        <v>-19</v>
      </c>
      <c r="BL29" s="190">
        <v>19</v>
      </c>
      <c r="BM29" s="190">
        <v>0</v>
      </c>
      <c r="BN29" s="190">
        <v>19</v>
      </c>
      <c r="BO29" s="190">
        <v>66</v>
      </c>
      <c r="BP29" s="190">
        <v>85</v>
      </c>
      <c r="BQ29" s="190">
        <v>27</v>
      </c>
      <c r="BR29" s="190">
        <v>227</v>
      </c>
      <c r="BS29" s="190">
        <v>254</v>
      </c>
      <c r="BT29" s="190">
        <v>62</v>
      </c>
      <c r="BU29" s="190">
        <v>429</v>
      </c>
      <c r="BV29" s="190">
        <v>491</v>
      </c>
      <c r="BW29" s="190">
        <v>3543</v>
      </c>
      <c r="BX29" s="190">
        <v>20481</v>
      </c>
      <c r="BY29" s="190">
        <v>24024</v>
      </c>
      <c r="BZ29" s="190">
        <v>3520</v>
      </c>
      <c r="CA29" s="190">
        <v>20389</v>
      </c>
      <c r="CB29" s="190">
        <v>23909</v>
      </c>
      <c r="CC29" s="190">
        <v>55276</v>
      </c>
      <c r="CD29" s="190">
        <v>3</v>
      </c>
      <c r="CE29" s="190">
        <v>105</v>
      </c>
      <c r="CF29" s="190">
        <v>22</v>
      </c>
      <c r="CG29" s="190">
        <v>77</v>
      </c>
      <c r="CH29" s="190">
        <v>99</v>
      </c>
      <c r="CI29" s="190">
        <v>12</v>
      </c>
      <c r="CJ29" s="190">
        <v>4</v>
      </c>
      <c r="CK29" s="190">
        <v>1</v>
      </c>
      <c r="CL29" s="190">
        <v>15</v>
      </c>
      <c r="CM29" s="190">
        <v>16</v>
      </c>
      <c r="CN29" s="190">
        <v>145</v>
      </c>
      <c r="CO29" s="190">
        <v>1712</v>
      </c>
      <c r="CP29" s="190">
        <v>1857</v>
      </c>
      <c r="CQ29" s="190">
        <v>0</v>
      </c>
      <c r="CR29" s="190">
        <v>24</v>
      </c>
      <c r="CS29" s="190">
        <v>24</v>
      </c>
      <c r="CT29" s="190">
        <v>3398</v>
      </c>
      <c r="CU29" s="190">
        <v>18769</v>
      </c>
      <c r="CV29" s="190">
        <v>22167</v>
      </c>
      <c r="CW29" s="190">
        <v>246</v>
      </c>
      <c r="CX29" s="190">
        <v>949</v>
      </c>
      <c r="CY29" s="190">
        <v>1195</v>
      </c>
      <c r="CZ29" s="190">
        <v>243</v>
      </c>
      <c r="DA29" s="190">
        <v>2</v>
      </c>
      <c r="DB29" s="190">
        <v>0</v>
      </c>
      <c r="DC29" s="190">
        <v>934</v>
      </c>
      <c r="DD29" s="190">
        <v>3</v>
      </c>
      <c r="DE29" s="190">
        <v>0</v>
      </c>
      <c r="DF29" s="190">
        <v>245</v>
      </c>
      <c r="DG29" s="190">
        <v>937</v>
      </c>
      <c r="DH29" s="190">
        <v>1182</v>
      </c>
      <c r="DI29" s="190">
        <v>1</v>
      </c>
      <c r="DJ29" s="190">
        <v>0</v>
      </c>
      <c r="DK29" s="190">
        <v>0</v>
      </c>
      <c r="DL29" s="190">
        <v>11</v>
      </c>
      <c r="DM29" s="190">
        <v>1</v>
      </c>
      <c r="DN29" s="190">
        <v>0</v>
      </c>
      <c r="DO29" s="190">
        <v>1</v>
      </c>
      <c r="DP29" s="190">
        <v>12</v>
      </c>
      <c r="DQ29" s="190">
        <v>13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36</v>
      </c>
      <c r="C30" s="190">
        <v>3</v>
      </c>
      <c r="D30" s="190">
        <v>31</v>
      </c>
      <c r="E30" s="190">
        <v>23</v>
      </c>
      <c r="F30" s="190">
        <v>0</v>
      </c>
      <c r="G30" s="190">
        <v>0</v>
      </c>
      <c r="H30" s="190">
        <v>0</v>
      </c>
      <c r="I30" s="190">
        <v>0</v>
      </c>
      <c r="J30" s="190">
        <v>7</v>
      </c>
      <c r="K30" s="190">
        <v>7</v>
      </c>
      <c r="L30" s="190">
        <v>0</v>
      </c>
      <c r="M30" s="190">
        <v>3</v>
      </c>
      <c r="N30" s="190">
        <v>3</v>
      </c>
      <c r="O30" s="190">
        <v>0</v>
      </c>
      <c r="P30" s="190">
        <v>4</v>
      </c>
      <c r="Q30" s="190">
        <v>4</v>
      </c>
      <c r="R30" s="190">
        <v>0</v>
      </c>
      <c r="S30" s="190">
        <v>0</v>
      </c>
      <c r="T30" s="190">
        <v>0</v>
      </c>
      <c r="U30" s="190">
        <v>0</v>
      </c>
      <c r="V30" s="190">
        <v>1</v>
      </c>
      <c r="W30" s="190">
        <v>1</v>
      </c>
      <c r="X30" s="190">
        <v>0</v>
      </c>
      <c r="Y30" s="190">
        <v>31</v>
      </c>
      <c r="Z30" s="190">
        <v>31</v>
      </c>
      <c r="AA30" s="190">
        <v>0</v>
      </c>
      <c r="AB30" s="190">
        <v>18</v>
      </c>
      <c r="AC30" s="190">
        <v>18</v>
      </c>
      <c r="AD30" s="190">
        <v>0</v>
      </c>
      <c r="AE30" s="190">
        <v>18</v>
      </c>
      <c r="AF30" s="190">
        <v>18</v>
      </c>
      <c r="AG30" s="190">
        <v>0</v>
      </c>
      <c r="AH30" s="190">
        <v>0</v>
      </c>
      <c r="AI30" s="190">
        <v>0</v>
      </c>
      <c r="AJ30" s="190">
        <v>0</v>
      </c>
      <c r="AK30" s="190">
        <v>0</v>
      </c>
      <c r="AL30" s="190">
        <v>0</v>
      </c>
      <c r="AM30" s="190">
        <v>0</v>
      </c>
      <c r="AN30" s="190">
        <v>13</v>
      </c>
      <c r="AO30" s="190">
        <v>13</v>
      </c>
      <c r="AP30" s="190">
        <v>78</v>
      </c>
      <c r="AQ30" s="190">
        <v>424</v>
      </c>
      <c r="AR30" s="190">
        <v>502</v>
      </c>
      <c r="AS30" s="190">
        <v>78</v>
      </c>
      <c r="AT30" s="190">
        <v>424</v>
      </c>
      <c r="AU30" s="190">
        <v>502</v>
      </c>
      <c r="AV30" s="190">
        <v>0</v>
      </c>
      <c r="AW30" s="190">
        <v>0</v>
      </c>
      <c r="AX30" s="190">
        <v>0</v>
      </c>
      <c r="AY30" s="190">
        <v>-1</v>
      </c>
      <c r="AZ30" s="190">
        <v>46</v>
      </c>
      <c r="BA30" s="190">
        <v>45</v>
      </c>
      <c r="BB30" s="190">
        <v>0</v>
      </c>
      <c r="BC30" s="190">
        <v>0</v>
      </c>
      <c r="BD30" s="190">
        <v>0</v>
      </c>
      <c r="BE30" s="190">
        <v>23</v>
      </c>
      <c r="BF30" s="190">
        <v>0</v>
      </c>
      <c r="BG30" s="190">
        <v>0</v>
      </c>
      <c r="BH30" s="190">
        <v>0</v>
      </c>
      <c r="BI30" s="190">
        <v>23</v>
      </c>
      <c r="BJ30" s="190">
        <v>23</v>
      </c>
      <c r="BK30" s="190">
        <v>-2</v>
      </c>
      <c r="BL30" s="190">
        <v>2</v>
      </c>
      <c r="BM30" s="190">
        <v>0</v>
      </c>
      <c r="BN30" s="190">
        <v>0</v>
      </c>
      <c r="BO30" s="190">
        <v>1</v>
      </c>
      <c r="BP30" s="190">
        <v>1</v>
      </c>
      <c r="BQ30" s="190">
        <v>0</v>
      </c>
      <c r="BR30" s="190">
        <v>6</v>
      </c>
      <c r="BS30" s="190">
        <v>6</v>
      </c>
      <c r="BT30" s="190">
        <v>1</v>
      </c>
      <c r="BU30" s="190">
        <v>14</v>
      </c>
      <c r="BV30" s="190">
        <v>15</v>
      </c>
      <c r="BW30" s="190">
        <v>77</v>
      </c>
      <c r="BX30" s="190">
        <v>470</v>
      </c>
      <c r="BY30" s="190">
        <v>547</v>
      </c>
      <c r="BZ30" s="190">
        <v>76</v>
      </c>
      <c r="CA30" s="190">
        <v>469</v>
      </c>
      <c r="CB30" s="190">
        <v>545</v>
      </c>
      <c r="CC30" s="190">
        <v>1150</v>
      </c>
      <c r="CD30" s="190">
        <v>0</v>
      </c>
      <c r="CE30" s="190">
        <v>1</v>
      </c>
      <c r="CF30" s="190">
        <v>1</v>
      </c>
      <c r="CG30" s="190">
        <v>0</v>
      </c>
      <c r="CH30" s="190">
        <v>1</v>
      </c>
      <c r="CI30" s="190">
        <v>2</v>
      </c>
      <c r="CJ30" s="190">
        <v>0</v>
      </c>
      <c r="CK30" s="190">
        <v>0</v>
      </c>
      <c r="CL30" s="190">
        <v>1</v>
      </c>
      <c r="CM30" s="190">
        <v>1</v>
      </c>
      <c r="CN30" s="190">
        <v>10</v>
      </c>
      <c r="CO30" s="190">
        <v>46</v>
      </c>
      <c r="CP30" s="190">
        <v>56</v>
      </c>
      <c r="CQ30" s="190">
        <v>0</v>
      </c>
      <c r="CR30" s="190">
        <v>0</v>
      </c>
      <c r="CS30" s="190">
        <v>0</v>
      </c>
      <c r="CT30" s="190">
        <v>67</v>
      </c>
      <c r="CU30" s="190">
        <v>424</v>
      </c>
      <c r="CV30" s="190">
        <v>491</v>
      </c>
      <c r="CW30" s="190">
        <v>4</v>
      </c>
      <c r="CX30" s="190">
        <v>19</v>
      </c>
      <c r="CY30" s="190">
        <v>23</v>
      </c>
      <c r="CZ30" s="190">
        <v>4</v>
      </c>
      <c r="DA30" s="190">
        <v>0</v>
      </c>
      <c r="DB30" s="190">
        <v>0</v>
      </c>
      <c r="DC30" s="190">
        <v>18</v>
      </c>
      <c r="DD30" s="190">
        <v>0</v>
      </c>
      <c r="DE30" s="190">
        <v>0</v>
      </c>
      <c r="DF30" s="190">
        <v>4</v>
      </c>
      <c r="DG30" s="190">
        <v>18</v>
      </c>
      <c r="DH30" s="190">
        <v>22</v>
      </c>
      <c r="DI30" s="190">
        <v>0</v>
      </c>
      <c r="DJ30" s="190">
        <v>0</v>
      </c>
      <c r="DK30" s="190">
        <v>0</v>
      </c>
      <c r="DL30" s="190">
        <v>1</v>
      </c>
      <c r="DM30" s="190">
        <v>0</v>
      </c>
      <c r="DN30" s="190">
        <v>0</v>
      </c>
      <c r="DO30" s="190">
        <v>0</v>
      </c>
      <c r="DP30" s="190">
        <v>1</v>
      </c>
      <c r="DQ30" s="190">
        <v>1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56</v>
      </c>
      <c r="C31" s="190">
        <v>17</v>
      </c>
      <c r="D31" s="190">
        <v>58</v>
      </c>
      <c r="E31" s="190">
        <v>47</v>
      </c>
      <c r="F31" s="190">
        <v>0</v>
      </c>
      <c r="G31" s="190">
        <v>1</v>
      </c>
      <c r="H31" s="190">
        <v>1</v>
      </c>
      <c r="I31" s="190">
        <v>0</v>
      </c>
      <c r="J31" s="190">
        <v>9</v>
      </c>
      <c r="K31" s="190">
        <v>9</v>
      </c>
      <c r="L31" s="190">
        <v>0</v>
      </c>
      <c r="M31" s="190">
        <v>2</v>
      </c>
      <c r="N31" s="190">
        <v>2</v>
      </c>
      <c r="O31" s="190">
        <v>0</v>
      </c>
      <c r="P31" s="190">
        <v>7</v>
      </c>
      <c r="Q31" s="190">
        <v>7</v>
      </c>
      <c r="R31" s="190">
        <v>0</v>
      </c>
      <c r="S31" s="190">
        <v>0</v>
      </c>
      <c r="T31" s="190">
        <v>0</v>
      </c>
      <c r="U31" s="190">
        <v>0</v>
      </c>
      <c r="V31" s="190">
        <v>2</v>
      </c>
      <c r="W31" s="190">
        <v>2</v>
      </c>
      <c r="X31" s="190">
        <v>0</v>
      </c>
      <c r="Y31" s="190">
        <v>58</v>
      </c>
      <c r="Z31" s="190">
        <v>58</v>
      </c>
      <c r="AA31" s="190">
        <v>0</v>
      </c>
      <c r="AB31" s="190">
        <v>31</v>
      </c>
      <c r="AC31" s="190">
        <v>31</v>
      </c>
      <c r="AD31" s="190">
        <v>0</v>
      </c>
      <c r="AE31" s="190">
        <v>30</v>
      </c>
      <c r="AF31" s="190">
        <v>30</v>
      </c>
      <c r="AG31" s="190">
        <v>0</v>
      </c>
      <c r="AH31" s="190">
        <v>1</v>
      </c>
      <c r="AI31" s="190">
        <v>1</v>
      </c>
      <c r="AJ31" s="190">
        <v>0</v>
      </c>
      <c r="AK31" s="190">
        <v>0</v>
      </c>
      <c r="AL31" s="190">
        <v>0</v>
      </c>
      <c r="AM31" s="190">
        <v>0</v>
      </c>
      <c r="AN31" s="190">
        <v>27</v>
      </c>
      <c r="AO31" s="190">
        <v>27</v>
      </c>
      <c r="AP31" s="190">
        <v>7</v>
      </c>
      <c r="AQ31" s="190">
        <v>342</v>
      </c>
      <c r="AR31" s="190">
        <v>349</v>
      </c>
      <c r="AS31" s="190">
        <v>7</v>
      </c>
      <c r="AT31" s="190">
        <v>342</v>
      </c>
      <c r="AU31" s="190">
        <v>349</v>
      </c>
      <c r="AV31" s="190">
        <v>0</v>
      </c>
      <c r="AW31" s="190">
        <v>0</v>
      </c>
      <c r="AX31" s="190">
        <v>0</v>
      </c>
      <c r="AY31" s="190">
        <v>2</v>
      </c>
      <c r="AZ31" s="190">
        <v>58</v>
      </c>
      <c r="BA31" s="190">
        <v>60</v>
      </c>
      <c r="BB31" s="190">
        <v>0</v>
      </c>
      <c r="BC31" s="190">
        <v>0</v>
      </c>
      <c r="BD31" s="190">
        <v>0</v>
      </c>
      <c r="BE31" s="190">
        <v>47</v>
      </c>
      <c r="BF31" s="190">
        <v>0</v>
      </c>
      <c r="BG31" s="190">
        <v>0</v>
      </c>
      <c r="BH31" s="190">
        <v>0</v>
      </c>
      <c r="BI31" s="190">
        <v>47</v>
      </c>
      <c r="BJ31" s="190">
        <v>47</v>
      </c>
      <c r="BK31" s="190">
        <v>2</v>
      </c>
      <c r="BL31" s="190">
        <v>-2</v>
      </c>
      <c r="BM31" s="190">
        <v>0</v>
      </c>
      <c r="BN31" s="190">
        <v>0</v>
      </c>
      <c r="BO31" s="190">
        <v>1</v>
      </c>
      <c r="BP31" s="190">
        <v>1</v>
      </c>
      <c r="BQ31" s="190">
        <v>0</v>
      </c>
      <c r="BR31" s="190">
        <v>3</v>
      </c>
      <c r="BS31" s="190">
        <v>3</v>
      </c>
      <c r="BT31" s="190">
        <v>0</v>
      </c>
      <c r="BU31" s="190">
        <v>9</v>
      </c>
      <c r="BV31" s="190">
        <v>9</v>
      </c>
      <c r="BW31" s="190">
        <v>9</v>
      </c>
      <c r="BX31" s="190">
        <v>400</v>
      </c>
      <c r="BY31" s="190">
        <v>409</v>
      </c>
      <c r="BZ31" s="190">
        <v>9</v>
      </c>
      <c r="CA31" s="190">
        <v>397</v>
      </c>
      <c r="CB31" s="190">
        <v>406</v>
      </c>
      <c r="CC31" s="190">
        <v>690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1</v>
      </c>
      <c r="CO31" s="190">
        <v>34</v>
      </c>
      <c r="CP31" s="190">
        <v>35</v>
      </c>
      <c r="CQ31" s="190">
        <v>0</v>
      </c>
      <c r="CR31" s="190">
        <v>0</v>
      </c>
      <c r="CS31" s="190">
        <v>0</v>
      </c>
      <c r="CT31" s="190">
        <v>8</v>
      </c>
      <c r="CU31" s="190">
        <v>366</v>
      </c>
      <c r="CV31" s="190">
        <v>374</v>
      </c>
      <c r="CW31" s="190">
        <v>1</v>
      </c>
      <c r="CX31" s="190">
        <v>15</v>
      </c>
      <c r="CY31" s="190">
        <v>16</v>
      </c>
      <c r="CZ31" s="190">
        <v>1</v>
      </c>
      <c r="DA31" s="190">
        <v>0</v>
      </c>
      <c r="DB31" s="190">
        <v>0</v>
      </c>
      <c r="DC31" s="190">
        <v>15</v>
      </c>
      <c r="DD31" s="190">
        <v>0</v>
      </c>
      <c r="DE31" s="190">
        <v>0</v>
      </c>
      <c r="DF31" s="190">
        <v>1</v>
      </c>
      <c r="DG31" s="190">
        <v>15</v>
      </c>
      <c r="DH31" s="190">
        <v>16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1482</v>
      </c>
      <c r="C32" s="190">
        <v>390</v>
      </c>
      <c r="D32" s="190">
        <v>1377</v>
      </c>
      <c r="E32" s="190">
        <v>860</v>
      </c>
      <c r="F32" s="190">
        <v>1</v>
      </c>
      <c r="G32" s="190">
        <v>2</v>
      </c>
      <c r="H32" s="190">
        <v>3</v>
      </c>
      <c r="I32" s="190">
        <v>3</v>
      </c>
      <c r="J32" s="190">
        <v>464</v>
      </c>
      <c r="K32" s="190">
        <v>467</v>
      </c>
      <c r="L32" s="190">
        <v>3</v>
      </c>
      <c r="M32" s="190">
        <v>306</v>
      </c>
      <c r="N32" s="190">
        <v>309</v>
      </c>
      <c r="O32" s="190">
        <v>0</v>
      </c>
      <c r="P32" s="190">
        <v>158</v>
      </c>
      <c r="Q32" s="190">
        <v>158</v>
      </c>
      <c r="R32" s="190">
        <v>0</v>
      </c>
      <c r="S32" s="190">
        <v>4</v>
      </c>
      <c r="T32" s="190">
        <v>4</v>
      </c>
      <c r="U32" s="190">
        <v>0</v>
      </c>
      <c r="V32" s="190">
        <v>50</v>
      </c>
      <c r="W32" s="190">
        <v>50</v>
      </c>
      <c r="X32" s="190">
        <v>26</v>
      </c>
      <c r="Y32" s="190">
        <v>1351</v>
      </c>
      <c r="Z32" s="190">
        <v>1377</v>
      </c>
      <c r="AA32" s="190">
        <v>16</v>
      </c>
      <c r="AB32" s="190">
        <v>481</v>
      </c>
      <c r="AC32" s="190">
        <v>497</v>
      </c>
      <c r="AD32" s="190">
        <v>16</v>
      </c>
      <c r="AE32" s="190">
        <v>458</v>
      </c>
      <c r="AF32" s="190">
        <v>474</v>
      </c>
      <c r="AG32" s="190">
        <v>0</v>
      </c>
      <c r="AH32" s="190">
        <v>8</v>
      </c>
      <c r="AI32" s="190">
        <v>8</v>
      </c>
      <c r="AJ32" s="190">
        <v>0</v>
      </c>
      <c r="AK32" s="190">
        <v>15</v>
      </c>
      <c r="AL32" s="190">
        <v>15</v>
      </c>
      <c r="AM32" s="190">
        <v>10</v>
      </c>
      <c r="AN32" s="190">
        <v>870</v>
      </c>
      <c r="AO32" s="190">
        <v>880</v>
      </c>
      <c r="AP32" s="190">
        <v>2610</v>
      </c>
      <c r="AQ32" s="190">
        <v>17078</v>
      </c>
      <c r="AR32" s="190">
        <v>19688</v>
      </c>
      <c r="AS32" s="190">
        <v>2610</v>
      </c>
      <c r="AT32" s="190">
        <v>17078</v>
      </c>
      <c r="AU32" s="190">
        <v>19688</v>
      </c>
      <c r="AV32" s="190">
        <v>0</v>
      </c>
      <c r="AW32" s="190">
        <v>0</v>
      </c>
      <c r="AX32" s="190">
        <v>0</v>
      </c>
      <c r="AY32" s="190">
        <v>-252</v>
      </c>
      <c r="AZ32" s="190">
        <v>1947</v>
      </c>
      <c r="BA32" s="190">
        <v>1695</v>
      </c>
      <c r="BB32" s="190">
        <v>28</v>
      </c>
      <c r="BC32" s="190">
        <v>0</v>
      </c>
      <c r="BD32" s="190">
        <v>0</v>
      </c>
      <c r="BE32" s="190">
        <v>823</v>
      </c>
      <c r="BF32" s="190">
        <v>5</v>
      </c>
      <c r="BG32" s="190">
        <v>4</v>
      </c>
      <c r="BH32" s="190">
        <v>28</v>
      </c>
      <c r="BI32" s="190">
        <v>832</v>
      </c>
      <c r="BJ32" s="190">
        <v>860</v>
      </c>
      <c r="BK32" s="190">
        <v>-391</v>
      </c>
      <c r="BL32" s="190">
        <v>391</v>
      </c>
      <c r="BM32" s="190">
        <v>0</v>
      </c>
      <c r="BN32" s="190">
        <v>3</v>
      </c>
      <c r="BO32" s="190">
        <v>31</v>
      </c>
      <c r="BP32" s="190">
        <v>34</v>
      </c>
      <c r="BQ32" s="190">
        <v>29</v>
      </c>
      <c r="BR32" s="190">
        <v>221</v>
      </c>
      <c r="BS32" s="190">
        <v>250</v>
      </c>
      <c r="BT32" s="190">
        <v>79</v>
      </c>
      <c r="BU32" s="190">
        <v>472</v>
      </c>
      <c r="BV32" s="190">
        <v>551</v>
      </c>
      <c r="BW32" s="190">
        <v>2358</v>
      </c>
      <c r="BX32" s="190">
        <v>19025</v>
      </c>
      <c r="BY32" s="190">
        <v>21383</v>
      </c>
      <c r="BZ32" s="190">
        <v>2335</v>
      </c>
      <c r="CA32" s="190">
        <v>18799</v>
      </c>
      <c r="CB32" s="190">
        <v>21134</v>
      </c>
      <c r="CC32" s="190">
        <v>46693</v>
      </c>
      <c r="CD32" s="190">
        <v>10</v>
      </c>
      <c r="CE32" s="190">
        <v>229</v>
      </c>
      <c r="CF32" s="190">
        <v>23</v>
      </c>
      <c r="CG32" s="190">
        <v>191</v>
      </c>
      <c r="CH32" s="190">
        <v>214</v>
      </c>
      <c r="CI32" s="190">
        <v>43</v>
      </c>
      <c r="CJ32" s="190">
        <v>8</v>
      </c>
      <c r="CK32" s="190">
        <v>0</v>
      </c>
      <c r="CL32" s="190">
        <v>35</v>
      </c>
      <c r="CM32" s="190">
        <v>35</v>
      </c>
      <c r="CN32" s="190">
        <v>138</v>
      </c>
      <c r="CO32" s="190">
        <v>2263</v>
      </c>
      <c r="CP32" s="190">
        <v>2401</v>
      </c>
      <c r="CQ32" s="190">
        <v>0</v>
      </c>
      <c r="CR32" s="190">
        <v>1</v>
      </c>
      <c r="CS32" s="190">
        <v>1</v>
      </c>
      <c r="CT32" s="190">
        <v>2220</v>
      </c>
      <c r="CU32" s="190">
        <v>16762</v>
      </c>
      <c r="CV32" s="190">
        <v>18982</v>
      </c>
      <c r="CW32" s="190">
        <v>241</v>
      </c>
      <c r="CX32" s="190">
        <v>602</v>
      </c>
      <c r="CY32" s="190">
        <v>843</v>
      </c>
      <c r="CZ32" s="190">
        <v>241</v>
      </c>
      <c r="DA32" s="190">
        <v>0</v>
      </c>
      <c r="DB32" s="190">
        <v>0</v>
      </c>
      <c r="DC32" s="190">
        <v>585</v>
      </c>
      <c r="DD32" s="190">
        <v>9</v>
      </c>
      <c r="DE32" s="190">
        <v>1</v>
      </c>
      <c r="DF32" s="190">
        <v>241</v>
      </c>
      <c r="DG32" s="190">
        <v>595</v>
      </c>
      <c r="DH32" s="190">
        <v>836</v>
      </c>
      <c r="DI32" s="190">
        <v>0</v>
      </c>
      <c r="DJ32" s="190">
        <v>0</v>
      </c>
      <c r="DK32" s="190">
        <v>0</v>
      </c>
      <c r="DL32" s="190">
        <v>7</v>
      </c>
      <c r="DM32" s="190">
        <v>0</v>
      </c>
      <c r="DN32" s="190">
        <v>0</v>
      </c>
      <c r="DO32" s="190">
        <v>0</v>
      </c>
      <c r="DP32" s="190">
        <v>7</v>
      </c>
      <c r="DQ32" s="190">
        <v>7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282</v>
      </c>
      <c r="C33" s="190">
        <v>80</v>
      </c>
      <c r="D33" s="190">
        <v>257</v>
      </c>
      <c r="E33" s="190">
        <v>128</v>
      </c>
      <c r="F33" s="190">
        <v>1</v>
      </c>
      <c r="G33" s="190">
        <v>2</v>
      </c>
      <c r="H33" s="190">
        <v>3</v>
      </c>
      <c r="I33" s="190">
        <v>0</v>
      </c>
      <c r="J33" s="190">
        <v>104</v>
      </c>
      <c r="K33" s="190">
        <v>104</v>
      </c>
      <c r="L33" s="190">
        <v>0</v>
      </c>
      <c r="M33" s="190">
        <v>35</v>
      </c>
      <c r="N33" s="190">
        <v>35</v>
      </c>
      <c r="O33" s="190">
        <v>0</v>
      </c>
      <c r="P33" s="190">
        <v>69</v>
      </c>
      <c r="Q33" s="190">
        <v>69</v>
      </c>
      <c r="R33" s="190">
        <v>0</v>
      </c>
      <c r="S33" s="190">
        <v>2</v>
      </c>
      <c r="T33" s="190">
        <v>2</v>
      </c>
      <c r="U33" s="190">
        <v>0</v>
      </c>
      <c r="V33" s="190">
        <v>25</v>
      </c>
      <c r="W33" s="190">
        <v>25</v>
      </c>
      <c r="X33" s="190">
        <v>9</v>
      </c>
      <c r="Y33" s="190">
        <v>248</v>
      </c>
      <c r="Z33" s="190">
        <v>257</v>
      </c>
      <c r="AA33" s="190">
        <v>3</v>
      </c>
      <c r="AB33" s="190">
        <v>88</v>
      </c>
      <c r="AC33" s="190">
        <v>91</v>
      </c>
      <c r="AD33" s="190">
        <v>3</v>
      </c>
      <c r="AE33" s="190">
        <v>84</v>
      </c>
      <c r="AF33" s="190">
        <v>87</v>
      </c>
      <c r="AG33" s="190">
        <v>0</v>
      </c>
      <c r="AH33" s="190">
        <v>2</v>
      </c>
      <c r="AI33" s="190">
        <v>2</v>
      </c>
      <c r="AJ33" s="190">
        <v>0</v>
      </c>
      <c r="AK33" s="190">
        <v>2</v>
      </c>
      <c r="AL33" s="190">
        <v>2</v>
      </c>
      <c r="AM33" s="190">
        <v>6</v>
      </c>
      <c r="AN33" s="190">
        <v>160</v>
      </c>
      <c r="AO33" s="190">
        <v>166</v>
      </c>
      <c r="AP33" s="190">
        <v>281</v>
      </c>
      <c r="AQ33" s="190">
        <v>2727</v>
      </c>
      <c r="AR33" s="190">
        <v>3008</v>
      </c>
      <c r="AS33" s="190">
        <v>281</v>
      </c>
      <c r="AT33" s="190">
        <v>2727</v>
      </c>
      <c r="AU33" s="190">
        <v>3008</v>
      </c>
      <c r="AV33" s="190">
        <v>0</v>
      </c>
      <c r="AW33" s="190">
        <v>0</v>
      </c>
      <c r="AX33" s="190">
        <v>0</v>
      </c>
      <c r="AY33" s="190">
        <v>7</v>
      </c>
      <c r="AZ33" s="190">
        <v>254</v>
      </c>
      <c r="BA33" s="190">
        <v>261</v>
      </c>
      <c r="BB33" s="190">
        <v>8</v>
      </c>
      <c r="BC33" s="190">
        <v>1</v>
      </c>
      <c r="BD33" s="190">
        <v>0</v>
      </c>
      <c r="BE33" s="190">
        <v>119</v>
      </c>
      <c r="BF33" s="190">
        <v>0</v>
      </c>
      <c r="BG33" s="190">
        <v>0</v>
      </c>
      <c r="BH33" s="190">
        <v>9</v>
      </c>
      <c r="BI33" s="190">
        <v>119</v>
      </c>
      <c r="BJ33" s="190">
        <v>128</v>
      </c>
      <c r="BK33" s="190">
        <v>-8</v>
      </c>
      <c r="BL33" s="190">
        <v>8</v>
      </c>
      <c r="BM33" s="190">
        <v>0</v>
      </c>
      <c r="BN33" s="190">
        <v>1</v>
      </c>
      <c r="BO33" s="190">
        <v>11</v>
      </c>
      <c r="BP33" s="190">
        <v>12</v>
      </c>
      <c r="BQ33" s="190">
        <v>1</v>
      </c>
      <c r="BR33" s="190">
        <v>23</v>
      </c>
      <c r="BS33" s="190">
        <v>24</v>
      </c>
      <c r="BT33" s="190">
        <v>4</v>
      </c>
      <c r="BU33" s="190">
        <v>93</v>
      </c>
      <c r="BV33" s="190">
        <v>97</v>
      </c>
      <c r="BW33" s="190">
        <v>288</v>
      </c>
      <c r="BX33" s="190">
        <v>2981</v>
      </c>
      <c r="BY33" s="190">
        <v>3269</v>
      </c>
      <c r="BZ33" s="190">
        <v>283</v>
      </c>
      <c r="CA33" s="190">
        <v>2924</v>
      </c>
      <c r="CB33" s="190">
        <v>3207</v>
      </c>
      <c r="CC33" s="190">
        <v>6399</v>
      </c>
      <c r="CD33" s="190">
        <v>3</v>
      </c>
      <c r="CE33" s="190">
        <v>61</v>
      </c>
      <c r="CF33" s="190">
        <v>5</v>
      </c>
      <c r="CG33" s="190">
        <v>50</v>
      </c>
      <c r="CH33" s="190">
        <v>55</v>
      </c>
      <c r="CI33" s="190">
        <v>8</v>
      </c>
      <c r="CJ33" s="190">
        <v>0</v>
      </c>
      <c r="CK33" s="190">
        <v>0</v>
      </c>
      <c r="CL33" s="190">
        <v>7</v>
      </c>
      <c r="CM33" s="190">
        <v>7</v>
      </c>
      <c r="CN33" s="190">
        <v>14</v>
      </c>
      <c r="CO33" s="190">
        <v>270</v>
      </c>
      <c r="CP33" s="190">
        <v>284</v>
      </c>
      <c r="CQ33" s="190">
        <v>0</v>
      </c>
      <c r="CR33" s="190">
        <v>0</v>
      </c>
      <c r="CS33" s="190">
        <v>0</v>
      </c>
      <c r="CT33" s="190">
        <v>274</v>
      </c>
      <c r="CU33" s="190">
        <v>2711</v>
      </c>
      <c r="CV33" s="190">
        <v>2985</v>
      </c>
      <c r="CW33" s="190">
        <v>19</v>
      </c>
      <c r="CX33" s="190">
        <v>100</v>
      </c>
      <c r="CY33" s="190">
        <v>119</v>
      </c>
      <c r="CZ33" s="190">
        <v>19</v>
      </c>
      <c r="DA33" s="190">
        <v>0</v>
      </c>
      <c r="DB33" s="190">
        <v>0</v>
      </c>
      <c r="DC33" s="190">
        <v>97</v>
      </c>
      <c r="DD33" s="190">
        <v>2</v>
      </c>
      <c r="DE33" s="190">
        <v>0</v>
      </c>
      <c r="DF33" s="190">
        <v>19</v>
      </c>
      <c r="DG33" s="190">
        <v>99</v>
      </c>
      <c r="DH33" s="190">
        <v>118</v>
      </c>
      <c r="DI33" s="190">
        <v>0</v>
      </c>
      <c r="DJ33" s="190">
        <v>0</v>
      </c>
      <c r="DK33" s="190">
        <v>0</v>
      </c>
      <c r="DL33" s="190">
        <v>1</v>
      </c>
      <c r="DM33" s="190">
        <v>0</v>
      </c>
      <c r="DN33" s="190">
        <v>0</v>
      </c>
      <c r="DO33" s="190">
        <v>0</v>
      </c>
      <c r="DP33" s="190">
        <v>1</v>
      </c>
      <c r="DQ33" s="190">
        <v>1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314</v>
      </c>
      <c r="C34" s="190">
        <v>96</v>
      </c>
      <c r="D34" s="190">
        <v>321</v>
      </c>
      <c r="E34" s="190">
        <v>196</v>
      </c>
      <c r="F34" s="190">
        <v>1</v>
      </c>
      <c r="G34" s="190">
        <v>26</v>
      </c>
      <c r="H34" s="190">
        <v>27</v>
      </c>
      <c r="I34" s="190">
        <v>1</v>
      </c>
      <c r="J34" s="190">
        <v>110</v>
      </c>
      <c r="K34" s="190">
        <v>111</v>
      </c>
      <c r="L34" s="190">
        <v>1</v>
      </c>
      <c r="M34" s="190">
        <v>45</v>
      </c>
      <c r="N34" s="190">
        <v>46</v>
      </c>
      <c r="O34" s="190">
        <v>0</v>
      </c>
      <c r="P34" s="190">
        <v>65</v>
      </c>
      <c r="Q34" s="190">
        <v>65</v>
      </c>
      <c r="R34" s="190">
        <v>0</v>
      </c>
      <c r="S34" s="190">
        <v>10</v>
      </c>
      <c r="T34" s="190">
        <v>10</v>
      </c>
      <c r="U34" s="190">
        <v>0</v>
      </c>
      <c r="V34" s="190">
        <v>14</v>
      </c>
      <c r="W34" s="190">
        <v>14</v>
      </c>
      <c r="X34" s="190">
        <v>6</v>
      </c>
      <c r="Y34" s="190">
        <v>315</v>
      </c>
      <c r="Z34" s="190">
        <v>321</v>
      </c>
      <c r="AA34" s="190">
        <v>4</v>
      </c>
      <c r="AB34" s="190">
        <v>133</v>
      </c>
      <c r="AC34" s="190">
        <v>137</v>
      </c>
      <c r="AD34" s="190">
        <v>3</v>
      </c>
      <c r="AE34" s="190">
        <v>114</v>
      </c>
      <c r="AF34" s="190">
        <v>117</v>
      </c>
      <c r="AG34" s="190">
        <v>0</v>
      </c>
      <c r="AH34" s="190">
        <v>9</v>
      </c>
      <c r="AI34" s="190">
        <v>9</v>
      </c>
      <c r="AJ34" s="190">
        <v>1</v>
      </c>
      <c r="AK34" s="190">
        <v>10</v>
      </c>
      <c r="AL34" s="190">
        <v>11</v>
      </c>
      <c r="AM34" s="190">
        <v>2</v>
      </c>
      <c r="AN34" s="190">
        <v>182</v>
      </c>
      <c r="AO34" s="190">
        <v>184</v>
      </c>
      <c r="AP34" s="190">
        <v>242</v>
      </c>
      <c r="AQ34" s="190">
        <v>3629</v>
      </c>
      <c r="AR34" s="190">
        <v>3871</v>
      </c>
      <c r="AS34" s="190">
        <v>242</v>
      </c>
      <c r="AT34" s="190">
        <v>3629</v>
      </c>
      <c r="AU34" s="190">
        <v>3871</v>
      </c>
      <c r="AV34" s="190">
        <v>0</v>
      </c>
      <c r="AW34" s="190">
        <v>0</v>
      </c>
      <c r="AX34" s="190">
        <v>0</v>
      </c>
      <c r="AY34" s="190">
        <v>13</v>
      </c>
      <c r="AZ34" s="190">
        <v>337</v>
      </c>
      <c r="BA34" s="190">
        <v>350</v>
      </c>
      <c r="BB34" s="190">
        <v>5</v>
      </c>
      <c r="BC34" s="190">
        <v>0</v>
      </c>
      <c r="BD34" s="190">
        <v>0</v>
      </c>
      <c r="BE34" s="190">
        <v>190</v>
      </c>
      <c r="BF34" s="190">
        <v>1</v>
      </c>
      <c r="BG34" s="190">
        <v>0</v>
      </c>
      <c r="BH34" s="190">
        <v>5</v>
      </c>
      <c r="BI34" s="190">
        <v>191</v>
      </c>
      <c r="BJ34" s="190">
        <v>196</v>
      </c>
      <c r="BK34" s="190">
        <v>-3</v>
      </c>
      <c r="BL34" s="190">
        <v>3</v>
      </c>
      <c r="BM34" s="190">
        <v>0</v>
      </c>
      <c r="BN34" s="190">
        <v>0</v>
      </c>
      <c r="BO34" s="190">
        <v>8</v>
      </c>
      <c r="BP34" s="190">
        <v>8</v>
      </c>
      <c r="BQ34" s="190">
        <v>2</v>
      </c>
      <c r="BR34" s="190">
        <v>54</v>
      </c>
      <c r="BS34" s="190">
        <v>56</v>
      </c>
      <c r="BT34" s="190">
        <v>9</v>
      </c>
      <c r="BU34" s="190">
        <v>81</v>
      </c>
      <c r="BV34" s="190">
        <v>90</v>
      </c>
      <c r="BW34" s="190">
        <v>255</v>
      </c>
      <c r="BX34" s="190">
        <v>3966</v>
      </c>
      <c r="BY34" s="190">
        <v>4221</v>
      </c>
      <c r="BZ34" s="190">
        <v>254</v>
      </c>
      <c r="CA34" s="190">
        <v>3954</v>
      </c>
      <c r="CB34" s="190">
        <v>4208</v>
      </c>
      <c r="CC34" s="190">
        <v>7217</v>
      </c>
      <c r="CD34" s="190">
        <v>3</v>
      </c>
      <c r="CE34" s="190">
        <v>9</v>
      </c>
      <c r="CF34" s="190">
        <v>1</v>
      </c>
      <c r="CG34" s="190">
        <v>11</v>
      </c>
      <c r="CH34" s="190">
        <v>12</v>
      </c>
      <c r="CI34" s="190">
        <v>1</v>
      </c>
      <c r="CJ34" s="190">
        <v>0</v>
      </c>
      <c r="CK34" s="190">
        <v>0</v>
      </c>
      <c r="CL34" s="190">
        <v>1</v>
      </c>
      <c r="CM34" s="190">
        <v>1</v>
      </c>
      <c r="CN34" s="190">
        <v>13</v>
      </c>
      <c r="CO34" s="190">
        <v>365</v>
      </c>
      <c r="CP34" s="190">
        <v>378</v>
      </c>
      <c r="CQ34" s="190">
        <v>0</v>
      </c>
      <c r="CR34" s="190">
        <v>2</v>
      </c>
      <c r="CS34" s="190">
        <v>2</v>
      </c>
      <c r="CT34" s="190">
        <v>242</v>
      </c>
      <c r="CU34" s="190">
        <v>3601</v>
      </c>
      <c r="CV34" s="190">
        <v>3843</v>
      </c>
      <c r="CW34" s="190">
        <v>13</v>
      </c>
      <c r="CX34" s="190">
        <v>120</v>
      </c>
      <c r="CY34" s="190">
        <v>133</v>
      </c>
      <c r="CZ34" s="190">
        <v>13</v>
      </c>
      <c r="DA34" s="190">
        <v>0</v>
      </c>
      <c r="DB34" s="190">
        <v>0</v>
      </c>
      <c r="DC34" s="190">
        <v>119</v>
      </c>
      <c r="DD34" s="190">
        <v>0</v>
      </c>
      <c r="DE34" s="190">
        <v>0</v>
      </c>
      <c r="DF34" s="190">
        <v>13</v>
      </c>
      <c r="DG34" s="190">
        <v>119</v>
      </c>
      <c r="DH34" s="190">
        <v>132</v>
      </c>
      <c r="DI34" s="190">
        <v>0</v>
      </c>
      <c r="DJ34" s="190">
        <v>0</v>
      </c>
      <c r="DK34" s="190">
        <v>0</v>
      </c>
      <c r="DL34" s="190">
        <v>1</v>
      </c>
      <c r="DM34" s="190">
        <v>0</v>
      </c>
      <c r="DN34" s="190">
        <v>0</v>
      </c>
      <c r="DO34" s="190">
        <v>0</v>
      </c>
      <c r="DP34" s="190">
        <v>1</v>
      </c>
      <c r="DQ34" s="190">
        <v>1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7310</v>
      </c>
      <c r="C35" s="190">
        <v>1767</v>
      </c>
      <c r="D35" s="190">
        <v>7049</v>
      </c>
      <c r="E35" s="190">
        <v>5011</v>
      </c>
      <c r="F35" s="190">
        <v>3</v>
      </c>
      <c r="G35" s="190">
        <v>8</v>
      </c>
      <c r="H35" s="190">
        <v>11</v>
      </c>
      <c r="I35" s="190">
        <v>95</v>
      </c>
      <c r="J35" s="190">
        <v>1651</v>
      </c>
      <c r="K35" s="190">
        <v>1746</v>
      </c>
      <c r="L35" s="190">
        <v>50</v>
      </c>
      <c r="M35" s="190">
        <v>850</v>
      </c>
      <c r="N35" s="190">
        <v>900</v>
      </c>
      <c r="O35" s="190">
        <v>45</v>
      </c>
      <c r="P35" s="190">
        <v>801</v>
      </c>
      <c r="Q35" s="190">
        <v>846</v>
      </c>
      <c r="R35" s="190">
        <v>20</v>
      </c>
      <c r="S35" s="190">
        <v>76</v>
      </c>
      <c r="T35" s="190">
        <v>96</v>
      </c>
      <c r="U35" s="190">
        <v>56</v>
      </c>
      <c r="V35" s="190">
        <v>236</v>
      </c>
      <c r="W35" s="190">
        <v>292</v>
      </c>
      <c r="X35" s="190">
        <v>162</v>
      </c>
      <c r="Y35" s="190">
        <v>6092</v>
      </c>
      <c r="Z35" s="190">
        <v>6254</v>
      </c>
      <c r="AA35" s="190">
        <v>106</v>
      </c>
      <c r="AB35" s="190">
        <v>2518</v>
      </c>
      <c r="AC35" s="190">
        <v>2624</v>
      </c>
      <c r="AD35" s="190">
        <v>105</v>
      </c>
      <c r="AE35" s="190">
        <v>2514</v>
      </c>
      <c r="AF35" s="190">
        <v>2619</v>
      </c>
      <c r="AG35" s="190">
        <v>1</v>
      </c>
      <c r="AH35" s="190">
        <v>4</v>
      </c>
      <c r="AI35" s="190">
        <v>5</v>
      </c>
      <c r="AJ35" s="190">
        <v>0</v>
      </c>
      <c r="AK35" s="190">
        <v>0</v>
      </c>
      <c r="AL35" s="190">
        <v>0</v>
      </c>
      <c r="AM35" s="190">
        <v>56</v>
      </c>
      <c r="AN35" s="190">
        <v>3574</v>
      </c>
      <c r="AO35" s="190">
        <v>3630</v>
      </c>
      <c r="AP35" s="190">
        <v>9347</v>
      </c>
      <c r="AQ35" s="190">
        <v>97993</v>
      </c>
      <c r="AR35" s="190">
        <v>107340</v>
      </c>
      <c r="AS35" s="190">
        <v>9284</v>
      </c>
      <c r="AT35" s="190">
        <v>98155</v>
      </c>
      <c r="AU35" s="190">
        <v>107439</v>
      </c>
      <c r="AV35" s="190">
        <v>63</v>
      </c>
      <c r="AW35" s="190">
        <v>-162</v>
      </c>
      <c r="AX35" s="190">
        <v>-99</v>
      </c>
      <c r="AY35" s="190">
        <v>358</v>
      </c>
      <c r="AZ35" s="190">
        <v>8869</v>
      </c>
      <c r="BA35" s="190">
        <v>9227</v>
      </c>
      <c r="BB35" s="190">
        <v>285</v>
      </c>
      <c r="BC35" s="190">
        <v>5</v>
      </c>
      <c r="BD35" s="190">
        <v>0</v>
      </c>
      <c r="BE35" s="190">
        <v>4578</v>
      </c>
      <c r="BF35" s="190">
        <v>73</v>
      </c>
      <c r="BG35" s="190">
        <v>70</v>
      </c>
      <c r="BH35" s="190">
        <v>290</v>
      </c>
      <c r="BI35" s="190">
        <v>4721</v>
      </c>
      <c r="BJ35" s="190">
        <v>5011</v>
      </c>
      <c r="BK35" s="190">
        <v>-258</v>
      </c>
      <c r="BL35" s="190">
        <v>258</v>
      </c>
      <c r="BM35" s="190">
        <v>0</v>
      </c>
      <c r="BN35" s="190">
        <v>9</v>
      </c>
      <c r="BO35" s="190">
        <v>103</v>
      </c>
      <c r="BP35" s="190">
        <v>112</v>
      </c>
      <c r="BQ35" s="190">
        <v>47</v>
      </c>
      <c r="BR35" s="190">
        <v>921</v>
      </c>
      <c r="BS35" s="190">
        <v>968</v>
      </c>
      <c r="BT35" s="190">
        <v>270</v>
      </c>
      <c r="BU35" s="190">
        <v>2866</v>
      </c>
      <c r="BV35" s="190">
        <v>3136</v>
      </c>
      <c r="BW35" s="190">
        <v>9705</v>
      </c>
      <c r="BX35" s="190">
        <v>106862</v>
      </c>
      <c r="BY35" s="190">
        <v>116567</v>
      </c>
      <c r="BZ35" s="190">
        <v>9522</v>
      </c>
      <c r="CA35" s="190">
        <v>103702</v>
      </c>
      <c r="CB35" s="190">
        <v>113224</v>
      </c>
      <c r="CC35" s="190">
        <v>236497</v>
      </c>
      <c r="CD35" s="190">
        <v>261</v>
      </c>
      <c r="CE35" s="190">
        <v>2923</v>
      </c>
      <c r="CF35" s="190">
        <v>179</v>
      </c>
      <c r="CG35" s="190">
        <v>2033</v>
      </c>
      <c r="CH35" s="190">
        <v>2212</v>
      </c>
      <c r="CI35" s="190">
        <v>1533</v>
      </c>
      <c r="CJ35" s="190">
        <v>13</v>
      </c>
      <c r="CK35" s="190">
        <v>4</v>
      </c>
      <c r="CL35" s="190">
        <v>1127</v>
      </c>
      <c r="CM35" s="190">
        <v>1131</v>
      </c>
      <c r="CN35" s="190">
        <v>479</v>
      </c>
      <c r="CO35" s="190">
        <v>9496</v>
      </c>
      <c r="CP35" s="190">
        <v>9975</v>
      </c>
      <c r="CQ35" s="190">
        <v>0</v>
      </c>
      <c r="CR35" s="190">
        <v>0</v>
      </c>
      <c r="CS35" s="190">
        <v>0</v>
      </c>
      <c r="CT35" s="190">
        <v>9226</v>
      </c>
      <c r="CU35" s="190">
        <v>97366</v>
      </c>
      <c r="CV35" s="190">
        <v>106592</v>
      </c>
      <c r="CW35" s="190">
        <v>723</v>
      </c>
      <c r="CX35" s="190">
        <v>6471</v>
      </c>
      <c r="CY35" s="190">
        <v>7194</v>
      </c>
      <c r="CZ35" s="190">
        <v>694</v>
      </c>
      <c r="DA35" s="190">
        <v>14</v>
      </c>
      <c r="DB35" s="190">
        <v>0</v>
      </c>
      <c r="DC35" s="190">
        <v>5203</v>
      </c>
      <c r="DD35" s="190">
        <v>115</v>
      </c>
      <c r="DE35" s="190">
        <v>29</v>
      </c>
      <c r="DF35" s="190">
        <v>708</v>
      </c>
      <c r="DG35" s="190">
        <v>5347</v>
      </c>
      <c r="DH35" s="190">
        <v>6055</v>
      </c>
      <c r="DI35" s="190">
        <v>14</v>
      </c>
      <c r="DJ35" s="190">
        <v>1</v>
      </c>
      <c r="DK35" s="190">
        <v>0</v>
      </c>
      <c r="DL35" s="190">
        <v>1077</v>
      </c>
      <c r="DM35" s="190">
        <v>32</v>
      </c>
      <c r="DN35" s="190">
        <v>15</v>
      </c>
      <c r="DO35" s="190">
        <v>15</v>
      </c>
      <c r="DP35" s="190">
        <v>1124</v>
      </c>
      <c r="DQ35" s="190">
        <v>1139</v>
      </c>
      <c r="DR35" s="190">
        <v>0</v>
      </c>
      <c r="DS35" s="190">
        <v>0</v>
      </c>
      <c r="DT35" s="191">
        <v>0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652</v>
      </c>
      <c r="C36" s="190">
        <v>269</v>
      </c>
      <c r="D36" s="190">
        <v>586</v>
      </c>
      <c r="E36" s="190">
        <v>291</v>
      </c>
      <c r="F36" s="190">
        <v>0</v>
      </c>
      <c r="G36" s="190">
        <v>0</v>
      </c>
      <c r="H36" s="190">
        <v>0</v>
      </c>
      <c r="I36" s="190">
        <v>0</v>
      </c>
      <c r="J36" s="190">
        <v>263</v>
      </c>
      <c r="K36" s="190">
        <v>263</v>
      </c>
      <c r="L36" s="190">
        <v>0</v>
      </c>
      <c r="M36" s="190">
        <v>63</v>
      </c>
      <c r="N36" s="190">
        <v>63</v>
      </c>
      <c r="O36" s="190">
        <v>0</v>
      </c>
      <c r="P36" s="190">
        <v>200</v>
      </c>
      <c r="Q36" s="190">
        <v>200</v>
      </c>
      <c r="R36" s="190">
        <v>0</v>
      </c>
      <c r="S36" s="190">
        <v>13</v>
      </c>
      <c r="T36" s="190">
        <v>13</v>
      </c>
      <c r="U36" s="190">
        <v>0</v>
      </c>
      <c r="V36" s="190">
        <v>32</v>
      </c>
      <c r="W36" s="190">
        <v>32</v>
      </c>
      <c r="X36" s="190">
        <v>5</v>
      </c>
      <c r="Y36" s="190">
        <v>436</v>
      </c>
      <c r="Z36" s="190">
        <v>441</v>
      </c>
      <c r="AA36" s="190">
        <v>2</v>
      </c>
      <c r="AB36" s="190">
        <v>197</v>
      </c>
      <c r="AC36" s="190">
        <v>199</v>
      </c>
      <c r="AD36" s="190">
        <v>2</v>
      </c>
      <c r="AE36" s="190">
        <v>179</v>
      </c>
      <c r="AF36" s="190">
        <v>181</v>
      </c>
      <c r="AG36" s="190">
        <v>0</v>
      </c>
      <c r="AH36" s="190">
        <v>7</v>
      </c>
      <c r="AI36" s="190">
        <v>7</v>
      </c>
      <c r="AJ36" s="190">
        <v>0</v>
      </c>
      <c r="AK36" s="190">
        <v>11</v>
      </c>
      <c r="AL36" s="190">
        <v>11</v>
      </c>
      <c r="AM36" s="190">
        <v>3</v>
      </c>
      <c r="AN36" s="190">
        <v>239</v>
      </c>
      <c r="AO36" s="190">
        <v>242</v>
      </c>
      <c r="AP36" s="190">
        <v>590</v>
      </c>
      <c r="AQ36" s="190">
        <v>7590</v>
      </c>
      <c r="AR36" s="190">
        <v>8180</v>
      </c>
      <c r="AS36" s="190">
        <v>585</v>
      </c>
      <c r="AT36" s="190">
        <v>7356</v>
      </c>
      <c r="AU36" s="190">
        <v>7941</v>
      </c>
      <c r="AV36" s="190">
        <v>5</v>
      </c>
      <c r="AW36" s="190">
        <v>234</v>
      </c>
      <c r="AX36" s="190">
        <v>239</v>
      </c>
      <c r="AY36" s="190">
        <v>38</v>
      </c>
      <c r="AZ36" s="190">
        <v>572</v>
      </c>
      <c r="BA36" s="190">
        <v>610</v>
      </c>
      <c r="BB36" s="190">
        <v>12</v>
      </c>
      <c r="BC36" s="190">
        <v>0</v>
      </c>
      <c r="BD36" s="190">
        <v>0</v>
      </c>
      <c r="BE36" s="190">
        <v>276</v>
      </c>
      <c r="BF36" s="190">
        <v>1</v>
      </c>
      <c r="BG36" s="190">
        <v>2</v>
      </c>
      <c r="BH36" s="190">
        <v>12</v>
      </c>
      <c r="BI36" s="190">
        <v>279</v>
      </c>
      <c r="BJ36" s="190">
        <v>291</v>
      </c>
      <c r="BK36" s="190">
        <v>-15</v>
      </c>
      <c r="BL36" s="190">
        <v>15</v>
      </c>
      <c r="BM36" s="190">
        <v>0</v>
      </c>
      <c r="BN36" s="190">
        <v>7</v>
      </c>
      <c r="BO36" s="190">
        <v>26</v>
      </c>
      <c r="BP36" s="190">
        <v>33</v>
      </c>
      <c r="BQ36" s="190">
        <v>10</v>
      </c>
      <c r="BR36" s="190">
        <v>84</v>
      </c>
      <c r="BS36" s="190">
        <v>94</v>
      </c>
      <c r="BT36" s="190">
        <v>24</v>
      </c>
      <c r="BU36" s="190">
        <v>168</v>
      </c>
      <c r="BV36" s="190">
        <v>192</v>
      </c>
      <c r="BW36" s="190">
        <v>628</v>
      </c>
      <c r="BX36" s="190">
        <v>8162</v>
      </c>
      <c r="BY36" s="190">
        <v>8790</v>
      </c>
      <c r="BZ36" s="190">
        <v>616</v>
      </c>
      <c r="CA36" s="190">
        <v>8091</v>
      </c>
      <c r="CB36" s="190">
        <v>8707</v>
      </c>
      <c r="CC36" s="190">
        <v>15960</v>
      </c>
      <c r="CD36" s="190">
        <v>0</v>
      </c>
      <c r="CE36" s="190">
        <v>62</v>
      </c>
      <c r="CF36" s="190">
        <v>11</v>
      </c>
      <c r="CG36" s="190">
        <v>35</v>
      </c>
      <c r="CH36" s="190">
        <v>46</v>
      </c>
      <c r="CI36" s="190">
        <v>49</v>
      </c>
      <c r="CJ36" s="190">
        <v>7</v>
      </c>
      <c r="CK36" s="190">
        <v>1</v>
      </c>
      <c r="CL36" s="190">
        <v>36</v>
      </c>
      <c r="CM36" s="190">
        <v>37</v>
      </c>
      <c r="CN36" s="190">
        <v>46</v>
      </c>
      <c r="CO36" s="190">
        <v>782</v>
      </c>
      <c r="CP36" s="190">
        <v>828</v>
      </c>
      <c r="CQ36" s="190">
        <v>0</v>
      </c>
      <c r="CR36" s="190">
        <v>0</v>
      </c>
      <c r="CS36" s="190">
        <v>0</v>
      </c>
      <c r="CT36" s="190">
        <v>582</v>
      </c>
      <c r="CU36" s="190">
        <v>7380</v>
      </c>
      <c r="CV36" s="190">
        <v>7962</v>
      </c>
      <c r="CW36" s="190">
        <v>34</v>
      </c>
      <c r="CX36" s="190">
        <v>251</v>
      </c>
      <c r="CY36" s="190">
        <v>285</v>
      </c>
      <c r="CZ36" s="190">
        <v>33</v>
      </c>
      <c r="DA36" s="190">
        <v>0</v>
      </c>
      <c r="DB36" s="190">
        <v>0</v>
      </c>
      <c r="DC36" s="190">
        <v>244</v>
      </c>
      <c r="DD36" s="190">
        <v>1</v>
      </c>
      <c r="DE36" s="190">
        <v>0</v>
      </c>
      <c r="DF36" s="190">
        <v>33</v>
      </c>
      <c r="DG36" s="190">
        <v>245</v>
      </c>
      <c r="DH36" s="190">
        <v>278</v>
      </c>
      <c r="DI36" s="190">
        <v>1</v>
      </c>
      <c r="DJ36" s="190">
        <v>0</v>
      </c>
      <c r="DK36" s="190">
        <v>0</v>
      </c>
      <c r="DL36" s="190">
        <v>6</v>
      </c>
      <c r="DM36" s="190">
        <v>0</v>
      </c>
      <c r="DN36" s="190">
        <v>0</v>
      </c>
      <c r="DO36" s="190">
        <v>1</v>
      </c>
      <c r="DP36" s="190">
        <v>6</v>
      </c>
      <c r="DQ36" s="190">
        <v>7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72</v>
      </c>
      <c r="C37" s="190">
        <v>12</v>
      </c>
      <c r="D37" s="190">
        <v>71</v>
      </c>
      <c r="E37" s="190">
        <v>42</v>
      </c>
      <c r="F37" s="190">
        <v>0</v>
      </c>
      <c r="G37" s="190">
        <v>3</v>
      </c>
      <c r="H37" s="190">
        <v>3</v>
      </c>
      <c r="I37" s="190">
        <v>0</v>
      </c>
      <c r="J37" s="190">
        <v>25</v>
      </c>
      <c r="K37" s="190">
        <v>25</v>
      </c>
      <c r="L37" s="190">
        <v>0</v>
      </c>
      <c r="M37" s="190">
        <v>9</v>
      </c>
      <c r="N37" s="190">
        <v>9</v>
      </c>
      <c r="O37" s="190">
        <v>0</v>
      </c>
      <c r="P37" s="190">
        <v>16</v>
      </c>
      <c r="Q37" s="190">
        <v>16</v>
      </c>
      <c r="R37" s="190">
        <v>0</v>
      </c>
      <c r="S37" s="190">
        <v>0</v>
      </c>
      <c r="T37" s="190">
        <v>0</v>
      </c>
      <c r="U37" s="190">
        <v>0</v>
      </c>
      <c r="V37" s="190">
        <v>4</v>
      </c>
      <c r="W37" s="190">
        <v>4</v>
      </c>
      <c r="X37" s="190">
        <v>2</v>
      </c>
      <c r="Y37" s="190">
        <v>69</v>
      </c>
      <c r="Z37" s="190">
        <v>71</v>
      </c>
      <c r="AA37" s="190">
        <v>2</v>
      </c>
      <c r="AB37" s="190">
        <v>24</v>
      </c>
      <c r="AC37" s="190">
        <v>26</v>
      </c>
      <c r="AD37" s="190">
        <v>2</v>
      </c>
      <c r="AE37" s="190">
        <v>21</v>
      </c>
      <c r="AF37" s="190">
        <v>23</v>
      </c>
      <c r="AG37" s="190">
        <v>0</v>
      </c>
      <c r="AH37" s="190">
        <v>3</v>
      </c>
      <c r="AI37" s="190">
        <v>3</v>
      </c>
      <c r="AJ37" s="190">
        <v>0</v>
      </c>
      <c r="AK37" s="190">
        <v>0</v>
      </c>
      <c r="AL37" s="190">
        <v>0</v>
      </c>
      <c r="AM37" s="190">
        <v>0</v>
      </c>
      <c r="AN37" s="190">
        <v>45</v>
      </c>
      <c r="AO37" s="190">
        <v>45</v>
      </c>
      <c r="AP37" s="190">
        <v>83</v>
      </c>
      <c r="AQ37" s="190">
        <v>988</v>
      </c>
      <c r="AR37" s="190">
        <v>1071</v>
      </c>
      <c r="AS37" s="190">
        <v>83</v>
      </c>
      <c r="AT37" s="190">
        <v>988</v>
      </c>
      <c r="AU37" s="190">
        <v>1071</v>
      </c>
      <c r="AV37" s="190">
        <v>0</v>
      </c>
      <c r="AW37" s="190">
        <v>0</v>
      </c>
      <c r="AX37" s="190">
        <v>0</v>
      </c>
      <c r="AY37" s="190">
        <v>-3</v>
      </c>
      <c r="AZ37" s="190">
        <v>83</v>
      </c>
      <c r="BA37" s="190">
        <v>80</v>
      </c>
      <c r="BB37" s="190">
        <v>2</v>
      </c>
      <c r="BC37" s="190">
        <v>0</v>
      </c>
      <c r="BD37" s="190">
        <v>0</v>
      </c>
      <c r="BE37" s="190">
        <v>40</v>
      </c>
      <c r="BF37" s="190">
        <v>0</v>
      </c>
      <c r="BG37" s="190">
        <v>0</v>
      </c>
      <c r="BH37" s="190">
        <v>2</v>
      </c>
      <c r="BI37" s="190">
        <v>40</v>
      </c>
      <c r="BJ37" s="190">
        <v>42</v>
      </c>
      <c r="BK37" s="190">
        <v>-6</v>
      </c>
      <c r="BL37" s="190">
        <v>6</v>
      </c>
      <c r="BM37" s="190">
        <v>0</v>
      </c>
      <c r="BN37" s="190">
        <v>0</v>
      </c>
      <c r="BO37" s="190">
        <v>5</v>
      </c>
      <c r="BP37" s="190">
        <v>5</v>
      </c>
      <c r="BQ37" s="190">
        <v>0</v>
      </c>
      <c r="BR37" s="190">
        <v>14</v>
      </c>
      <c r="BS37" s="190">
        <v>14</v>
      </c>
      <c r="BT37" s="190">
        <v>1</v>
      </c>
      <c r="BU37" s="190">
        <v>18</v>
      </c>
      <c r="BV37" s="190">
        <v>19</v>
      </c>
      <c r="BW37" s="190">
        <v>80</v>
      </c>
      <c r="BX37" s="190">
        <v>1071</v>
      </c>
      <c r="BY37" s="190">
        <v>1151</v>
      </c>
      <c r="BZ37" s="190">
        <v>80</v>
      </c>
      <c r="CA37" s="190">
        <v>1070</v>
      </c>
      <c r="CB37" s="190">
        <v>1150</v>
      </c>
      <c r="CC37" s="190">
        <v>2068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3</v>
      </c>
      <c r="CO37" s="190">
        <v>87</v>
      </c>
      <c r="CP37" s="190">
        <v>90</v>
      </c>
      <c r="CQ37" s="190">
        <v>0</v>
      </c>
      <c r="CR37" s="190">
        <v>0</v>
      </c>
      <c r="CS37" s="190">
        <v>0</v>
      </c>
      <c r="CT37" s="190">
        <v>77</v>
      </c>
      <c r="CU37" s="190">
        <v>984</v>
      </c>
      <c r="CV37" s="190">
        <v>1061</v>
      </c>
      <c r="CW37" s="190">
        <v>9</v>
      </c>
      <c r="CX37" s="190">
        <v>39</v>
      </c>
      <c r="CY37" s="190">
        <v>48</v>
      </c>
      <c r="CZ37" s="190">
        <v>9</v>
      </c>
      <c r="DA37" s="190">
        <v>0</v>
      </c>
      <c r="DB37" s="190">
        <v>0</v>
      </c>
      <c r="DC37" s="190">
        <v>37</v>
      </c>
      <c r="DD37" s="190">
        <v>0</v>
      </c>
      <c r="DE37" s="190">
        <v>0</v>
      </c>
      <c r="DF37" s="190">
        <v>9</v>
      </c>
      <c r="DG37" s="190">
        <v>37</v>
      </c>
      <c r="DH37" s="190">
        <v>46</v>
      </c>
      <c r="DI37" s="190">
        <v>0</v>
      </c>
      <c r="DJ37" s="190">
        <v>0</v>
      </c>
      <c r="DK37" s="190">
        <v>0</v>
      </c>
      <c r="DL37" s="190">
        <v>2</v>
      </c>
      <c r="DM37" s="190">
        <v>0</v>
      </c>
      <c r="DN37" s="190">
        <v>0</v>
      </c>
      <c r="DO37" s="190">
        <v>0</v>
      </c>
      <c r="DP37" s="190">
        <v>2</v>
      </c>
      <c r="DQ37" s="190">
        <v>2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10753</v>
      </c>
      <c r="C38" s="190">
        <v>2969</v>
      </c>
      <c r="D38" s="190">
        <v>10132</v>
      </c>
      <c r="E38" s="190">
        <v>5912</v>
      </c>
      <c r="F38" s="190">
        <v>2</v>
      </c>
      <c r="G38" s="190">
        <v>21</v>
      </c>
      <c r="H38" s="190">
        <v>23</v>
      </c>
      <c r="I38" s="190">
        <v>5</v>
      </c>
      <c r="J38" s="190">
        <v>3887</v>
      </c>
      <c r="K38" s="190">
        <v>3892</v>
      </c>
      <c r="L38" s="190">
        <v>5</v>
      </c>
      <c r="M38" s="190">
        <v>1480</v>
      </c>
      <c r="N38" s="190">
        <v>1485</v>
      </c>
      <c r="O38" s="190">
        <v>0</v>
      </c>
      <c r="P38" s="190">
        <v>2407</v>
      </c>
      <c r="Q38" s="190">
        <v>2407</v>
      </c>
      <c r="R38" s="190">
        <v>0</v>
      </c>
      <c r="S38" s="190">
        <v>18</v>
      </c>
      <c r="T38" s="190">
        <v>18</v>
      </c>
      <c r="U38" s="190">
        <v>0</v>
      </c>
      <c r="V38" s="190">
        <v>328</v>
      </c>
      <c r="W38" s="190">
        <v>328</v>
      </c>
      <c r="X38" s="190">
        <v>297</v>
      </c>
      <c r="Y38" s="190">
        <v>9833</v>
      </c>
      <c r="Z38" s="190">
        <v>10130</v>
      </c>
      <c r="AA38" s="190">
        <v>212</v>
      </c>
      <c r="AB38" s="190">
        <v>4025</v>
      </c>
      <c r="AC38" s="190">
        <v>4237</v>
      </c>
      <c r="AD38" s="190">
        <v>209</v>
      </c>
      <c r="AE38" s="190">
        <v>3734</v>
      </c>
      <c r="AF38" s="190">
        <v>3943</v>
      </c>
      <c r="AG38" s="190">
        <v>3</v>
      </c>
      <c r="AH38" s="190">
        <v>176</v>
      </c>
      <c r="AI38" s="190">
        <v>179</v>
      </c>
      <c r="AJ38" s="190">
        <v>0</v>
      </c>
      <c r="AK38" s="190">
        <v>115</v>
      </c>
      <c r="AL38" s="190">
        <v>115</v>
      </c>
      <c r="AM38" s="190">
        <v>85</v>
      </c>
      <c r="AN38" s="190">
        <v>5808</v>
      </c>
      <c r="AO38" s="190">
        <v>5893</v>
      </c>
      <c r="AP38" s="190">
        <v>13736</v>
      </c>
      <c r="AQ38" s="190">
        <v>100432</v>
      </c>
      <c r="AR38" s="190">
        <v>114168</v>
      </c>
      <c r="AS38" s="190">
        <v>13738</v>
      </c>
      <c r="AT38" s="190">
        <v>100435</v>
      </c>
      <c r="AU38" s="190">
        <v>114173</v>
      </c>
      <c r="AV38" s="190">
        <v>-2</v>
      </c>
      <c r="AW38" s="190">
        <v>-3</v>
      </c>
      <c r="AX38" s="190">
        <v>-5</v>
      </c>
      <c r="AY38" s="190">
        <v>670</v>
      </c>
      <c r="AZ38" s="190">
        <v>9292</v>
      </c>
      <c r="BA38" s="190">
        <v>9962</v>
      </c>
      <c r="BB38" s="190">
        <v>337</v>
      </c>
      <c r="BC38" s="190">
        <v>1</v>
      </c>
      <c r="BD38" s="190">
        <v>0</v>
      </c>
      <c r="BE38" s="190">
        <v>5535</v>
      </c>
      <c r="BF38" s="190">
        <v>28</v>
      </c>
      <c r="BG38" s="190">
        <v>11</v>
      </c>
      <c r="BH38" s="190">
        <v>338</v>
      </c>
      <c r="BI38" s="190">
        <v>5574</v>
      </c>
      <c r="BJ38" s="190">
        <v>5912</v>
      </c>
      <c r="BK38" s="190">
        <v>-56</v>
      </c>
      <c r="BL38" s="190">
        <v>56</v>
      </c>
      <c r="BM38" s="190">
        <v>0</v>
      </c>
      <c r="BN38" s="190">
        <v>28</v>
      </c>
      <c r="BO38" s="190">
        <v>239</v>
      </c>
      <c r="BP38" s="190">
        <v>267</v>
      </c>
      <c r="BQ38" s="190">
        <v>82</v>
      </c>
      <c r="BR38" s="190">
        <v>1479</v>
      </c>
      <c r="BS38" s="190">
        <v>1561</v>
      </c>
      <c r="BT38" s="190">
        <v>278</v>
      </c>
      <c r="BU38" s="190">
        <v>1944</v>
      </c>
      <c r="BV38" s="190">
        <v>2222</v>
      </c>
      <c r="BW38" s="190">
        <v>14406</v>
      </c>
      <c r="BX38" s="190">
        <v>109724</v>
      </c>
      <c r="BY38" s="190">
        <v>124130</v>
      </c>
      <c r="BZ38" s="190">
        <v>14301</v>
      </c>
      <c r="CA38" s="190">
        <v>108818</v>
      </c>
      <c r="CB38" s="190">
        <v>123119</v>
      </c>
      <c r="CC38" s="190">
        <v>271843</v>
      </c>
      <c r="CD38" s="190">
        <v>105</v>
      </c>
      <c r="CE38" s="190">
        <v>866</v>
      </c>
      <c r="CF38" s="190">
        <v>101</v>
      </c>
      <c r="CG38" s="190">
        <v>745</v>
      </c>
      <c r="CH38" s="190">
        <v>846</v>
      </c>
      <c r="CI38" s="190">
        <v>198</v>
      </c>
      <c r="CJ38" s="190">
        <v>19</v>
      </c>
      <c r="CK38" s="190">
        <v>4</v>
      </c>
      <c r="CL38" s="190">
        <v>161</v>
      </c>
      <c r="CM38" s="190">
        <v>165</v>
      </c>
      <c r="CN38" s="190">
        <v>727</v>
      </c>
      <c r="CO38" s="190">
        <v>9810</v>
      </c>
      <c r="CP38" s="190">
        <v>10537</v>
      </c>
      <c r="CQ38" s="190">
        <v>0</v>
      </c>
      <c r="CR38" s="190">
        <v>109</v>
      </c>
      <c r="CS38" s="190">
        <v>109</v>
      </c>
      <c r="CT38" s="190">
        <v>13679</v>
      </c>
      <c r="CU38" s="190">
        <v>99914</v>
      </c>
      <c r="CV38" s="190">
        <v>113593</v>
      </c>
      <c r="CW38" s="190">
        <v>1032</v>
      </c>
      <c r="CX38" s="190">
        <v>4744</v>
      </c>
      <c r="CY38" s="190">
        <v>5776</v>
      </c>
      <c r="CZ38" s="190">
        <v>1020</v>
      </c>
      <c r="DA38" s="190">
        <v>9</v>
      </c>
      <c r="DB38" s="190">
        <v>0</v>
      </c>
      <c r="DC38" s="190">
        <v>4662</v>
      </c>
      <c r="DD38" s="190">
        <v>40</v>
      </c>
      <c r="DE38" s="190">
        <v>1</v>
      </c>
      <c r="DF38" s="190">
        <v>1029</v>
      </c>
      <c r="DG38" s="190">
        <v>4703</v>
      </c>
      <c r="DH38" s="190">
        <v>5732</v>
      </c>
      <c r="DI38" s="190">
        <v>3</v>
      </c>
      <c r="DJ38" s="190">
        <v>0</v>
      </c>
      <c r="DK38" s="190">
        <v>0</v>
      </c>
      <c r="DL38" s="190">
        <v>40</v>
      </c>
      <c r="DM38" s="190">
        <v>1</v>
      </c>
      <c r="DN38" s="190">
        <v>0</v>
      </c>
      <c r="DO38" s="190">
        <v>3</v>
      </c>
      <c r="DP38" s="190">
        <v>41</v>
      </c>
      <c r="DQ38" s="190">
        <v>44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8179</v>
      </c>
      <c r="C39" s="190">
        <v>2254</v>
      </c>
      <c r="D39" s="190">
        <v>6561</v>
      </c>
      <c r="E39" s="190">
        <v>4140</v>
      </c>
      <c r="F39" s="190">
        <v>2</v>
      </c>
      <c r="G39" s="190">
        <v>26</v>
      </c>
      <c r="H39" s="190">
        <v>28</v>
      </c>
      <c r="I39" s="190">
        <v>4</v>
      </c>
      <c r="J39" s="190">
        <v>2251</v>
      </c>
      <c r="K39" s="190">
        <v>2255</v>
      </c>
      <c r="L39" s="190">
        <v>3</v>
      </c>
      <c r="M39" s="190">
        <v>768</v>
      </c>
      <c r="N39" s="190">
        <v>771</v>
      </c>
      <c r="O39" s="190">
        <v>1</v>
      </c>
      <c r="P39" s="190">
        <v>1483</v>
      </c>
      <c r="Q39" s="190">
        <v>1484</v>
      </c>
      <c r="R39" s="190">
        <v>0</v>
      </c>
      <c r="S39" s="190">
        <v>81</v>
      </c>
      <c r="T39" s="190">
        <v>81</v>
      </c>
      <c r="U39" s="190">
        <v>0</v>
      </c>
      <c r="V39" s="190">
        <v>166</v>
      </c>
      <c r="W39" s="190">
        <v>166</v>
      </c>
      <c r="X39" s="190">
        <v>306</v>
      </c>
      <c r="Y39" s="190">
        <v>6255</v>
      </c>
      <c r="Z39" s="190">
        <v>6561</v>
      </c>
      <c r="AA39" s="190">
        <v>154</v>
      </c>
      <c r="AB39" s="190">
        <v>1844</v>
      </c>
      <c r="AC39" s="190">
        <v>1998</v>
      </c>
      <c r="AD39" s="190">
        <v>152</v>
      </c>
      <c r="AE39" s="190">
        <v>1833</v>
      </c>
      <c r="AF39" s="190">
        <v>1985</v>
      </c>
      <c r="AG39" s="190">
        <v>1</v>
      </c>
      <c r="AH39" s="190">
        <v>11</v>
      </c>
      <c r="AI39" s="190">
        <v>12</v>
      </c>
      <c r="AJ39" s="190">
        <v>1</v>
      </c>
      <c r="AK39" s="190">
        <v>0</v>
      </c>
      <c r="AL39" s="190">
        <v>1</v>
      </c>
      <c r="AM39" s="190">
        <v>152</v>
      </c>
      <c r="AN39" s="190">
        <v>4411</v>
      </c>
      <c r="AO39" s="190">
        <v>4563</v>
      </c>
      <c r="AP39" s="190">
        <v>13133</v>
      </c>
      <c r="AQ39" s="190">
        <v>77376</v>
      </c>
      <c r="AR39" s="190">
        <v>90509</v>
      </c>
      <c r="AS39" s="190">
        <v>13020</v>
      </c>
      <c r="AT39" s="190">
        <v>77084</v>
      </c>
      <c r="AU39" s="190">
        <v>90104</v>
      </c>
      <c r="AV39" s="190">
        <v>113</v>
      </c>
      <c r="AW39" s="190">
        <v>292</v>
      </c>
      <c r="AX39" s="190">
        <v>405</v>
      </c>
      <c r="AY39" s="190">
        <v>668</v>
      </c>
      <c r="AZ39" s="190">
        <v>8145</v>
      </c>
      <c r="BA39" s="190">
        <v>8813</v>
      </c>
      <c r="BB39" s="190">
        <v>440</v>
      </c>
      <c r="BC39" s="190">
        <v>18</v>
      </c>
      <c r="BD39" s="190">
        <v>0</v>
      </c>
      <c r="BE39" s="190">
        <v>3604</v>
      </c>
      <c r="BF39" s="190">
        <v>34</v>
      </c>
      <c r="BG39" s="190">
        <v>44</v>
      </c>
      <c r="BH39" s="190">
        <v>458</v>
      </c>
      <c r="BI39" s="190">
        <v>3682</v>
      </c>
      <c r="BJ39" s="190">
        <v>4140</v>
      </c>
      <c r="BK39" s="190">
        <v>-415</v>
      </c>
      <c r="BL39" s="190">
        <v>415</v>
      </c>
      <c r="BM39" s="190">
        <v>0</v>
      </c>
      <c r="BN39" s="190">
        <v>20</v>
      </c>
      <c r="BO39" s="190">
        <v>117</v>
      </c>
      <c r="BP39" s="190">
        <v>137</v>
      </c>
      <c r="BQ39" s="190">
        <v>59</v>
      </c>
      <c r="BR39" s="190">
        <v>769</v>
      </c>
      <c r="BS39" s="190">
        <v>828</v>
      </c>
      <c r="BT39" s="190">
        <v>546</v>
      </c>
      <c r="BU39" s="190">
        <v>3162</v>
      </c>
      <c r="BV39" s="190">
        <v>3708</v>
      </c>
      <c r="BW39" s="190">
        <v>13801</v>
      </c>
      <c r="BX39" s="190">
        <v>85521</v>
      </c>
      <c r="BY39" s="190">
        <v>99322</v>
      </c>
      <c r="BZ39" s="190">
        <v>13234</v>
      </c>
      <c r="CA39" s="190">
        <v>83347</v>
      </c>
      <c r="CB39" s="190">
        <v>96581</v>
      </c>
      <c r="CC39" s="190">
        <v>206622</v>
      </c>
      <c r="CD39" s="190">
        <v>117</v>
      </c>
      <c r="CE39" s="190">
        <v>2672</v>
      </c>
      <c r="CF39" s="190">
        <v>560</v>
      </c>
      <c r="CG39" s="190">
        <v>1614</v>
      </c>
      <c r="CH39" s="190">
        <v>2174</v>
      </c>
      <c r="CI39" s="190">
        <v>751</v>
      </c>
      <c r="CJ39" s="190">
        <v>15</v>
      </c>
      <c r="CK39" s="190">
        <v>7</v>
      </c>
      <c r="CL39" s="190">
        <v>560</v>
      </c>
      <c r="CM39" s="190">
        <v>567</v>
      </c>
      <c r="CN39" s="190">
        <v>923</v>
      </c>
      <c r="CO39" s="190">
        <v>8446</v>
      </c>
      <c r="CP39" s="190">
        <v>9369</v>
      </c>
      <c r="CQ39" s="190">
        <v>0</v>
      </c>
      <c r="CR39" s="190">
        <v>0</v>
      </c>
      <c r="CS39" s="190">
        <v>0</v>
      </c>
      <c r="CT39" s="190">
        <v>12878</v>
      </c>
      <c r="CU39" s="190">
        <v>77075</v>
      </c>
      <c r="CV39" s="190">
        <v>89953</v>
      </c>
      <c r="CW39" s="190">
        <v>1039</v>
      </c>
      <c r="CX39" s="190">
        <v>4321</v>
      </c>
      <c r="CY39" s="190">
        <v>5360</v>
      </c>
      <c r="CZ39" s="190">
        <v>954</v>
      </c>
      <c r="DA39" s="190">
        <v>34</v>
      </c>
      <c r="DB39" s="190">
        <v>1</v>
      </c>
      <c r="DC39" s="190">
        <v>3926</v>
      </c>
      <c r="DD39" s="190">
        <v>83</v>
      </c>
      <c r="DE39" s="190">
        <v>13</v>
      </c>
      <c r="DF39" s="190">
        <v>989</v>
      </c>
      <c r="DG39" s="190">
        <v>4022</v>
      </c>
      <c r="DH39" s="190">
        <v>5011</v>
      </c>
      <c r="DI39" s="190">
        <v>47</v>
      </c>
      <c r="DJ39" s="190">
        <v>2</v>
      </c>
      <c r="DK39" s="190">
        <v>1</v>
      </c>
      <c r="DL39" s="190">
        <v>291</v>
      </c>
      <c r="DM39" s="190">
        <v>8</v>
      </c>
      <c r="DN39" s="190">
        <v>0</v>
      </c>
      <c r="DO39" s="190">
        <v>50</v>
      </c>
      <c r="DP39" s="190">
        <v>299</v>
      </c>
      <c r="DQ39" s="190">
        <v>349</v>
      </c>
      <c r="DR39" s="190">
        <v>6</v>
      </c>
      <c r="DS39" s="190">
        <v>22</v>
      </c>
      <c r="DT39" s="191">
        <v>28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147</v>
      </c>
      <c r="C40" s="190">
        <v>33</v>
      </c>
      <c r="D40" s="190">
        <v>126</v>
      </c>
      <c r="E40" s="190">
        <v>78</v>
      </c>
      <c r="F40" s="190">
        <v>0</v>
      </c>
      <c r="G40" s="190">
        <v>2</v>
      </c>
      <c r="H40" s="190">
        <v>2</v>
      </c>
      <c r="I40" s="190">
        <v>0</v>
      </c>
      <c r="J40" s="190">
        <v>40</v>
      </c>
      <c r="K40" s="190">
        <v>40</v>
      </c>
      <c r="L40" s="190">
        <v>0</v>
      </c>
      <c r="M40" s="190">
        <v>7</v>
      </c>
      <c r="N40" s="190">
        <v>7</v>
      </c>
      <c r="O40" s="190">
        <v>0</v>
      </c>
      <c r="P40" s="190">
        <v>33</v>
      </c>
      <c r="Q40" s="190">
        <v>33</v>
      </c>
      <c r="R40" s="190">
        <v>0</v>
      </c>
      <c r="S40" s="190">
        <v>0</v>
      </c>
      <c r="T40" s="190">
        <v>0</v>
      </c>
      <c r="U40" s="190">
        <v>0</v>
      </c>
      <c r="V40" s="190">
        <v>8</v>
      </c>
      <c r="W40" s="190">
        <v>8</v>
      </c>
      <c r="X40" s="190">
        <v>3</v>
      </c>
      <c r="Y40" s="190">
        <v>123</v>
      </c>
      <c r="Z40" s="190">
        <v>126</v>
      </c>
      <c r="AA40" s="190">
        <v>2</v>
      </c>
      <c r="AB40" s="190">
        <v>52</v>
      </c>
      <c r="AC40" s="190">
        <v>54</v>
      </c>
      <c r="AD40" s="190">
        <v>1</v>
      </c>
      <c r="AE40" s="190">
        <v>52</v>
      </c>
      <c r="AF40" s="190">
        <v>53</v>
      </c>
      <c r="AG40" s="190">
        <v>1</v>
      </c>
      <c r="AH40" s="190">
        <v>0</v>
      </c>
      <c r="AI40" s="190">
        <v>1</v>
      </c>
      <c r="AJ40" s="190">
        <v>0</v>
      </c>
      <c r="AK40" s="190">
        <v>0</v>
      </c>
      <c r="AL40" s="190">
        <v>0</v>
      </c>
      <c r="AM40" s="190">
        <v>1</v>
      </c>
      <c r="AN40" s="190">
        <v>71</v>
      </c>
      <c r="AO40" s="190">
        <v>72</v>
      </c>
      <c r="AP40" s="190">
        <v>233</v>
      </c>
      <c r="AQ40" s="190">
        <v>1917</v>
      </c>
      <c r="AR40" s="190">
        <v>2150</v>
      </c>
      <c r="AS40" s="190">
        <v>233</v>
      </c>
      <c r="AT40" s="190">
        <v>1917</v>
      </c>
      <c r="AU40" s="190">
        <v>2150</v>
      </c>
      <c r="AV40" s="190">
        <v>0</v>
      </c>
      <c r="AW40" s="190">
        <v>0</v>
      </c>
      <c r="AX40" s="190">
        <v>0</v>
      </c>
      <c r="AY40" s="190">
        <v>12</v>
      </c>
      <c r="AZ40" s="190">
        <v>124</v>
      </c>
      <c r="BA40" s="190">
        <v>136</v>
      </c>
      <c r="BB40" s="190">
        <v>3</v>
      </c>
      <c r="BC40" s="190">
        <v>0</v>
      </c>
      <c r="BD40" s="190">
        <v>0</v>
      </c>
      <c r="BE40" s="190">
        <v>72</v>
      </c>
      <c r="BF40" s="190">
        <v>2</v>
      </c>
      <c r="BG40" s="190">
        <v>1</v>
      </c>
      <c r="BH40" s="190">
        <v>3</v>
      </c>
      <c r="BI40" s="190">
        <v>75</v>
      </c>
      <c r="BJ40" s="190">
        <v>78</v>
      </c>
      <c r="BK40" s="190">
        <v>3</v>
      </c>
      <c r="BL40" s="190">
        <v>-3</v>
      </c>
      <c r="BM40" s="190">
        <v>0</v>
      </c>
      <c r="BN40" s="190">
        <v>0</v>
      </c>
      <c r="BO40" s="190">
        <v>7</v>
      </c>
      <c r="BP40" s="190">
        <v>7</v>
      </c>
      <c r="BQ40" s="190">
        <v>1</v>
      </c>
      <c r="BR40" s="190">
        <v>17</v>
      </c>
      <c r="BS40" s="190">
        <v>18</v>
      </c>
      <c r="BT40" s="190">
        <v>5</v>
      </c>
      <c r="BU40" s="190">
        <v>28</v>
      </c>
      <c r="BV40" s="190">
        <v>33</v>
      </c>
      <c r="BW40" s="190">
        <v>245</v>
      </c>
      <c r="BX40" s="190">
        <v>2041</v>
      </c>
      <c r="BY40" s="190">
        <v>2286</v>
      </c>
      <c r="BZ40" s="190">
        <v>244</v>
      </c>
      <c r="CA40" s="190">
        <v>2018</v>
      </c>
      <c r="CB40" s="190">
        <v>2262</v>
      </c>
      <c r="CC40" s="190">
        <v>5084</v>
      </c>
      <c r="CD40" s="190">
        <v>4</v>
      </c>
      <c r="CE40" s="190">
        <v>22</v>
      </c>
      <c r="CF40" s="190">
        <v>1</v>
      </c>
      <c r="CG40" s="190">
        <v>22</v>
      </c>
      <c r="CH40" s="190">
        <v>23</v>
      </c>
      <c r="CI40" s="190">
        <v>1</v>
      </c>
      <c r="CJ40" s="190">
        <v>0</v>
      </c>
      <c r="CK40" s="190">
        <v>0</v>
      </c>
      <c r="CL40" s="190">
        <v>1</v>
      </c>
      <c r="CM40" s="190">
        <v>1</v>
      </c>
      <c r="CN40" s="190">
        <v>12</v>
      </c>
      <c r="CO40" s="190">
        <v>208</v>
      </c>
      <c r="CP40" s="190">
        <v>220</v>
      </c>
      <c r="CQ40" s="190">
        <v>0</v>
      </c>
      <c r="CR40" s="190">
        <v>0</v>
      </c>
      <c r="CS40" s="190">
        <v>0</v>
      </c>
      <c r="CT40" s="190">
        <v>233</v>
      </c>
      <c r="CU40" s="190">
        <v>1833</v>
      </c>
      <c r="CV40" s="190">
        <v>2066</v>
      </c>
      <c r="CW40" s="190">
        <v>15</v>
      </c>
      <c r="CX40" s="190">
        <v>57</v>
      </c>
      <c r="CY40" s="190">
        <v>72</v>
      </c>
      <c r="CZ40" s="190">
        <v>15</v>
      </c>
      <c r="DA40" s="190">
        <v>0</v>
      </c>
      <c r="DB40" s="190">
        <v>0</v>
      </c>
      <c r="DC40" s="190">
        <v>52</v>
      </c>
      <c r="DD40" s="190">
        <v>0</v>
      </c>
      <c r="DE40" s="190">
        <v>0</v>
      </c>
      <c r="DF40" s="190">
        <v>15</v>
      </c>
      <c r="DG40" s="190">
        <v>52</v>
      </c>
      <c r="DH40" s="190">
        <v>67</v>
      </c>
      <c r="DI40" s="190">
        <v>0</v>
      </c>
      <c r="DJ40" s="190">
        <v>0</v>
      </c>
      <c r="DK40" s="190">
        <v>0</v>
      </c>
      <c r="DL40" s="190">
        <v>5</v>
      </c>
      <c r="DM40" s="190">
        <v>0</v>
      </c>
      <c r="DN40" s="190">
        <v>0</v>
      </c>
      <c r="DO40" s="190">
        <v>0</v>
      </c>
      <c r="DP40" s="190">
        <v>5</v>
      </c>
      <c r="DQ40" s="190">
        <v>5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12569</v>
      </c>
      <c r="C41" s="190">
        <v>3423</v>
      </c>
      <c r="D41" s="190">
        <v>12106</v>
      </c>
      <c r="E41" s="190">
        <v>8609</v>
      </c>
      <c r="F41" s="190">
        <v>3</v>
      </c>
      <c r="G41" s="190">
        <v>58</v>
      </c>
      <c r="H41" s="190">
        <v>61</v>
      </c>
      <c r="I41" s="190">
        <v>1</v>
      </c>
      <c r="J41" s="190">
        <v>3207</v>
      </c>
      <c r="K41" s="190">
        <v>3208</v>
      </c>
      <c r="L41" s="190">
        <v>1</v>
      </c>
      <c r="M41" s="190">
        <v>1401</v>
      </c>
      <c r="N41" s="190">
        <v>1402</v>
      </c>
      <c r="O41" s="190">
        <v>0</v>
      </c>
      <c r="P41" s="190">
        <v>1806</v>
      </c>
      <c r="Q41" s="190">
        <v>1806</v>
      </c>
      <c r="R41" s="190">
        <v>0</v>
      </c>
      <c r="S41" s="190">
        <v>21</v>
      </c>
      <c r="T41" s="190">
        <v>21</v>
      </c>
      <c r="U41" s="190">
        <v>0</v>
      </c>
      <c r="V41" s="190">
        <v>289</v>
      </c>
      <c r="W41" s="190">
        <v>289</v>
      </c>
      <c r="X41" s="190">
        <v>356</v>
      </c>
      <c r="Y41" s="190">
        <v>11750</v>
      </c>
      <c r="Z41" s="190">
        <v>12106</v>
      </c>
      <c r="AA41" s="190">
        <v>245</v>
      </c>
      <c r="AB41" s="190">
        <v>5678</v>
      </c>
      <c r="AC41" s="190">
        <v>5923</v>
      </c>
      <c r="AD41" s="190">
        <v>218</v>
      </c>
      <c r="AE41" s="190">
        <v>5454</v>
      </c>
      <c r="AF41" s="190">
        <v>5672</v>
      </c>
      <c r="AG41" s="190">
        <v>13</v>
      </c>
      <c r="AH41" s="190">
        <v>128</v>
      </c>
      <c r="AI41" s="190">
        <v>141</v>
      </c>
      <c r="AJ41" s="190">
        <v>14</v>
      </c>
      <c r="AK41" s="190">
        <v>96</v>
      </c>
      <c r="AL41" s="190">
        <v>110</v>
      </c>
      <c r="AM41" s="190">
        <v>111</v>
      </c>
      <c r="AN41" s="190">
        <v>6072</v>
      </c>
      <c r="AO41" s="190">
        <v>6183</v>
      </c>
      <c r="AP41" s="190">
        <v>21959</v>
      </c>
      <c r="AQ41" s="190">
        <v>133841</v>
      </c>
      <c r="AR41" s="190">
        <v>155800</v>
      </c>
      <c r="AS41" s="190">
        <v>21959</v>
      </c>
      <c r="AT41" s="190">
        <v>133841</v>
      </c>
      <c r="AU41" s="190">
        <v>155800</v>
      </c>
      <c r="AV41" s="190">
        <v>0</v>
      </c>
      <c r="AW41" s="190">
        <v>0</v>
      </c>
      <c r="AX41" s="190">
        <v>0</v>
      </c>
      <c r="AY41" s="190">
        <v>1196</v>
      </c>
      <c r="AZ41" s="190">
        <v>12414</v>
      </c>
      <c r="BA41" s="190">
        <v>13610</v>
      </c>
      <c r="BB41" s="190">
        <v>432</v>
      </c>
      <c r="BC41" s="190">
        <v>2</v>
      </c>
      <c r="BD41" s="190">
        <v>1</v>
      </c>
      <c r="BE41" s="190">
        <v>8118</v>
      </c>
      <c r="BF41" s="190">
        <v>41</v>
      </c>
      <c r="BG41" s="190">
        <v>15</v>
      </c>
      <c r="BH41" s="190">
        <v>435</v>
      </c>
      <c r="BI41" s="190">
        <v>8174</v>
      </c>
      <c r="BJ41" s="190">
        <v>8609</v>
      </c>
      <c r="BK41" s="190">
        <v>-1</v>
      </c>
      <c r="BL41" s="190">
        <v>1</v>
      </c>
      <c r="BM41" s="190">
        <v>0</v>
      </c>
      <c r="BN41" s="190">
        <v>59</v>
      </c>
      <c r="BO41" s="190">
        <v>257</v>
      </c>
      <c r="BP41" s="190">
        <v>316</v>
      </c>
      <c r="BQ41" s="190">
        <v>66</v>
      </c>
      <c r="BR41" s="190">
        <v>1152</v>
      </c>
      <c r="BS41" s="190">
        <v>1218</v>
      </c>
      <c r="BT41" s="190">
        <v>637</v>
      </c>
      <c r="BU41" s="190">
        <v>2830</v>
      </c>
      <c r="BV41" s="190">
        <v>3467</v>
      </c>
      <c r="BW41" s="190">
        <v>23155</v>
      </c>
      <c r="BX41" s="190">
        <v>146255</v>
      </c>
      <c r="BY41" s="190">
        <v>169410</v>
      </c>
      <c r="BZ41" s="190">
        <v>23008</v>
      </c>
      <c r="CA41" s="190">
        <v>145033</v>
      </c>
      <c r="CB41" s="190">
        <v>168041</v>
      </c>
      <c r="CC41" s="190">
        <v>365928</v>
      </c>
      <c r="CD41" s="190">
        <v>112</v>
      </c>
      <c r="CE41" s="190">
        <v>1094</v>
      </c>
      <c r="CF41" s="190">
        <v>140</v>
      </c>
      <c r="CG41" s="190">
        <v>902</v>
      </c>
      <c r="CH41" s="190">
        <v>1042</v>
      </c>
      <c r="CI41" s="190">
        <v>386</v>
      </c>
      <c r="CJ41" s="190">
        <v>66</v>
      </c>
      <c r="CK41" s="190">
        <v>7</v>
      </c>
      <c r="CL41" s="190">
        <v>320</v>
      </c>
      <c r="CM41" s="190">
        <v>327</v>
      </c>
      <c r="CN41" s="190">
        <v>1348</v>
      </c>
      <c r="CO41" s="190">
        <v>13027</v>
      </c>
      <c r="CP41" s="190">
        <v>14375</v>
      </c>
      <c r="CQ41" s="190">
        <v>1</v>
      </c>
      <c r="CR41" s="190">
        <v>28</v>
      </c>
      <c r="CS41" s="190">
        <v>29</v>
      </c>
      <c r="CT41" s="190">
        <v>21807</v>
      </c>
      <c r="CU41" s="190">
        <v>133228</v>
      </c>
      <c r="CV41" s="190">
        <v>155035</v>
      </c>
      <c r="CW41" s="190">
        <v>1485</v>
      </c>
      <c r="CX41" s="190">
        <v>5975</v>
      </c>
      <c r="CY41" s="190">
        <v>7460</v>
      </c>
      <c r="CZ41" s="190">
        <v>1473</v>
      </c>
      <c r="DA41" s="190">
        <v>11</v>
      </c>
      <c r="DB41" s="190">
        <v>0</v>
      </c>
      <c r="DC41" s="190">
        <v>5892</v>
      </c>
      <c r="DD41" s="190">
        <v>45</v>
      </c>
      <c r="DE41" s="190">
        <v>7</v>
      </c>
      <c r="DF41" s="190">
        <v>1484</v>
      </c>
      <c r="DG41" s="190">
        <v>5944</v>
      </c>
      <c r="DH41" s="190">
        <v>7428</v>
      </c>
      <c r="DI41" s="190">
        <v>1</v>
      </c>
      <c r="DJ41" s="190">
        <v>0</v>
      </c>
      <c r="DK41" s="190">
        <v>0</v>
      </c>
      <c r="DL41" s="190">
        <v>30</v>
      </c>
      <c r="DM41" s="190">
        <v>1</v>
      </c>
      <c r="DN41" s="190">
        <v>0</v>
      </c>
      <c r="DO41" s="190">
        <v>1</v>
      </c>
      <c r="DP41" s="190">
        <v>31</v>
      </c>
      <c r="DQ41" s="190">
        <v>32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11554</v>
      </c>
      <c r="C42" s="190">
        <v>4345</v>
      </c>
      <c r="D42" s="190">
        <v>10354</v>
      </c>
      <c r="E42" s="190">
        <v>6066</v>
      </c>
      <c r="F42" s="190">
        <v>5</v>
      </c>
      <c r="G42" s="190">
        <v>115</v>
      </c>
      <c r="H42" s="190">
        <v>120</v>
      </c>
      <c r="I42" s="190">
        <v>4</v>
      </c>
      <c r="J42" s="190">
        <v>3857</v>
      </c>
      <c r="K42" s="190">
        <v>3861</v>
      </c>
      <c r="L42" s="190">
        <v>4</v>
      </c>
      <c r="M42" s="190">
        <v>3852</v>
      </c>
      <c r="N42" s="190">
        <v>3856</v>
      </c>
      <c r="O42" s="190">
        <v>0</v>
      </c>
      <c r="P42" s="190">
        <v>5</v>
      </c>
      <c r="Q42" s="190">
        <v>5</v>
      </c>
      <c r="R42" s="190">
        <v>0</v>
      </c>
      <c r="S42" s="190">
        <v>502</v>
      </c>
      <c r="T42" s="190">
        <v>502</v>
      </c>
      <c r="U42" s="190">
        <v>0</v>
      </c>
      <c r="V42" s="190">
        <v>427</v>
      </c>
      <c r="W42" s="190">
        <v>427</v>
      </c>
      <c r="X42" s="190">
        <v>131</v>
      </c>
      <c r="Y42" s="190">
        <v>5577</v>
      </c>
      <c r="Z42" s="190">
        <v>5708</v>
      </c>
      <c r="AA42" s="190">
        <v>61</v>
      </c>
      <c r="AB42" s="190">
        <v>2070</v>
      </c>
      <c r="AC42" s="190">
        <v>2131</v>
      </c>
      <c r="AD42" s="190">
        <v>60</v>
      </c>
      <c r="AE42" s="190">
        <v>2016</v>
      </c>
      <c r="AF42" s="190">
        <v>2076</v>
      </c>
      <c r="AG42" s="190">
        <v>1</v>
      </c>
      <c r="AH42" s="190">
        <v>35</v>
      </c>
      <c r="AI42" s="190">
        <v>36</v>
      </c>
      <c r="AJ42" s="190">
        <v>0</v>
      </c>
      <c r="AK42" s="190">
        <v>19</v>
      </c>
      <c r="AL42" s="190">
        <v>19</v>
      </c>
      <c r="AM42" s="190">
        <v>70</v>
      </c>
      <c r="AN42" s="190">
        <v>3507</v>
      </c>
      <c r="AO42" s="190">
        <v>3577</v>
      </c>
      <c r="AP42" s="190">
        <v>11520</v>
      </c>
      <c r="AQ42" s="190">
        <v>111636</v>
      </c>
      <c r="AR42" s="190">
        <v>123156</v>
      </c>
      <c r="AS42" s="190">
        <v>11477</v>
      </c>
      <c r="AT42" s="190">
        <v>110935</v>
      </c>
      <c r="AU42" s="190">
        <v>122412</v>
      </c>
      <c r="AV42" s="190">
        <v>43</v>
      </c>
      <c r="AW42" s="190">
        <v>701</v>
      </c>
      <c r="AX42" s="190">
        <v>744</v>
      </c>
      <c r="AY42" s="190">
        <v>440</v>
      </c>
      <c r="AZ42" s="190">
        <v>10182</v>
      </c>
      <c r="BA42" s="190">
        <v>10622</v>
      </c>
      <c r="BB42" s="190">
        <v>228</v>
      </c>
      <c r="BC42" s="190">
        <v>8</v>
      </c>
      <c r="BD42" s="190">
        <v>0</v>
      </c>
      <c r="BE42" s="190">
        <v>5706</v>
      </c>
      <c r="BF42" s="190">
        <v>92</v>
      </c>
      <c r="BG42" s="190">
        <v>32</v>
      </c>
      <c r="BH42" s="190">
        <v>236</v>
      </c>
      <c r="BI42" s="190">
        <v>5830</v>
      </c>
      <c r="BJ42" s="190">
        <v>6066</v>
      </c>
      <c r="BK42" s="190">
        <v>-244</v>
      </c>
      <c r="BL42" s="190">
        <v>244</v>
      </c>
      <c r="BM42" s="190">
        <v>0</v>
      </c>
      <c r="BN42" s="190">
        <v>12</v>
      </c>
      <c r="BO42" s="190">
        <v>129</v>
      </c>
      <c r="BP42" s="190">
        <v>141</v>
      </c>
      <c r="BQ42" s="190">
        <v>11</v>
      </c>
      <c r="BR42" s="190">
        <v>311</v>
      </c>
      <c r="BS42" s="190">
        <v>322</v>
      </c>
      <c r="BT42" s="190">
        <v>425</v>
      </c>
      <c r="BU42" s="190">
        <v>3668</v>
      </c>
      <c r="BV42" s="190">
        <v>4093</v>
      </c>
      <c r="BW42" s="190">
        <v>11960</v>
      </c>
      <c r="BX42" s="190">
        <v>121818</v>
      </c>
      <c r="BY42" s="190">
        <v>133778</v>
      </c>
      <c r="BZ42" s="190">
        <v>11643</v>
      </c>
      <c r="CA42" s="190">
        <v>119445</v>
      </c>
      <c r="CB42" s="190">
        <v>131088</v>
      </c>
      <c r="CC42" s="190">
        <v>268964</v>
      </c>
      <c r="CD42" s="190">
        <v>236</v>
      </c>
      <c r="CE42" s="190">
        <v>2402</v>
      </c>
      <c r="CF42" s="190">
        <v>306</v>
      </c>
      <c r="CG42" s="190">
        <v>1658</v>
      </c>
      <c r="CH42" s="190">
        <v>1964</v>
      </c>
      <c r="CI42" s="190">
        <v>894</v>
      </c>
      <c r="CJ42" s="190">
        <v>45</v>
      </c>
      <c r="CK42" s="190">
        <v>11</v>
      </c>
      <c r="CL42" s="190">
        <v>715</v>
      </c>
      <c r="CM42" s="190">
        <v>726</v>
      </c>
      <c r="CN42" s="190">
        <v>718</v>
      </c>
      <c r="CO42" s="190">
        <v>10926</v>
      </c>
      <c r="CP42" s="190">
        <v>11644</v>
      </c>
      <c r="CQ42" s="190">
        <v>0</v>
      </c>
      <c r="CR42" s="190">
        <v>18</v>
      </c>
      <c r="CS42" s="190">
        <v>18</v>
      </c>
      <c r="CT42" s="190">
        <v>11242</v>
      </c>
      <c r="CU42" s="190">
        <v>110892</v>
      </c>
      <c r="CV42" s="190">
        <v>122134</v>
      </c>
      <c r="CW42" s="190">
        <v>962</v>
      </c>
      <c r="CX42" s="190">
        <v>5732</v>
      </c>
      <c r="CY42" s="190">
        <v>6694</v>
      </c>
      <c r="CZ42" s="190">
        <v>903</v>
      </c>
      <c r="DA42" s="190">
        <v>25</v>
      </c>
      <c r="DB42" s="190">
        <v>0</v>
      </c>
      <c r="DC42" s="190">
        <v>5140</v>
      </c>
      <c r="DD42" s="190">
        <v>69</v>
      </c>
      <c r="DE42" s="190">
        <v>33</v>
      </c>
      <c r="DF42" s="190">
        <v>928</v>
      </c>
      <c r="DG42" s="190">
        <v>5242</v>
      </c>
      <c r="DH42" s="190">
        <v>6170</v>
      </c>
      <c r="DI42" s="190">
        <v>33</v>
      </c>
      <c r="DJ42" s="190">
        <v>1</v>
      </c>
      <c r="DK42" s="190">
        <v>0</v>
      </c>
      <c r="DL42" s="190">
        <v>477</v>
      </c>
      <c r="DM42" s="190">
        <v>11</v>
      </c>
      <c r="DN42" s="190">
        <v>2</v>
      </c>
      <c r="DO42" s="190">
        <v>34</v>
      </c>
      <c r="DP42" s="190">
        <v>490</v>
      </c>
      <c r="DQ42" s="190">
        <v>524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2799</v>
      </c>
      <c r="C43" s="190">
        <v>899</v>
      </c>
      <c r="D43" s="190">
        <v>2310</v>
      </c>
      <c r="E43" s="190">
        <v>1471</v>
      </c>
      <c r="F43" s="190">
        <v>1</v>
      </c>
      <c r="G43" s="190">
        <v>26</v>
      </c>
      <c r="H43" s="190">
        <v>27</v>
      </c>
      <c r="I43" s="190">
        <v>0</v>
      </c>
      <c r="J43" s="190">
        <v>724</v>
      </c>
      <c r="K43" s="190">
        <v>724</v>
      </c>
      <c r="L43" s="190">
        <v>0</v>
      </c>
      <c r="M43" s="190">
        <v>243</v>
      </c>
      <c r="N43" s="190">
        <v>243</v>
      </c>
      <c r="O43" s="190">
        <v>0</v>
      </c>
      <c r="P43" s="190">
        <v>481</v>
      </c>
      <c r="Q43" s="190">
        <v>481</v>
      </c>
      <c r="R43" s="190">
        <v>0</v>
      </c>
      <c r="S43" s="190">
        <v>46</v>
      </c>
      <c r="T43" s="190">
        <v>46</v>
      </c>
      <c r="U43" s="190">
        <v>0</v>
      </c>
      <c r="V43" s="190">
        <v>115</v>
      </c>
      <c r="W43" s="190">
        <v>115</v>
      </c>
      <c r="X43" s="190">
        <v>57</v>
      </c>
      <c r="Y43" s="190">
        <v>1799</v>
      </c>
      <c r="Z43" s="190">
        <v>1856</v>
      </c>
      <c r="AA43" s="190">
        <v>30</v>
      </c>
      <c r="AB43" s="190">
        <v>739</v>
      </c>
      <c r="AC43" s="190">
        <v>769</v>
      </c>
      <c r="AD43" s="190">
        <v>27</v>
      </c>
      <c r="AE43" s="190">
        <v>677</v>
      </c>
      <c r="AF43" s="190">
        <v>704</v>
      </c>
      <c r="AG43" s="190">
        <v>0</v>
      </c>
      <c r="AH43" s="190">
        <v>33</v>
      </c>
      <c r="AI43" s="190">
        <v>33</v>
      </c>
      <c r="AJ43" s="190">
        <v>3</v>
      </c>
      <c r="AK43" s="190">
        <v>29</v>
      </c>
      <c r="AL43" s="190">
        <v>32</v>
      </c>
      <c r="AM43" s="190">
        <v>27</v>
      </c>
      <c r="AN43" s="190">
        <v>1060</v>
      </c>
      <c r="AO43" s="190">
        <v>1087</v>
      </c>
      <c r="AP43" s="190">
        <v>1995</v>
      </c>
      <c r="AQ43" s="190">
        <v>29487</v>
      </c>
      <c r="AR43" s="190">
        <v>31482</v>
      </c>
      <c r="AS43" s="190">
        <v>1962</v>
      </c>
      <c r="AT43" s="190">
        <v>29391</v>
      </c>
      <c r="AU43" s="190">
        <v>31353</v>
      </c>
      <c r="AV43" s="190">
        <v>33</v>
      </c>
      <c r="AW43" s="190">
        <v>96</v>
      </c>
      <c r="AX43" s="190">
        <v>129</v>
      </c>
      <c r="AY43" s="190">
        <v>102</v>
      </c>
      <c r="AZ43" s="190">
        <v>2437</v>
      </c>
      <c r="BA43" s="190">
        <v>2539</v>
      </c>
      <c r="BB43" s="190">
        <v>49</v>
      </c>
      <c r="BC43" s="190">
        <v>6</v>
      </c>
      <c r="BD43" s="190">
        <v>2</v>
      </c>
      <c r="BE43" s="190">
        <v>1330</v>
      </c>
      <c r="BF43" s="190">
        <v>37</v>
      </c>
      <c r="BG43" s="190">
        <v>47</v>
      </c>
      <c r="BH43" s="190">
        <v>57</v>
      </c>
      <c r="BI43" s="190">
        <v>1414</v>
      </c>
      <c r="BJ43" s="190">
        <v>1471</v>
      </c>
      <c r="BK43" s="190">
        <v>-51</v>
      </c>
      <c r="BL43" s="190">
        <v>51</v>
      </c>
      <c r="BM43" s="190">
        <v>0</v>
      </c>
      <c r="BN43" s="190">
        <v>3</v>
      </c>
      <c r="BO43" s="190">
        <v>48</v>
      </c>
      <c r="BP43" s="190">
        <v>51</v>
      </c>
      <c r="BQ43" s="190">
        <v>9</v>
      </c>
      <c r="BR43" s="190">
        <v>207</v>
      </c>
      <c r="BS43" s="190">
        <v>216</v>
      </c>
      <c r="BT43" s="190">
        <v>84</v>
      </c>
      <c r="BU43" s="190">
        <v>717</v>
      </c>
      <c r="BV43" s="190">
        <v>801</v>
      </c>
      <c r="BW43" s="190">
        <v>2097</v>
      </c>
      <c r="BX43" s="190">
        <v>31924</v>
      </c>
      <c r="BY43" s="190">
        <v>34021</v>
      </c>
      <c r="BZ43" s="190">
        <v>1957</v>
      </c>
      <c r="CA43" s="190">
        <v>30339</v>
      </c>
      <c r="CB43" s="190">
        <v>32296</v>
      </c>
      <c r="CC43" s="190">
        <v>49872</v>
      </c>
      <c r="CD43" s="190">
        <v>103</v>
      </c>
      <c r="CE43" s="190">
        <v>1059</v>
      </c>
      <c r="CF43" s="190">
        <v>129</v>
      </c>
      <c r="CG43" s="190">
        <v>722</v>
      </c>
      <c r="CH43" s="190">
        <v>851</v>
      </c>
      <c r="CI43" s="190">
        <v>1149</v>
      </c>
      <c r="CJ43" s="190">
        <v>50</v>
      </c>
      <c r="CK43" s="190">
        <v>11</v>
      </c>
      <c r="CL43" s="190">
        <v>863</v>
      </c>
      <c r="CM43" s="190">
        <v>874</v>
      </c>
      <c r="CN43" s="190">
        <v>134</v>
      </c>
      <c r="CO43" s="190">
        <v>2605</v>
      </c>
      <c r="CP43" s="190">
        <v>2739</v>
      </c>
      <c r="CQ43" s="190">
        <v>0</v>
      </c>
      <c r="CR43" s="190">
        <v>0</v>
      </c>
      <c r="CS43" s="190">
        <v>0</v>
      </c>
      <c r="CT43" s="190">
        <v>1963</v>
      </c>
      <c r="CU43" s="190">
        <v>29319</v>
      </c>
      <c r="CV43" s="190">
        <v>31282</v>
      </c>
      <c r="CW43" s="190">
        <v>155</v>
      </c>
      <c r="CX43" s="190">
        <v>1298</v>
      </c>
      <c r="CY43" s="190">
        <v>1453</v>
      </c>
      <c r="CZ43" s="190">
        <v>146</v>
      </c>
      <c r="DA43" s="190">
        <v>7</v>
      </c>
      <c r="DB43" s="190">
        <v>1</v>
      </c>
      <c r="DC43" s="190">
        <v>1212</v>
      </c>
      <c r="DD43" s="190">
        <v>42</v>
      </c>
      <c r="DE43" s="190">
        <v>16</v>
      </c>
      <c r="DF43" s="190">
        <v>154</v>
      </c>
      <c r="DG43" s="190">
        <v>1270</v>
      </c>
      <c r="DH43" s="190">
        <v>1424</v>
      </c>
      <c r="DI43" s="190">
        <v>1</v>
      </c>
      <c r="DJ43" s="190">
        <v>0</v>
      </c>
      <c r="DK43" s="190">
        <v>0</v>
      </c>
      <c r="DL43" s="190">
        <v>26</v>
      </c>
      <c r="DM43" s="190">
        <v>2</v>
      </c>
      <c r="DN43" s="190">
        <v>0</v>
      </c>
      <c r="DO43" s="190">
        <v>1</v>
      </c>
      <c r="DP43" s="190">
        <v>28</v>
      </c>
      <c r="DQ43" s="190">
        <v>29</v>
      </c>
      <c r="DR43" s="190">
        <v>0</v>
      </c>
      <c r="DS43" s="190">
        <v>1</v>
      </c>
      <c r="DT43" s="191">
        <v>1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3225</v>
      </c>
      <c r="C44" s="190">
        <v>1140</v>
      </c>
      <c r="D44" s="190">
        <v>3126</v>
      </c>
      <c r="E44" s="190">
        <v>2005</v>
      </c>
      <c r="F44" s="190">
        <v>3</v>
      </c>
      <c r="G44" s="190">
        <v>35</v>
      </c>
      <c r="H44" s="190">
        <v>38</v>
      </c>
      <c r="I44" s="190">
        <v>1</v>
      </c>
      <c r="J44" s="190">
        <v>960</v>
      </c>
      <c r="K44" s="190">
        <v>961</v>
      </c>
      <c r="L44" s="190">
        <v>1</v>
      </c>
      <c r="M44" s="190">
        <v>509</v>
      </c>
      <c r="N44" s="190">
        <v>510</v>
      </c>
      <c r="O44" s="190">
        <v>0</v>
      </c>
      <c r="P44" s="190">
        <v>451</v>
      </c>
      <c r="Q44" s="190">
        <v>451</v>
      </c>
      <c r="R44" s="190">
        <v>0</v>
      </c>
      <c r="S44" s="190">
        <v>15</v>
      </c>
      <c r="T44" s="190">
        <v>15</v>
      </c>
      <c r="U44" s="190">
        <v>0</v>
      </c>
      <c r="V44" s="190">
        <v>160</v>
      </c>
      <c r="W44" s="190">
        <v>160</v>
      </c>
      <c r="X44" s="190">
        <v>117</v>
      </c>
      <c r="Y44" s="190">
        <v>3006</v>
      </c>
      <c r="Z44" s="190">
        <v>3123</v>
      </c>
      <c r="AA44" s="190">
        <v>74</v>
      </c>
      <c r="AB44" s="190">
        <v>1245</v>
      </c>
      <c r="AC44" s="190">
        <v>1319</v>
      </c>
      <c r="AD44" s="190">
        <v>71</v>
      </c>
      <c r="AE44" s="190">
        <v>1165</v>
      </c>
      <c r="AF44" s="190">
        <v>1236</v>
      </c>
      <c r="AG44" s="190">
        <v>1</v>
      </c>
      <c r="AH44" s="190">
        <v>32</v>
      </c>
      <c r="AI44" s="190">
        <v>33</v>
      </c>
      <c r="AJ44" s="190">
        <v>2</v>
      </c>
      <c r="AK44" s="190">
        <v>48</v>
      </c>
      <c r="AL44" s="190">
        <v>50</v>
      </c>
      <c r="AM44" s="190">
        <v>43</v>
      </c>
      <c r="AN44" s="190">
        <v>1761</v>
      </c>
      <c r="AO44" s="190">
        <v>1804</v>
      </c>
      <c r="AP44" s="190">
        <v>6323</v>
      </c>
      <c r="AQ44" s="190">
        <v>39227</v>
      </c>
      <c r="AR44" s="190">
        <v>45550</v>
      </c>
      <c r="AS44" s="190">
        <v>6324</v>
      </c>
      <c r="AT44" s="190">
        <v>39227</v>
      </c>
      <c r="AU44" s="190">
        <v>45551</v>
      </c>
      <c r="AV44" s="190">
        <v>-1</v>
      </c>
      <c r="AW44" s="190">
        <v>0</v>
      </c>
      <c r="AX44" s="190">
        <v>-1</v>
      </c>
      <c r="AY44" s="190">
        <v>275</v>
      </c>
      <c r="AZ44" s="190">
        <v>3350</v>
      </c>
      <c r="BA44" s="190">
        <v>3625</v>
      </c>
      <c r="BB44" s="190">
        <v>144</v>
      </c>
      <c r="BC44" s="190">
        <v>2</v>
      </c>
      <c r="BD44" s="190">
        <v>0</v>
      </c>
      <c r="BE44" s="190">
        <v>1837</v>
      </c>
      <c r="BF44" s="190">
        <v>16</v>
      </c>
      <c r="BG44" s="190">
        <v>6</v>
      </c>
      <c r="BH44" s="190">
        <v>146</v>
      </c>
      <c r="BI44" s="190">
        <v>1859</v>
      </c>
      <c r="BJ44" s="190">
        <v>2005</v>
      </c>
      <c r="BK44" s="190">
        <v>-67</v>
      </c>
      <c r="BL44" s="190">
        <v>67</v>
      </c>
      <c r="BM44" s="190">
        <v>0</v>
      </c>
      <c r="BN44" s="190">
        <v>20</v>
      </c>
      <c r="BO44" s="190">
        <v>108</v>
      </c>
      <c r="BP44" s="190">
        <v>128</v>
      </c>
      <c r="BQ44" s="190">
        <v>40</v>
      </c>
      <c r="BR44" s="190">
        <v>530</v>
      </c>
      <c r="BS44" s="190">
        <v>570</v>
      </c>
      <c r="BT44" s="190">
        <v>136</v>
      </c>
      <c r="BU44" s="190">
        <v>786</v>
      </c>
      <c r="BV44" s="190">
        <v>922</v>
      </c>
      <c r="BW44" s="190">
        <v>6598</v>
      </c>
      <c r="BX44" s="190">
        <v>42577</v>
      </c>
      <c r="BY44" s="190">
        <v>49175</v>
      </c>
      <c r="BZ44" s="190">
        <v>6540</v>
      </c>
      <c r="CA44" s="190">
        <v>42008</v>
      </c>
      <c r="CB44" s="190">
        <v>48548</v>
      </c>
      <c r="CC44" s="190">
        <v>108030</v>
      </c>
      <c r="CD44" s="190">
        <v>36</v>
      </c>
      <c r="CE44" s="190">
        <v>555</v>
      </c>
      <c r="CF44" s="190">
        <v>57</v>
      </c>
      <c r="CG44" s="190">
        <v>414</v>
      </c>
      <c r="CH44" s="190">
        <v>471</v>
      </c>
      <c r="CI44" s="190">
        <v>202</v>
      </c>
      <c r="CJ44" s="190">
        <v>20</v>
      </c>
      <c r="CK44" s="190">
        <v>1</v>
      </c>
      <c r="CL44" s="190">
        <v>155</v>
      </c>
      <c r="CM44" s="190">
        <v>156</v>
      </c>
      <c r="CN44" s="190">
        <v>333</v>
      </c>
      <c r="CO44" s="190">
        <v>3530</v>
      </c>
      <c r="CP44" s="190">
        <v>3863</v>
      </c>
      <c r="CQ44" s="190">
        <v>0</v>
      </c>
      <c r="CR44" s="190">
        <v>2</v>
      </c>
      <c r="CS44" s="190">
        <v>2</v>
      </c>
      <c r="CT44" s="190">
        <v>6265</v>
      </c>
      <c r="CU44" s="190">
        <v>39047</v>
      </c>
      <c r="CV44" s="190">
        <v>45312</v>
      </c>
      <c r="CW44" s="190">
        <v>373</v>
      </c>
      <c r="CX44" s="190">
        <v>1826</v>
      </c>
      <c r="CY44" s="190">
        <v>2199</v>
      </c>
      <c r="CZ44" s="190">
        <v>371</v>
      </c>
      <c r="DA44" s="190">
        <v>2</v>
      </c>
      <c r="DB44" s="190">
        <v>0</v>
      </c>
      <c r="DC44" s="190">
        <v>1767</v>
      </c>
      <c r="DD44" s="190">
        <v>26</v>
      </c>
      <c r="DE44" s="190">
        <v>1</v>
      </c>
      <c r="DF44" s="190">
        <v>373</v>
      </c>
      <c r="DG44" s="190">
        <v>1794</v>
      </c>
      <c r="DH44" s="190">
        <v>2167</v>
      </c>
      <c r="DI44" s="190">
        <v>0</v>
      </c>
      <c r="DJ44" s="190">
        <v>0</v>
      </c>
      <c r="DK44" s="190">
        <v>0</v>
      </c>
      <c r="DL44" s="190">
        <v>31</v>
      </c>
      <c r="DM44" s="190">
        <v>1</v>
      </c>
      <c r="DN44" s="190">
        <v>0</v>
      </c>
      <c r="DO44" s="190">
        <v>0</v>
      </c>
      <c r="DP44" s="190">
        <v>32</v>
      </c>
      <c r="DQ44" s="190">
        <v>32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694</v>
      </c>
      <c r="C45" s="190">
        <v>135</v>
      </c>
      <c r="D45" s="190">
        <v>720</v>
      </c>
      <c r="E45" s="190">
        <v>407</v>
      </c>
      <c r="F45" s="190">
        <v>2</v>
      </c>
      <c r="G45" s="190">
        <v>8</v>
      </c>
      <c r="H45" s="190">
        <v>10</v>
      </c>
      <c r="I45" s="190">
        <v>0</v>
      </c>
      <c r="J45" s="190">
        <v>193</v>
      </c>
      <c r="K45" s="190">
        <v>193</v>
      </c>
      <c r="L45" s="190">
        <v>0</v>
      </c>
      <c r="M45" s="190">
        <v>50</v>
      </c>
      <c r="N45" s="190">
        <v>50</v>
      </c>
      <c r="O45" s="190">
        <v>0</v>
      </c>
      <c r="P45" s="190">
        <v>143</v>
      </c>
      <c r="Q45" s="190">
        <v>143</v>
      </c>
      <c r="R45" s="190">
        <v>0</v>
      </c>
      <c r="S45" s="190">
        <v>15</v>
      </c>
      <c r="T45" s="190">
        <v>15</v>
      </c>
      <c r="U45" s="190">
        <v>0</v>
      </c>
      <c r="V45" s="190">
        <v>120</v>
      </c>
      <c r="W45" s="190">
        <v>120</v>
      </c>
      <c r="X45" s="190">
        <v>11</v>
      </c>
      <c r="Y45" s="190">
        <v>342</v>
      </c>
      <c r="Z45" s="190">
        <v>353</v>
      </c>
      <c r="AA45" s="190">
        <v>8</v>
      </c>
      <c r="AB45" s="190">
        <v>245</v>
      </c>
      <c r="AC45" s="190">
        <v>253</v>
      </c>
      <c r="AD45" s="190">
        <v>8</v>
      </c>
      <c r="AE45" s="190">
        <v>244</v>
      </c>
      <c r="AF45" s="190">
        <v>252</v>
      </c>
      <c r="AG45" s="190">
        <v>0</v>
      </c>
      <c r="AH45" s="190">
        <v>0</v>
      </c>
      <c r="AI45" s="190">
        <v>0</v>
      </c>
      <c r="AJ45" s="190">
        <v>0</v>
      </c>
      <c r="AK45" s="190">
        <v>1</v>
      </c>
      <c r="AL45" s="190">
        <v>1</v>
      </c>
      <c r="AM45" s="190">
        <v>3</v>
      </c>
      <c r="AN45" s="190">
        <v>97</v>
      </c>
      <c r="AO45" s="190">
        <v>100</v>
      </c>
      <c r="AP45" s="190">
        <v>793</v>
      </c>
      <c r="AQ45" s="190">
        <v>7968</v>
      </c>
      <c r="AR45" s="190">
        <v>8761</v>
      </c>
      <c r="AS45" s="190">
        <v>793</v>
      </c>
      <c r="AT45" s="190">
        <v>7968</v>
      </c>
      <c r="AU45" s="190">
        <v>8761</v>
      </c>
      <c r="AV45" s="190">
        <v>0</v>
      </c>
      <c r="AW45" s="190">
        <v>0</v>
      </c>
      <c r="AX45" s="190">
        <v>0</v>
      </c>
      <c r="AY45" s="190">
        <v>36</v>
      </c>
      <c r="AZ45" s="190">
        <v>811</v>
      </c>
      <c r="BA45" s="190">
        <v>847</v>
      </c>
      <c r="BB45" s="190">
        <v>24</v>
      </c>
      <c r="BC45" s="190">
        <v>0</v>
      </c>
      <c r="BD45" s="190">
        <v>0</v>
      </c>
      <c r="BE45" s="190">
        <v>383</v>
      </c>
      <c r="BF45" s="190">
        <v>0</v>
      </c>
      <c r="BG45" s="190">
        <v>0</v>
      </c>
      <c r="BH45" s="190">
        <v>24</v>
      </c>
      <c r="BI45" s="190">
        <v>383</v>
      </c>
      <c r="BJ45" s="190">
        <v>407</v>
      </c>
      <c r="BK45" s="190">
        <v>-33</v>
      </c>
      <c r="BL45" s="190">
        <v>33</v>
      </c>
      <c r="BM45" s="190">
        <v>0</v>
      </c>
      <c r="BN45" s="190">
        <v>3</v>
      </c>
      <c r="BO45" s="190">
        <v>18</v>
      </c>
      <c r="BP45" s="190">
        <v>21</v>
      </c>
      <c r="BQ45" s="190">
        <v>9</v>
      </c>
      <c r="BR45" s="190">
        <v>132</v>
      </c>
      <c r="BS45" s="190">
        <v>141</v>
      </c>
      <c r="BT45" s="190">
        <v>33</v>
      </c>
      <c r="BU45" s="190">
        <v>245</v>
      </c>
      <c r="BV45" s="190">
        <v>278</v>
      </c>
      <c r="BW45" s="190">
        <v>829</v>
      </c>
      <c r="BX45" s="190">
        <v>8779</v>
      </c>
      <c r="BY45" s="190">
        <v>9608</v>
      </c>
      <c r="BZ45" s="190">
        <v>823</v>
      </c>
      <c r="CA45" s="190">
        <v>8744</v>
      </c>
      <c r="CB45" s="190">
        <v>9567</v>
      </c>
      <c r="CC45" s="190">
        <v>16990</v>
      </c>
      <c r="CD45" s="190">
        <v>0</v>
      </c>
      <c r="CE45" s="190">
        <v>37</v>
      </c>
      <c r="CF45" s="190">
        <v>6</v>
      </c>
      <c r="CG45" s="190">
        <v>27</v>
      </c>
      <c r="CH45" s="190">
        <v>33</v>
      </c>
      <c r="CI45" s="190">
        <v>6</v>
      </c>
      <c r="CJ45" s="190">
        <v>4</v>
      </c>
      <c r="CK45" s="190">
        <v>0</v>
      </c>
      <c r="CL45" s="190">
        <v>8</v>
      </c>
      <c r="CM45" s="190">
        <v>8</v>
      </c>
      <c r="CN45" s="190">
        <v>57</v>
      </c>
      <c r="CO45" s="190">
        <v>879</v>
      </c>
      <c r="CP45" s="190">
        <v>936</v>
      </c>
      <c r="CQ45" s="190">
        <v>0</v>
      </c>
      <c r="CR45" s="190">
        <v>0</v>
      </c>
      <c r="CS45" s="190">
        <v>0</v>
      </c>
      <c r="CT45" s="190">
        <v>772</v>
      </c>
      <c r="CU45" s="190">
        <v>7900</v>
      </c>
      <c r="CV45" s="190">
        <v>8672</v>
      </c>
      <c r="CW45" s="190">
        <v>62</v>
      </c>
      <c r="CX45" s="190">
        <v>392</v>
      </c>
      <c r="CY45" s="190">
        <v>454</v>
      </c>
      <c r="CZ45" s="190">
        <v>60</v>
      </c>
      <c r="DA45" s="190">
        <v>0</v>
      </c>
      <c r="DB45" s="190">
        <v>0</v>
      </c>
      <c r="DC45" s="190">
        <v>350</v>
      </c>
      <c r="DD45" s="190">
        <v>2</v>
      </c>
      <c r="DE45" s="190">
        <v>0</v>
      </c>
      <c r="DF45" s="190">
        <v>60</v>
      </c>
      <c r="DG45" s="190">
        <v>352</v>
      </c>
      <c r="DH45" s="190">
        <v>412</v>
      </c>
      <c r="DI45" s="190">
        <v>2</v>
      </c>
      <c r="DJ45" s="190">
        <v>0</v>
      </c>
      <c r="DK45" s="190">
        <v>0</v>
      </c>
      <c r="DL45" s="190">
        <v>40</v>
      </c>
      <c r="DM45" s="190">
        <v>0</v>
      </c>
      <c r="DN45" s="190">
        <v>0</v>
      </c>
      <c r="DO45" s="190">
        <v>2</v>
      </c>
      <c r="DP45" s="190">
        <v>40</v>
      </c>
      <c r="DQ45" s="190">
        <v>42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>
      <c r="A46" s="189" t="s">
        <v>311</v>
      </c>
      <c r="B46" s="190">
        <v>1034</v>
      </c>
      <c r="C46" s="190">
        <v>218</v>
      </c>
      <c r="D46" s="190">
        <v>970</v>
      </c>
      <c r="E46" s="190">
        <v>540</v>
      </c>
      <c r="F46" s="190">
        <v>1</v>
      </c>
      <c r="G46" s="190">
        <v>8</v>
      </c>
      <c r="H46" s="190">
        <v>9</v>
      </c>
      <c r="I46" s="190">
        <v>0</v>
      </c>
      <c r="J46" s="190">
        <v>332</v>
      </c>
      <c r="K46" s="190">
        <v>332</v>
      </c>
      <c r="L46" s="190">
        <v>0</v>
      </c>
      <c r="M46" s="190">
        <v>332</v>
      </c>
      <c r="N46" s="190">
        <v>332</v>
      </c>
      <c r="O46" s="190">
        <v>0</v>
      </c>
      <c r="P46" s="190">
        <v>0</v>
      </c>
      <c r="Q46" s="190">
        <v>0</v>
      </c>
      <c r="R46" s="190">
        <v>0</v>
      </c>
      <c r="S46" s="190">
        <v>13</v>
      </c>
      <c r="T46" s="190">
        <v>13</v>
      </c>
      <c r="U46" s="190">
        <v>0</v>
      </c>
      <c r="V46" s="190">
        <v>98</v>
      </c>
      <c r="W46" s="190">
        <v>98</v>
      </c>
      <c r="X46" s="190">
        <v>7</v>
      </c>
      <c r="Y46" s="190">
        <v>963</v>
      </c>
      <c r="Z46" s="190">
        <v>970</v>
      </c>
      <c r="AA46" s="190">
        <v>4</v>
      </c>
      <c r="AB46" s="190">
        <v>315</v>
      </c>
      <c r="AC46" s="190">
        <v>319</v>
      </c>
      <c r="AD46" s="190">
        <v>3</v>
      </c>
      <c r="AE46" s="190">
        <v>301</v>
      </c>
      <c r="AF46" s="190">
        <v>304</v>
      </c>
      <c r="AG46" s="190">
        <v>1</v>
      </c>
      <c r="AH46" s="190">
        <v>12</v>
      </c>
      <c r="AI46" s="190">
        <v>13</v>
      </c>
      <c r="AJ46" s="190">
        <v>0</v>
      </c>
      <c r="AK46" s="190">
        <v>2</v>
      </c>
      <c r="AL46" s="190">
        <v>2</v>
      </c>
      <c r="AM46" s="190">
        <v>3</v>
      </c>
      <c r="AN46" s="190">
        <v>648</v>
      </c>
      <c r="AO46" s="190">
        <v>651</v>
      </c>
      <c r="AP46" s="190">
        <v>650</v>
      </c>
      <c r="AQ46" s="190">
        <v>11905</v>
      </c>
      <c r="AR46" s="190">
        <v>12555</v>
      </c>
      <c r="AS46" s="190">
        <v>660</v>
      </c>
      <c r="AT46" s="190">
        <v>11963</v>
      </c>
      <c r="AU46" s="190">
        <v>12623</v>
      </c>
      <c r="AV46" s="190">
        <v>-10</v>
      </c>
      <c r="AW46" s="190">
        <v>-58</v>
      </c>
      <c r="AX46" s="190">
        <v>-68</v>
      </c>
      <c r="AY46" s="190">
        <v>36</v>
      </c>
      <c r="AZ46" s="190">
        <v>1084</v>
      </c>
      <c r="BA46" s="190">
        <v>1120</v>
      </c>
      <c r="BB46" s="190">
        <v>14</v>
      </c>
      <c r="BC46" s="190">
        <v>1</v>
      </c>
      <c r="BD46" s="190">
        <v>0</v>
      </c>
      <c r="BE46" s="190">
        <v>506</v>
      </c>
      <c r="BF46" s="190">
        <v>14</v>
      </c>
      <c r="BG46" s="190">
        <v>5</v>
      </c>
      <c r="BH46" s="190">
        <v>15</v>
      </c>
      <c r="BI46" s="190">
        <v>525</v>
      </c>
      <c r="BJ46" s="190">
        <v>540</v>
      </c>
      <c r="BK46" s="190">
        <v>-20</v>
      </c>
      <c r="BL46" s="190">
        <v>20</v>
      </c>
      <c r="BM46" s="190">
        <v>0</v>
      </c>
      <c r="BN46" s="190">
        <v>15</v>
      </c>
      <c r="BO46" s="190">
        <v>16</v>
      </c>
      <c r="BP46" s="190">
        <v>31</v>
      </c>
      <c r="BQ46" s="190">
        <v>0</v>
      </c>
      <c r="BR46" s="190">
        <v>165</v>
      </c>
      <c r="BS46" s="190">
        <v>165</v>
      </c>
      <c r="BT46" s="190">
        <v>26</v>
      </c>
      <c r="BU46" s="190">
        <v>358</v>
      </c>
      <c r="BV46" s="190">
        <v>384</v>
      </c>
      <c r="BW46" s="190">
        <v>686</v>
      </c>
      <c r="BX46" s="190">
        <v>12989</v>
      </c>
      <c r="BY46" s="190">
        <v>13675</v>
      </c>
      <c r="BZ46" s="190">
        <v>668</v>
      </c>
      <c r="CA46" s="190">
        <v>12456</v>
      </c>
      <c r="CB46" s="190">
        <v>13124</v>
      </c>
      <c r="CC46" s="190">
        <v>25696</v>
      </c>
      <c r="CD46" s="190">
        <v>38</v>
      </c>
      <c r="CE46" s="190">
        <v>504</v>
      </c>
      <c r="CF46" s="190">
        <v>18</v>
      </c>
      <c r="CG46" s="190">
        <v>393</v>
      </c>
      <c r="CH46" s="190">
        <v>411</v>
      </c>
      <c r="CI46" s="190">
        <v>176</v>
      </c>
      <c r="CJ46" s="190">
        <v>10</v>
      </c>
      <c r="CK46" s="190">
        <v>0</v>
      </c>
      <c r="CL46" s="190">
        <v>140</v>
      </c>
      <c r="CM46" s="190">
        <v>140</v>
      </c>
      <c r="CN46" s="190">
        <v>37</v>
      </c>
      <c r="CO46" s="190">
        <v>1120</v>
      </c>
      <c r="CP46" s="190">
        <v>1157</v>
      </c>
      <c r="CQ46" s="190">
        <v>0</v>
      </c>
      <c r="CR46" s="190">
        <v>0</v>
      </c>
      <c r="CS46" s="190">
        <v>0</v>
      </c>
      <c r="CT46" s="190">
        <v>649</v>
      </c>
      <c r="CU46" s="190">
        <v>11869</v>
      </c>
      <c r="CV46" s="190">
        <v>12518</v>
      </c>
      <c r="CW46" s="190">
        <v>59</v>
      </c>
      <c r="CX46" s="190">
        <v>626</v>
      </c>
      <c r="CY46" s="190">
        <v>685</v>
      </c>
      <c r="CZ46" s="190">
        <v>57</v>
      </c>
      <c r="DA46" s="190">
        <v>2</v>
      </c>
      <c r="DB46" s="190">
        <v>0</v>
      </c>
      <c r="DC46" s="190">
        <v>581</v>
      </c>
      <c r="DD46" s="190">
        <v>14</v>
      </c>
      <c r="DE46" s="190">
        <v>6</v>
      </c>
      <c r="DF46" s="190">
        <v>59</v>
      </c>
      <c r="DG46" s="190">
        <v>601</v>
      </c>
      <c r="DH46" s="190">
        <v>660</v>
      </c>
      <c r="DI46" s="190">
        <v>0</v>
      </c>
      <c r="DJ46" s="190">
        <v>0</v>
      </c>
      <c r="DK46" s="190">
        <v>0</v>
      </c>
      <c r="DL46" s="190">
        <v>24</v>
      </c>
      <c r="DM46" s="190">
        <v>1</v>
      </c>
      <c r="DN46" s="190">
        <v>0</v>
      </c>
      <c r="DO46" s="190">
        <v>0</v>
      </c>
      <c r="DP46" s="190">
        <v>25</v>
      </c>
      <c r="DQ46" s="190">
        <v>25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1310</v>
      </c>
      <c r="C47" s="190">
        <v>380</v>
      </c>
      <c r="D47" s="190">
        <v>1174</v>
      </c>
      <c r="E47" s="190">
        <v>785</v>
      </c>
      <c r="F47" s="190">
        <v>0</v>
      </c>
      <c r="G47" s="190">
        <v>12</v>
      </c>
      <c r="H47" s="190">
        <v>12</v>
      </c>
      <c r="I47" s="190">
        <v>1</v>
      </c>
      <c r="J47" s="190">
        <v>332</v>
      </c>
      <c r="K47" s="190">
        <v>333</v>
      </c>
      <c r="L47" s="190">
        <v>0</v>
      </c>
      <c r="M47" s="190">
        <v>144</v>
      </c>
      <c r="N47" s="190">
        <v>144</v>
      </c>
      <c r="O47" s="190">
        <v>1</v>
      </c>
      <c r="P47" s="190">
        <v>188</v>
      </c>
      <c r="Q47" s="190">
        <v>189</v>
      </c>
      <c r="R47" s="190">
        <v>0</v>
      </c>
      <c r="S47" s="190">
        <v>33</v>
      </c>
      <c r="T47" s="190">
        <v>33</v>
      </c>
      <c r="U47" s="190">
        <v>0</v>
      </c>
      <c r="V47" s="190">
        <v>56</v>
      </c>
      <c r="W47" s="190">
        <v>56</v>
      </c>
      <c r="X47" s="190">
        <v>17</v>
      </c>
      <c r="Y47" s="190">
        <v>452</v>
      </c>
      <c r="Z47" s="190">
        <v>469</v>
      </c>
      <c r="AA47" s="190">
        <v>14</v>
      </c>
      <c r="AB47" s="190">
        <v>275</v>
      </c>
      <c r="AC47" s="190">
        <v>289</v>
      </c>
      <c r="AD47" s="190">
        <v>13</v>
      </c>
      <c r="AE47" s="190">
        <v>258</v>
      </c>
      <c r="AF47" s="190">
        <v>271</v>
      </c>
      <c r="AG47" s="190">
        <v>0</v>
      </c>
      <c r="AH47" s="190">
        <v>12</v>
      </c>
      <c r="AI47" s="190">
        <v>12</v>
      </c>
      <c r="AJ47" s="190">
        <v>1</v>
      </c>
      <c r="AK47" s="190">
        <v>5</v>
      </c>
      <c r="AL47" s="190">
        <v>6</v>
      </c>
      <c r="AM47" s="190">
        <v>3</v>
      </c>
      <c r="AN47" s="190">
        <v>177</v>
      </c>
      <c r="AO47" s="190">
        <v>180</v>
      </c>
      <c r="AP47" s="190">
        <v>2011</v>
      </c>
      <c r="AQ47" s="190">
        <v>14852</v>
      </c>
      <c r="AR47" s="190">
        <v>16863</v>
      </c>
      <c r="AS47" s="190">
        <v>2034</v>
      </c>
      <c r="AT47" s="190">
        <v>14804</v>
      </c>
      <c r="AU47" s="190">
        <v>16838</v>
      </c>
      <c r="AV47" s="190">
        <v>-23</v>
      </c>
      <c r="AW47" s="190">
        <v>48</v>
      </c>
      <c r="AX47" s="190">
        <v>25</v>
      </c>
      <c r="AY47" s="190">
        <v>-4</v>
      </c>
      <c r="AZ47" s="190">
        <v>1446</v>
      </c>
      <c r="BA47" s="190">
        <v>1442</v>
      </c>
      <c r="BB47" s="190">
        <v>44</v>
      </c>
      <c r="BC47" s="190">
        <v>1</v>
      </c>
      <c r="BD47" s="190">
        <v>0</v>
      </c>
      <c r="BE47" s="190">
        <v>734</v>
      </c>
      <c r="BF47" s="190">
        <v>4</v>
      </c>
      <c r="BG47" s="190">
        <v>2</v>
      </c>
      <c r="BH47" s="190">
        <v>45</v>
      </c>
      <c r="BI47" s="190">
        <v>740</v>
      </c>
      <c r="BJ47" s="190">
        <v>785</v>
      </c>
      <c r="BK47" s="190">
        <v>-133</v>
      </c>
      <c r="BL47" s="190">
        <v>133</v>
      </c>
      <c r="BM47" s="190">
        <v>0</v>
      </c>
      <c r="BN47" s="190">
        <v>1</v>
      </c>
      <c r="BO47" s="190">
        <v>32</v>
      </c>
      <c r="BP47" s="190">
        <v>33</v>
      </c>
      <c r="BQ47" s="190">
        <v>13</v>
      </c>
      <c r="BR47" s="190">
        <v>155</v>
      </c>
      <c r="BS47" s="190">
        <v>168</v>
      </c>
      <c r="BT47" s="190">
        <v>70</v>
      </c>
      <c r="BU47" s="190">
        <v>386</v>
      </c>
      <c r="BV47" s="190">
        <v>456</v>
      </c>
      <c r="BW47" s="190">
        <v>2007</v>
      </c>
      <c r="BX47" s="190">
        <v>16298</v>
      </c>
      <c r="BY47" s="190">
        <v>18305</v>
      </c>
      <c r="BZ47" s="190">
        <v>1991</v>
      </c>
      <c r="CA47" s="190">
        <v>16116</v>
      </c>
      <c r="CB47" s="190">
        <v>18107</v>
      </c>
      <c r="CC47" s="190">
        <v>37596</v>
      </c>
      <c r="CD47" s="190">
        <v>17</v>
      </c>
      <c r="CE47" s="190">
        <v>141</v>
      </c>
      <c r="CF47" s="190">
        <v>16</v>
      </c>
      <c r="CG47" s="190">
        <v>126</v>
      </c>
      <c r="CH47" s="190">
        <v>142</v>
      </c>
      <c r="CI47" s="190">
        <v>0</v>
      </c>
      <c r="CJ47" s="190">
        <v>67</v>
      </c>
      <c r="CK47" s="190">
        <v>0</v>
      </c>
      <c r="CL47" s="190">
        <v>56</v>
      </c>
      <c r="CM47" s="190">
        <v>56</v>
      </c>
      <c r="CN47" s="190">
        <v>149</v>
      </c>
      <c r="CO47" s="190">
        <v>1696</v>
      </c>
      <c r="CP47" s="190">
        <v>1845</v>
      </c>
      <c r="CQ47" s="190">
        <v>0</v>
      </c>
      <c r="CR47" s="190">
        <v>0</v>
      </c>
      <c r="CS47" s="190">
        <v>0</v>
      </c>
      <c r="CT47" s="190">
        <v>1858</v>
      </c>
      <c r="CU47" s="190">
        <v>14602</v>
      </c>
      <c r="CV47" s="190">
        <v>16460</v>
      </c>
      <c r="CW47" s="190">
        <v>130</v>
      </c>
      <c r="CX47" s="190">
        <v>731</v>
      </c>
      <c r="CY47" s="190">
        <v>861</v>
      </c>
      <c r="CZ47" s="190">
        <v>127</v>
      </c>
      <c r="DA47" s="190">
        <v>0</v>
      </c>
      <c r="DB47" s="190">
        <v>0</v>
      </c>
      <c r="DC47" s="190">
        <v>708</v>
      </c>
      <c r="DD47" s="190">
        <v>4</v>
      </c>
      <c r="DE47" s="190">
        <v>0</v>
      </c>
      <c r="DF47" s="190">
        <v>127</v>
      </c>
      <c r="DG47" s="190">
        <v>712</v>
      </c>
      <c r="DH47" s="190">
        <v>839</v>
      </c>
      <c r="DI47" s="190">
        <v>3</v>
      </c>
      <c r="DJ47" s="190">
        <v>0</v>
      </c>
      <c r="DK47" s="190">
        <v>0</v>
      </c>
      <c r="DL47" s="190">
        <v>19</v>
      </c>
      <c r="DM47" s="190">
        <v>0</v>
      </c>
      <c r="DN47" s="190">
        <v>0</v>
      </c>
      <c r="DO47" s="190">
        <v>3</v>
      </c>
      <c r="DP47" s="190">
        <v>19</v>
      </c>
      <c r="DQ47" s="190">
        <v>22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2972</v>
      </c>
      <c r="C48" s="190">
        <v>724</v>
      </c>
      <c r="D48" s="190">
        <v>2693</v>
      </c>
      <c r="E48" s="190">
        <v>1680</v>
      </c>
      <c r="F48" s="190">
        <v>0</v>
      </c>
      <c r="G48" s="190">
        <v>14</v>
      </c>
      <c r="H48" s="190">
        <v>14</v>
      </c>
      <c r="I48" s="190">
        <v>1</v>
      </c>
      <c r="J48" s="190">
        <v>766</v>
      </c>
      <c r="K48" s="190">
        <v>767</v>
      </c>
      <c r="L48" s="190">
        <v>0</v>
      </c>
      <c r="M48" s="190">
        <v>280</v>
      </c>
      <c r="N48" s="190">
        <v>280</v>
      </c>
      <c r="O48" s="190">
        <v>1</v>
      </c>
      <c r="P48" s="190">
        <v>486</v>
      </c>
      <c r="Q48" s="190">
        <v>487</v>
      </c>
      <c r="R48" s="190">
        <v>0</v>
      </c>
      <c r="S48" s="190">
        <v>34</v>
      </c>
      <c r="T48" s="190">
        <v>34</v>
      </c>
      <c r="U48" s="190">
        <v>0</v>
      </c>
      <c r="V48" s="190">
        <v>246</v>
      </c>
      <c r="W48" s="190">
        <v>246</v>
      </c>
      <c r="X48" s="190">
        <v>34</v>
      </c>
      <c r="Y48" s="190">
        <v>1717</v>
      </c>
      <c r="Z48" s="190">
        <v>1751</v>
      </c>
      <c r="AA48" s="190">
        <v>15</v>
      </c>
      <c r="AB48" s="190">
        <v>533</v>
      </c>
      <c r="AC48" s="190">
        <v>548</v>
      </c>
      <c r="AD48" s="190">
        <v>15</v>
      </c>
      <c r="AE48" s="190">
        <v>524</v>
      </c>
      <c r="AF48" s="190">
        <v>539</v>
      </c>
      <c r="AG48" s="190">
        <v>0</v>
      </c>
      <c r="AH48" s="190">
        <v>6</v>
      </c>
      <c r="AI48" s="190">
        <v>6</v>
      </c>
      <c r="AJ48" s="190">
        <v>0</v>
      </c>
      <c r="AK48" s="190">
        <v>3</v>
      </c>
      <c r="AL48" s="190">
        <v>3</v>
      </c>
      <c r="AM48" s="190">
        <v>19</v>
      </c>
      <c r="AN48" s="190">
        <v>1184</v>
      </c>
      <c r="AO48" s="190">
        <v>1203</v>
      </c>
      <c r="AP48" s="190">
        <v>3514</v>
      </c>
      <c r="AQ48" s="190">
        <v>40877</v>
      </c>
      <c r="AR48" s="190">
        <v>44391</v>
      </c>
      <c r="AS48" s="190">
        <v>3771</v>
      </c>
      <c r="AT48" s="190">
        <v>40486</v>
      </c>
      <c r="AU48" s="190">
        <v>44257</v>
      </c>
      <c r="AV48" s="190">
        <v>-257</v>
      </c>
      <c r="AW48" s="190">
        <v>391</v>
      </c>
      <c r="AX48" s="190">
        <v>134</v>
      </c>
      <c r="AY48" s="190">
        <v>378</v>
      </c>
      <c r="AZ48" s="190">
        <v>2912</v>
      </c>
      <c r="BA48" s="190">
        <v>3290</v>
      </c>
      <c r="BB48" s="190">
        <v>93</v>
      </c>
      <c r="BC48" s="190">
        <v>3</v>
      </c>
      <c r="BD48" s="190">
        <v>1</v>
      </c>
      <c r="BE48" s="190">
        <v>1512</v>
      </c>
      <c r="BF48" s="190">
        <v>18</v>
      </c>
      <c r="BG48" s="190">
        <v>53</v>
      </c>
      <c r="BH48" s="190">
        <v>97</v>
      </c>
      <c r="BI48" s="190">
        <v>1583</v>
      </c>
      <c r="BJ48" s="190">
        <v>1680</v>
      </c>
      <c r="BK48" s="190">
        <v>147</v>
      </c>
      <c r="BL48" s="190">
        <v>-147</v>
      </c>
      <c r="BM48" s="190">
        <v>0</v>
      </c>
      <c r="BN48" s="190">
        <v>10</v>
      </c>
      <c r="BO48" s="190">
        <v>53</v>
      </c>
      <c r="BP48" s="190">
        <v>63</v>
      </c>
      <c r="BQ48" s="190">
        <v>3</v>
      </c>
      <c r="BR48" s="190">
        <v>104</v>
      </c>
      <c r="BS48" s="190">
        <v>107</v>
      </c>
      <c r="BT48" s="190">
        <v>121</v>
      </c>
      <c r="BU48" s="190">
        <v>1319</v>
      </c>
      <c r="BV48" s="190">
        <v>1440</v>
      </c>
      <c r="BW48" s="190">
        <v>3892</v>
      </c>
      <c r="BX48" s="190">
        <v>43789</v>
      </c>
      <c r="BY48" s="190">
        <v>47681</v>
      </c>
      <c r="BZ48" s="190">
        <v>3801</v>
      </c>
      <c r="CA48" s="190">
        <v>42396</v>
      </c>
      <c r="CB48" s="190">
        <v>46197</v>
      </c>
      <c r="CC48" s="190">
        <v>90669</v>
      </c>
      <c r="CD48" s="190">
        <v>97</v>
      </c>
      <c r="CE48" s="190">
        <v>1042</v>
      </c>
      <c r="CF48" s="190">
        <v>88</v>
      </c>
      <c r="CG48" s="190">
        <v>789</v>
      </c>
      <c r="CH48" s="190">
        <v>877</v>
      </c>
      <c r="CI48" s="190">
        <v>807</v>
      </c>
      <c r="CJ48" s="190">
        <v>18</v>
      </c>
      <c r="CK48" s="190">
        <v>3</v>
      </c>
      <c r="CL48" s="190">
        <v>604</v>
      </c>
      <c r="CM48" s="190">
        <v>607</v>
      </c>
      <c r="CN48" s="190">
        <v>228</v>
      </c>
      <c r="CO48" s="190">
        <v>3744</v>
      </c>
      <c r="CP48" s="190">
        <v>3972</v>
      </c>
      <c r="CQ48" s="190">
        <v>0</v>
      </c>
      <c r="CR48" s="190">
        <v>0</v>
      </c>
      <c r="CS48" s="190">
        <v>0</v>
      </c>
      <c r="CT48" s="190">
        <v>3664</v>
      </c>
      <c r="CU48" s="190">
        <v>40045</v>
      </c>
      <c r="CV48" s="190">
        <v>43709</v>
      </c>
      <c r="CW48" s="190">
        <v>310</v>
      </c>
      <c r="CX48" s="190">
        <v>2808</v>
      </c>
      <c r="CY48" s="190">
        <v>3118</v>
      </c>
      <c r="CZ48" s="190">
        <v>292</v>
      </c>
      <c r="DA48" s="190">
        <v>6</v>
      </c>
      <c r="DB48" s="190">
        <v>0</v>
      </c>
      <c r="DC48" s="190">
        <v>2400</v>
      </c>
      <c r="DD48" s="190">
        <v>44</v>
      </c>
      <c r="DE48" s="190">
        <v>22</v>
      </c>
      <c r="DF48" s="190">
        <v>298</v>
      </c>
      <c r="DG48" s="190">
        <v>2466</v>
      </c>
      <c r="DH48" s="190">
        <v>2764</v>
      </c>
      <c r="DI48" s="190">
        <v>12</v>
      </c>
      <c r="DJ48" s="190">
        <v>0</v>
      </c>
      <c r="DK48" s="190">
        <v>0</v>
      </c>
      <c r="DL48" s="190">
        <v>319</v>
      </c>
      <c r="DM48" s="190">
        <v>15</v>
      </c>
      <c r="DN48" s="190">
        <v>8</v>
      </c>
      <c r="DO48" s="190">
        <v>12</v>
      </c>
      <c r="DP48" s="190">
        <v>342</v>
      </c>
      <c r="DQ48" s="190">
        <v>354</v>
      </c>
      <c r="DR48" s="190">
        <v>0</v>
      </c>
      <c r="DS48" s="190">
        <v>0</v>
      </c>
      <c r="DT48" s="191">
        <v>0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717</v>
      </c>
      <c r="C49" s="190">
        <v>213</v>
      </c>
      <c r="D49" s="190">
        <v>718</v>
      </c>
      <c r="E49" s="190">
        <v>419</v>
      </c>
      <c r="F49" s="190">
        <v>0</v>
      </c>
      <c r="G49" s="190">
        <v>10</v>
      </c>
      <c r="H49" s="190">
        <v>10</v>
      </c>
      <c r="I49" s="190">
        <v>0</v>
      </c>
      <c r="J49" s="190">
        <v>247</v>
      </c>
      <c r="K49" s="190">
        <v>247</v>
      </c>
      <c r="L49" s="190">
        <v>0</v>
      </c>
      <c r="M49" s="190">
        <v>69</v>
      </c>
      <c r="N49" s="190">
        <v>69</v>
      </c>
      <c r="O49" s="190">
        <v>0</v>
      </c>
      <c r="P49" s="190">
        <v>178</v>
      </c>
      <c r="Q49" s="190">
        <v>178</v>
      </c>
      <c r="R49" s="190">
        <v>0</v>
      </c>
      <c r="S49" s="190">
        <v>30</v>
      </c>
      <c r="T49" s="190">
        <v>30</v>
      </c>
      <c r="U49" s="190">
        <v>0</v>
      </c>
      <c r="V49" s="190">
        <v>52</v>
      </c>
      <c r="W49" s="190">
        <v>52</v>
      </c>
      <c r="X49" s="190">
        <v>9</v>
      </c>
      <c r="Y49" s="190">
        <v>452</v>
      </c>
      <c r="Z49" s="190">
        <v>461</v>
      </c>
      <c r="AA49" s="190">
        <v>4</v>
      </c>
      <c r="AB49" s="190">
        <v>181</v>
      </c>
      <c r="AC49" s="190">
        <v>185</v>
      </c>
      <c r="AD49" s="190">
        <v>4</v>
      </c>
      <c r="AE49" s="190">
        <v>178</v>
      </c>
      <c r="AF49" s="190">
        <v>182</v>
      </c>
      <c r="AG49" s="190">
        <v>0</v>
      </c>
      <c r="AH49" s="190">
        <v>2</v>
      </c>
      <c r="AI49" s="190">
        <v>2</v>
      </c>
      <c r="AJ49" s="190">
        <v>0</v>
      </c>
      <c r="AK49" s="190">
        <v>1</v>
      </c>
      <c r="AL49" s="190">
        <v>1</v>
      </c>
      <c r="AM49" s="190">
        <v>5</v>
      </c>
      <c r="AN49" s="190">
        <v>271</v>
      </c>
      <c r="AO49" s="190">
        <v>276</v>
      </c>
      <c r="AP49" s="190">
        <v>991</v>
      </c>
      <c r="AQ49" s="190">
        <v>12687</v>
      </c>
      <c r="AR49" s="190">
        <v>13678</v>
      </c>
      <c r="AS49" s="190">
        <v>1000</v>
      </c>
      <c r="AT49" s="190">
        <v>12583</v>
      </c>
      <c r="AU49" s="190">
        <v>13583</v>
      </c>
      <c r="AV49" s="190">
        <v>-9</v>
      </c>
      <c r="AW49" s="190">
        <v>104</v>
      </c>
      <c r="AX49" s="190">
        <v>95</v>
      </c>
      <c r="AY49" s="190">
        <v>50</v>
      </c>
      <c r="AZ49" s="190">
        <v>925</v>
      </c>
      <c r="BA49" s="190">
        <v>975</v>
      </c>
      <c r="BB49" s="190">
        <v>21</v>
      </c>
      <c r="BC49" s="190">
        <v>1</v>
      </c>
      <c r="BD49" s="190">
        <v>0</v>
      </c>
      <c r="BE49" s="190">
        <v>396</v>
      </c>
      <c r="BF49" s="190">
        <v>0</v>
      </c>
      <c r="BG49" s="190">
        <v>1</v>
      </c>
      <c r="BH49" s="190">
        <v>22</v>
      </c>
      <c r="BI49" s="190">
        <v>397</v>
      </c>
      <c r="BJ49" s="190">
        <v>419</v>
      </c>
      <c r="BK49" s="190">
        <v>-19</v>
      </c>
      <c r="BL49" s="190">
        <v>19</v>
      </c>
      <c r="BM49" s="190">
        <v>0</v>
      </c>
      <c r="BN49" s="190">
        <v>2</v>
      </c>
      <c r="BO49" s="190">
        <v>24</v>
      </c>
      <c r="BP49" s="190">
        <v>26</v>
      </c>
      <c r="BQ49" s="190">
        <v>0</v>
      </c>
      <c r="BR49" s="190">
        <v>1</v>
      </c>
      <c r="BS49" s="190">
        <v>1</v>
      </c>
      <c r="BT49" s="190">
        <v>45</v>
      </c>
      <c r="BU49" s="190">
        <v>484</v>
      </c>
      <c r="BV49" s="190">
        <v>529</v>
      </c>
      <c r="BW49" s="190">
        <v>1041</v>
      </c>
      <c r="BX49" s="190">
        <v>13612</v>
      </c>
      <c r="BY49" s="190">
        <v>14653</v>
      </c>
      <c r="BZ49" s="190">
        <v>1037</v>
      </c>
      <c r="CA49" s="190">
        <v>13552</v>
      </c>
      <c r="CB49" s="190">
        <v>14589</v>
      </c>
      <c r="CC49" s="190">
        <v>26016</v>
      </c>
      <c r="CD49" s="190">
        <v>4</v>
      </c>
      <c r="CE49" s="190">
        <v>58</v>
      </c>
      <c r="CF49" s="190">
        <v>4</v>
      </c>
      <c r="CG49" s="190">
        <v>49</v>
      </c>
      <c r="CH49" s="190">
        <v>53</v>
      </c>
      <c r="CI49" s="190">
        <v>0</v>
      </c>
      <c r="CJ49" s="190">
        <v>13</v>
      </c>
      <c r="CK49" s="190">
        <v>0</v>
      </c>
      <c r="CL49" s="190">
        <v>11</v>
      </c>
      <c r="CM49" s="190">
        <v>11</v>
      </c>
      <c r="CN49" s="190">
        <v>58</v>
      </c>
      <c r="CO49" s="190">
        <v>1338</v>
      </c>
      <c r="CP49" s="190">
        <v>1396</v>
      </c>
      <c r="CQ49" s="190">
        <v>0</v>
      </c>
      <c r="CR49" s="190">
        <v>0</v>
      </c>
      <c r="CS49" s="190">
        <v>0</v>
      </c>
      <c r="CT49" s="190">
        <v>983</v>
      </c>
      <c r="CU49" s="190">
        <v>12274</v>
      </c>
      <c r="CV49" s="190">
        <v>13257</v>
      </c>
      <c r="CW49" s="190">
        <v>84</v>
      </c>
      <c r="CX49" s="190">
        <v>601</v>
      </c>
      <c r="CY49" s="190">
        <v>685</v>
      </c>
      <c r="CZ49" s="190">
        <v>82</v>
      </c>
      <c r="DA49" s="190">
        <v>0</v>
      </c>
      <c r="DB49" s="190">
        <v>0</v>
      </c>
      <c r="DC49" s="190">
        <v>576</v>
      </c>
      <c r="DD49" s="190">
        <v>1</v>
      </c>
      <c r="DE49" s="190">
        <v>0</v>
      </c>
      <c r="DF49" s="190">
        <v>82</v>
      </c>
      <c r="DG49" s="190">
        <v>577</v>
      </c>
      <c r="DH49" s="190">
        <v>659</v>
      </c>
      <c r="DI49" s="190">
        <v>2</v>
      </c>
      <c r="DJ49" s="190">
        <v>0</v>
      </c>
      <c r="DK49" s="190">
        <v>0</v>
      </c>
      <c r="DL49" s="190">
        <v>24</v>
      </c>
      <c r="DM49" s="190">
        <v>0</v>
      </c>
      <c r="DN49" s="190">
        <v>0</v>
      </c>
      <c r="DO49" s="190">
        <v>2</v>
      </c>
      <c r="DP49" s="190">
        <v>24</v>
      </c>
      <c r="DQ49" s="190">
        <v>26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1093</v>
      </c>
      <c r="C50" s="190">
        <v>246</v>
      </c>
      <c r="D50" s="190">
        <v>1054</v>
      </c>
      <c r="E50" s="190">
        <v>616</v>
      </c>
      <c r="F50" s="190">
        <v>3</v>
      </c>
      <c r="G50" s="190">
        <v>26</v>
      </c>
      <c r="H50" s="190">
        <v>29</v>
      </c>
      <c r="I50" s="190">
        <v>1</v>
      </c>
      <c r="J50" s="190">
        <v>418</v>
      </c>
      <c r="K50" s="190">
        <v>419</v>
      </c>
      <c r="L50" s="190">
        <v>1</v>
      </c>
      <c r="M50" s="190">
        <v>132</v>
      </c>
      <c r="N50" s="190">
        <v>133</v>
      </c>
      <c r="O50" s="190">
        <v>0</v>
      </c>
      <c r="P50" s="190">
        <v>286</v>
      </c>
      <c r="Q50" s="190">
        <v>286</v>
      </c>
      <c r="R50" s="190">
        <v>0</v>
      </c>
      <c r="S50" s="190">
        <v>8</v>
      </c>
      <c r="T50" s="190">
        <v>8</v>
      </c>
      <c r="U50" s="190">
        <v>0</v>
      </c>
      <c r="V50" s="190">
        <v>19</v>
      </c>
      <c r="W50" s="190">
        <v>19</v>
      </c>
      <c r="X50" s="190">
        <v>25</v>
      </c>
      <c r="Y50" s="190">
        <v>1029</v>
      </c>
      <c r="Z50" s="190">
        <v>1054</v>
      </c>
      <c r="AA50" s="190">
        <v>19</v>
      </c>
      <c r="AB50" s="190">
        <v>434</v>
      </c>
      <c r="AC50" s="190">
        <v>453</v>
      </c>
      <c r="AD50" s="190">
        <v>17</v>
      </c>
      <c r="AE50" s="190">
        <v>424</v>
      </c>
      <c r="AF50" s="190">
        <v>441</v>
      </c>
      <c r="AG50" s="190">
        <v>2</v>
      </c>
      <c r="AH50" s="190">
        <v>7</v>
      </c>
      <c r="AI50" s="190">
        <v>9</v>
      </c>
      <c r="AJ50" s="190">
        <v>0</v>
      </c>
      <c r="AK50" s="190">
        <v>3</v>
      </c>
      <c r="AL50" s="190">
        <v>3</v>
      </c>
      <c r="AM50" s="190">
        <v>6</v>
      </c>
      <c r="AN50" s="190">
        <v>595</v>
      </c>
      <c r="AO50" s="190">
        <v>601</v>
      </c>
      <c r="AP50" s="190">
        <v>1124</v>
      </c>
      <c r="AQ50" s="190">
        <v>10359</v>
      </c>
      <c r="AR50" s="190">
        <v>11483</v>
      </c>
      <c r="AS50" s="190">
        <v>1124</v>
      </c>
      <c r="AT50" s="190">
        <v>10359</v>
      </c>
      <c r="AU50" s="190">
        <v>11483</v>
      </c>
      <c r="AV50" s="190">
        <v>0</v>
      </c>
      <c r="AW50" s="190">
        <v>0</v>
      </c>
      <c r="AX50" s="190">
        <v>0</v>
      </c>
      <c r="AY50" s="190">
        <v>48</v>
      </c>
      <c r="AZ50" s="190">
        <v>1128</v>
      </c>
      <c r="BA50" s="190">
        <v>1176</v>
      </c>
      <c r="BB50" s="190">
        <v>29</v>
      </c>
      <c r="BC50" s="190">
        <v>0</v>
      </c>
      <c r="BD50" s="190">
        <v>0</v>
      </c>
      <c r="BE50" s="190">
        <v>584</v>
      </c>
      <c r="BF50" s="190">
        <v>3</v>
      </c>
      <c r="BG50" s="190">
        <v>0</v>
      </c>
      <c r="BH50" s="190">
        <v>29</v>
      </c>
      <c r="BI50" s="190">
        <v>587</v>
      </c>
      <c r="BJ50" s="190">
        <v>616</v>
      </c>
      <c r="BK50" s="190">
        <v>-29</v>
      </c>
      <c r="BL50" s="190">
        <v>29</v>
      </c>
      <c r="BM50" s="190">
        <v>0</v>
      </c>
      <c r="BN50" s="190">
        <v>9</v>
      </c>
      <c r="BO50" s="190">
        <v>38</v>
      </c>
      <c r="BP50" s="190">
        <v>47</v>
      </c>
      <c r="BQ50" s="190">
        <v>4</v>
      </c>
      <c r="BR50" s="190">
        <v>199</v>
      </c>
      <c r="BS50" s="190">
        <v>203</v>
      </c>
      <c r="BT50" s="190">
        <v>35</v>
      </c>
      <c r="BU50" s="190">
        <v>275</v>
      </c>
      <c r="BV50" s="190">
        <v>310</v>
      </c>
      <c r="BW50" s="190">
        <v>1172</v>
      </c>
      <c r="BX50" s="190">
        <v>11487</v>
      </c>
      <c r="BY50" s="190">
        <v>12659</v>
      </c>
      <c r="BZ50" s="190">
        <v>1169</v>
      </c>
      <c r="CA50" s="190">
        <v>11450</v>
      </c>
      <c r="CB50" s="190">
        <v>12619</v>
      </c>
      <c r="CC50" s="190">
        <v>23551</v>
      </c>
      <c r="CD50" s="190">
        <v>4</v>
      </c>
      <c r="CE50" s="190">
        <v>22</v>
      </c>
      <c r="CF50" s="190">
        <v>3</v>
      </c>
      <c r="CG50" s="190">
        <v>21</v>
      </c>
      <c r="CH50" s="190">
        <v>24</v>
      </c>
      <c r="CI50" s="190">
        <v>17</v>
      </c>
      <c r="CJ50" s="190">
        <v>3</v>
      </c>
      <c r="CK50" s="190">
        <v>0</v>
      </c>
      <c r="CL50" s="190">
        <v>16</v>
      </c>
      <c r="CM50" s="190">
        <v>16</v>
      </c>
      <c r="CN50" s="190">
        <v>85</v>
      </c>
      <c r="CO50" s="190">
        <v>1187</v>
      </c>
      <c r="CP50" s="190">
        <v>1272</v>
      </c>
      <c r="CQ50" s="190">
        <v>0</v>
      </c>
      <c r="CR50" s="190">
        <v>11</v>
      </c>
      <c r="CS50" s="190">
        <v>11</v>
      </c>
      <c r="CT50" s="190">
        <v>1087</v>
      </c>
      <c r="CU50" s="190">
        <v>10300</v>
      </c>
      <c r="CV50" s="190">
        <v>11387</v>
      </c>
      <c r="CW50" s="190">
        <v>58</v>
      </c>
      <c r="CX50" s="190">
        <v>400</v>
      </c>
      <c r="CY50" s="190">
        <v>458</v>
      </c>
      <c r="CZ50" s="190">
        <v>58</v>
      </c>
      <c r="DA50" s="190">
        <v>0</v>
      </c>
      <c r="DB50" s="190">
        <v>0</v>
      </c>
      <c r="DC50" s="190">
        <v>384</v>
      </c>
      <c r="DD50" s="190">
        <v>1</v>
      </c>
      <c r="DE50" s="190">
        <v>1</v>
      </c>
      <c r="DF50" s="190">
        <v>58</v>
      </c>
      <c r="DG50" s="190">
        <v>386</v>
      </c>
      <c r="DH50" s="190">
        <v>444</v>
      </c>
      <c r="DI50" s="190">
        <v>0</v>
      </c>
      <c r="DJ50" s="190">
        <v>0</v>
      </c>
      <c r="DK50" s="190">
        <v>0</v>
      </c>
      <c r="DL50" s="190">
        <v>14</v>
      </c>
      <c r="DM50" s="190">
        <v>0</v>
      </c>
      <c r="DN50" s="190">
        <v>0</v>
      </c>
      <c r="DO50" s="190">
        <v>0</v>
      </c>
      <c r="DP50" s="190">
        <v>14</v>
      </c>
      <c r="DQ50" s="190">
        <v>14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15</v>
      </c>
      <c r="C51" s="190">
        <v>1</v>
      </c>
      <c r="D51" s="190">
        <v>13</v>
      </c>
      <c r="E51" s="190">
        <v>10</v>
      </c>
      <c r="F51" s="190">
        <v>0</v>
      </c>
      <c r="G51" s="190">
        <v>0</v>
      </c>
      <c r="H51" s="190">
        <v>0</v>
      </c>
      <c r="I51" s="190">
        <v>0</v>
      </c>
      <c r="J51" s="190">
        <v>3</v>
      </c>
      <c r="K51" s="190">
        <v>3</v>
      </c>
      <c r="L51" s="190">
        <v>0</v>
      </c>
      <c r="M51" s="190">
        <v>2</v>
      </c>
      <c r="N51" s="190">
        <v>2</v>
      </c>
      <c r="O51" s="190">
        <v>0</v>
      </c>
      <c r="P51" s="190">
        <v>1</v>
      </c>
      <c r="Q51" s="190">
        <v>1</v>
      </c>
      <c r="R51" s="190">
        <v>0</v>
      </c>
      <c r="S51" s="190">
        <v>0</v>
      </c>
      <c r="T51" s="190">
        <v>0</v>
      </c>
      <c r="U51" s="190">
        <v>0</v>
      </c>
      <c r="V51" s="190">
        <v>0</v>
      </c>
      <c r="W51" s="190">
        <v>0</v>
      </c>
      <c r="X51" s="190">
        <v>1</v>
      </c>
      <c r="Y51" s="190">
        <v>12</v>
      </c>
      <c r="Z51" s="190">
        <v>13</v>
      </c>
      <c r="AA51" s="190">
        <v>1</v>
      </c>
      <c r="AB51" s="190">
        <v>9</v>
      </c>
      <c r="AC51" s="190">
        <v>10</v>
      </c>
      <c r="AD51" s="190">
        <v>1</v>
      </c>
      <c r="AE51" s="190">
        <v>9</v>
      </c>
      <c r="AF51" s="190">
        <v>10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0</v>
      </c>
      <c r="AN51" s="190">
        <v>3</v>
      </c>
      <c r="AO51" s="190">
        <v>3</v>
      </c>
      <c r="AP51" s="190">
        <v>12</v>
      </c>
      <c r="AQ51" s="190">
        <v>142</v>
      </c>
      <c r="AR51" s="190">
        <v>154</v>
      </c>
      <c r="AS51" s="190">
        <v>12</v>
      </c>
      <c r="AT51" s="190">
        <v>142</v>
      </c>
      <c r="AU51" s="190">
        <v>154</v>
      </c>
      <c r="AV51" s="190">
        <v>0</v>
      </c>
      <c r="AW51" s="190">
        <v>0</v>
      </c>
      <c r="AX51" s="190">
        <v>0</v>
      </c>
      <c r="AY51" s="190">
        <v>1</v>
      </c>
      <c r="AZ51" s="190">
        <v>12</v>
      </c>
      <c r="BA51" s="190">
        <v>13</v>
      </c>
      <c r="BB51" s="190">
        <v>1</v>
      </c>
      <c r="BC51" s="190">
        <v>0</v>
      </c>
      <c r="BD51" s="190">
        <v>0</v>
      </c>
      <c r="BE51" s="190">
        <v>9</v>
      </c>
      <c r="BF51" s="190">
        <v>0</v>
      </c>
      <c r="BG51" s="190">
        <v>0</v>
      </c>
      <c r="BH51" s="190">
        <v>1</v>
      </c>
      <c r="BI51" s="190">
        <v>9</v>
      </c>
      <c r="BJ51" s="190">
        <v>10</v>
      </c>
      <c r="BK51" s="190">
        <v>-1</v>
      </c>
      <c r="BL51" s="190">
        <v>1</v>
      </c>
      <c r="BM51" s="190">
        <v>0</v>
      </c>
      <c r="BN51" s="190">
        <v>1</v>
      </c>
      <c r="BO51" s="190">
        <v>1</v>
      </c>
      <c r="BP51" s="190">
        <v>2</v>
      </c>
      <c r="BQ51" s="190">
        <v>0</v>
      </c>
      <c r="BR51" s="190">
        <v>1</v>
      </c>
      <c r="BS51" s="190">
        <v>1</v>
      </c>
      <c r="BT51" s="190">
        <v>0</v>
      </c>
      <c r="BU51" s="190">
        <v>0</v>
      </c>
      <c r="BV51" s="190">
        <v>0</v>
      </c>
      <c r="BW51" s="190">
        <v>13</v>
      </c>
      <c r="BX51" s="190">
        <v>154</v>
      </c>
      <c r="BY51" s="190">
        <v>167</v>
      </c>
      <c r="BZ51" s="190">
        <v>13</v>
      </c>
      <c r="CA51" s="190">
        <v>154</v>
      </c>
      <c r="CB51" s="190">
        <v>167</v>
      </c>
      <c r="CC51" s="190">
        <v>275</v>
      </c>
      <c r="CD51" s="190">
        <v>0</v>
      </c>
      <c r="CE51" s="190">
        <v>0</v>
      </c>
      <c r="CF51" s="190">
        <v>0</v>
      </c>
      <c r="CG51" s="190">
        <v>0</v>
      </c>
      <c r="CH51" s="190">
        <v>0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2</v>
      </c>
      <c r="CO51" s="190">
        <v>16</v>
      </c>
      <c r="CP51" s="190">
        <v>18</v>
      </c>
      <c r="CQ51" s="190">
        <v>0</v>
      </c>
      <c r="CR51" s="190">
        <v>0</v>
      </c>
      <c r="CS51" s="190">
        <v>0</v>
      </c>
      <c r="CT51" s="190">
        <v>11</v>
      </c>
      <c r="CU51" s="190">
        <v>138</v>
      </c>
      <c r="CV51" s="190">
        <v>149</v>
      </c>
      <c r="CW51" s="190">
        <v>1</v>
      </c>
      <c r="CX51" s="190">
        <v>6</v>
      </c>
      <c r="CY51" s="190">
        <v>7</v>
      </c>
      <c r="CZ51" s="190">
        <v>1</v>
      </c>
      <c r="DA51" s="190">
        <v>0</v>
      </c>
      <c r="DB51" s="190">
        <v>0</v>
      </c>
      <c r="DC51" s="190">
        <v>6</v>
      </c>
      <c r="DD51" s="190">
        <v>0</v>
      </c>
      <c r="DE51" s="190">
        <v>0</v>
      </c>
      <c r="DF51" s="190">
        <v>1</v>
      </c>
      <c r="DG51" s="190">
        <v>6</v>
      </c>
      <c r="DH51" s="190">
        <v>7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236</v>
      </c>
      <c r="C52" s="190">
        <v>68</v>
      </c>
      <c r="D52" s="190">
        <v>229</v>
      </c>
      <c r="E52" s="190">
        <v>121</v>
      </c>
      <c r="F52" s="190">
        <v>0</v>
      </c>
      <c r="G52" s="190">
        <v>1</v>
      </c>
      <c r="H52" s="190">
        <v>1</v>
      </c>
      <c r="I52" s="190">
        <v>0</v>
      </c>
      <c r="J52" s="190">
        <v>98</v>
      </c>
      <c r="K52" s="190">
        <v>98</v>
      </c>
      <c r="L52" s="190">
        <v>0</v>
      </c>
      <c r="M52" s="190">
        <v>48</v>
      </c>
      <c r="N52" s="190">
        <v>48</v>
      </c>
      <c r="O52" s="190">
        <v>0</v>
      </c>
      <c r="P52" s="190">
        <v>50</v>
      </c>
      <c r="Q52" s="190">
        <v>50</v>
      </c>
      <c r="R52" s="190">
        <v>0</v>
      </c>
      <c r="S52" s="190">
        <v>0</v>
      </c>
      <c r="T52" s="190">
        <v>0</v>
      </c>
      <c r="U52" s="190">
        <v>0</v>
      </c>
      <c r="V52" s="190">
        <v>10</v>
      </c>
      <c r="W52" s="190">
        <v>10</v>
      </c>
      <c r="X52" s="190">
        <v>2</v>
      </c>
      <c r="Y52" s="190">
        <v>227</v>
      </c>
      <c r="Z52" s="190">
        <v>229</v>
      </c>
      <c r="AA52" s="190">
        <v>2</v>
      </c>
      <c r="AB52" s="190">
        <v>79</v>
      </c>
      <c r="AC52" s="190">
        <v>81</v>
      </c>
      <c r="AD52" s="190">
        <v>1</v>
      </c>
      <c r="AE52" s="190">
        <v>69</v>
      </c>
      <c r="AF52" s="190">
        <v>70</v>
      </c>
      <c r="AG52" s="190">
        <v>1</v>
      </c>
      <c r="AH52" s="190">
        <v>6</v>
      </c>
      <c r="AI52" s="190">
        <v>7</v>
      </c>
      <c r="AJ52" s="190">
        <v>0</v>
      </c>
      <c r="AK52" s="190">
        <v>4</v>
      </c>
      <c r="AL52" s="190">
        <v>4</v>
      </c>
      <c r="AM52" s="190">
        <v>0</v>
      </c>
      <c r="AN52" s="190">
        <v>148</v>
      </c>
      <c r="AO52" s="190">
        <v>148</v>
      </c>
      <c r="AP52" s="190">
        <v>351</v>
      </c>
      <c r="AQ52" s="190">
        <v>2561</v>
      </c>
      <c r="AR52" s="190">
        <v>2912</v>
      </c>
      <c r="AS52" s="190">
        <v>351</v>
      </c>
      <c r="AT52" s="190">
        <v>2561</v>
      </c>
      <c r="AU52" s="190">
        <v>2912</v>
      </c>
      <c r="AV52" s="190">
        <v>0</v>
      </c>
      <c r="AW52" s="190">
        <v>0</v>
      </c>
      <c r="AX52" s="190">
        <v>0</v>
      </c>
      <c r="AY52" s="190">
        <v>7</v>
      </c>
      <c r="AZ52" s="190">
        <v>232</v>
      </c>
      <c r="BA52" s="190">
        <v>239</v>
      </c>
      <c r="BB52" s="190">
        <v>3</v>
      </c>
      <c r="BC52" s="190">
        <v>0</v>
      </c>
      <c r="BD52" s="190">
        <v>0</v>
      </c>
      <c r="BE52" s="190">
        <v>118</v>
      </c>
      <c r="BF52" s="190">
        <v>0</v>
      </c>
      <c r="BG52" s="190">
        <v>0</v>
      </c>
      <c r="BH52" s="190">
        <v>3</v>
      </c>
      <c r="BI52" s="190">
        <v>118</v>
      </c>
      <c r="BJ52" s="190">
        <v>121</v>
      </c>
      <c r="BK52" s="190">
        <v>-13</v>
      </c>
      <c r="BL52" s="190">
        <v>13</v>
      </c>
      <c r="BM52" s="190">
        <v>0</v>
      </c>
      <c r="BN52" s="190">
        <v>0</v>
      </c>
      <c r="BO52" s="190">
        <v>4</v>
      </c>
      <c r="BP52" s="190">
        <v>4</v>
      </c>
      <c r="BQ52" s="190">
        <v>3</v>
      </c>
      <c r="BR52" s="190">
        <v>18</v>
      </c>
      <c r="BS52" s="190">
        <v>21</v>
      </c>
      <c r="BT52" s="190">
        <v>14</v>
      </c>
      <c r="BU52" s="190">
        <v>79</v>
      </c>
      <c r="BV52" s="190">
        <v>93</v>
      </c>
      <c r="BW52" s="190">
        <v>358</v>
      </c>
      <c r="BX52" s="190">
        <v>2793</v>
      </c>
      <c r="BY52" s="190">
        <v>3151</v>
      </c>
      <c r="BZ52" s="190">
        <v>357</v>
      </c>
      <c r="CA52" s="190">
        <v>2783</v>
      </c>
      <c r="CB52" s="190">
        <v>3140</v>
      </c>
      <c r="CC52" s="190">
        <v>6470</v>
      </c>
      <c r="CD52" s="190">
        <v>1</v>
      </c>
      <c r="CE52" s="190">
        <v>8</v>
      </c>
      <c r="CF52" s="190">
        <v>1</v>
      </c>
      <c r="CG52" s="190">
        <v>7</v>
      </c>
      <c r="CH52" s="190">
        <v>8</v>
      </c>
      <c r="CI52" s="190">
        <v>4</v>
      </c>
      <c r="CJ52" s="190">
        <v>0</v>
      </c>
      <c r="CK52" s="190">
        <v>0</v>
      </c>
      <c r="CL52" s="190">
        <v>3</v>
      </c>
      <c r="CM52" s="190">
        <v>3</v>
      </c>
      <c r="CN52" s="190">
        <v>27</v>
      </c>
      <c r="CO52" s="190">
        <v>230</v>
      </c>
      <c r="CP52" s="190">
        <v>257</v>
      </c>
      <c r="CQ52" s="190">
        <v>0</v>
      </c>
      <c r="CR52" s="190">
        <v>4</v>
      </c>
      <c r="CS52" s="190">
        <v>4</v>
      </c>
      <c r="CT52" s="190">
        <v>331</v>
      </c>
      <c r="CU52" s="190">
        <v>2563</v>
      </c>
      <c r="CV52" s="190">
        <v>2894</v>
      </c>
      <c r="CW52" s="190">
        <v>31</v>
      </c>
      <c r="CX52" s="190">
        <v>122</v>
      </c>
      <c r="CY52" s="190">
        <v>153</v>
      </c>
      <c r="CZ52" s="190">
        <v>28</v>
      </c>
      <c r="DA52" s="190">
        <v>1</v>
      </c>
      <c r="DB52" s="190">
        <v>0</v>
      </c>
      <c r="DC52" s="190">
        <v>122</v>
      </c>
      <c r="DD52" s="190">
        <v>0</v>
      </c>
      <c r="DE52" s="190">
        <v>0</v>
      </c>
      <c r="DF52" s="190">
        <v>29</v>
      </c>
      <c r="DG52" s="190">
        <v>122</v>
      </c>
      <c r="DH52" s="190">
        <v>151</v>
      </c>
      <c r="DI52" s="190">
        <v>2</v>
      </c>
      <c r="DJ52" s="190">
        <v>0</v>
      </c>
      <c r="DK52" s="190">
        <v>0</v>
      </c>
      <c r="DL52" s="190">
        <v>0</v>
      </c>
      <c r="DM52" s="190">
        <v>0</v>
      </c>
      <c r="DN52" s="190">
        <v>0</v>
      </c>
      <c r="DO52" s="190">
        <v>2</v>
      </c>
      <c r="DP52" s="190">
        <v>0</v>
      </c>
      <c r="DQ52" s="190">
        <v>2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1496</v>
      </c>
      <c r="C53" s="190">
        <v>394</v>
      </c>
      <c r="D53" s="190">
        <v>1315</v>
      </c>
      <c r="E53" s="190">
        <v>792</v>
      </c>
      <c r="F53" s="190">
        <v>1</v>
      </c>
      <c r="G53" s="190">
        <v>12</v>
      </c>
      <c r="H53" s="190">
        <v>13</v>
      </c>
      <c r="I53" s="190">
        <v>0</v>
      </c>
      <c r="J53" s="190">
        <v>432</v>
      </c>
      <c r="K53" s="190">
        <v>432</v>
      </c>
      <c r="L53" s="190">
        <v>0</v>
      </c>
      <c r="M53" s="190">
        <v>164</v>
      </c>
      <c r="N53" s="190">
        <v>164</v>
      </c>
      <c r="O53" s="190">
        <v>0</v>
      </c>
      <c r="P53" s="190">
        <v>268</v>
      </c>
      <c r="Q53" s="190">
        <v>268</v>
      </c>
      <c r="R53" s="190">
        <v>0</v>
      </c>
      <c r="S53" s="190">
        <v>0</v>
      </c>
      <c r="T53" s="190">
        <v>0</v>
      </c>
      <c r="U53" s="190">
        <v>0</v>
      </c>
      <c r="V53" s="190">
        <v>91</v>
      </c>
      <c r="W53" s="190">
        <v>91</v>
      </c>
      <c r="X53" s="190">
        <v>11</v>
      </c>
      <c r="Y53" s="190">
        <v>730</v>
      </c>
      <c r="Z53" s="190">
        <v>741</v>
      </c>
      <c r="AA53" s="190">
        <v>8</v>
      </c>
      <c r="AB53" s="190">
        <v>416</v>
      </c>
      <c r="AC53" s="190">
        <v>424</v>
      </c>
      <c r="AD53" s="190">
        <v>6</v>
      </c>
      <c r="AE53" s="190">
        <v>408</v>
      </c>
      <c r="AF53" s="190">
        <v>414</v>
      </c>
      <c r="AG53" s="190">
        <v>2</v>
      </c>
      <c r="AH53" s="190">
        <v>8</v>
      </c>
      <c r="AI53" s="190">
        <v>10</v>
      </c>
      <c r="AJ53" s="190">
        <v>0</v>
      </c>
      <c r="AK53" s="190">
        <v>0</v>
      </c>
      <c r="AL53" s="190">
        <v>0</v>
      </c>
      <c r="AM53" s="190">
        <v>3</v>
      </c>
      <c r="AN53" s="190">
        <v>314</v>
      </c>
      <c r="AO53" s="190">
        <v>317</v>
      </c>
      <c r="AP53" s="190">
        <v>2194</v>
      </c>
      <c r="AQ53" s="190">
        <v>17330</v>
      </c>
      <c r="AR53" s="190">
        <v>19524</v>
      </c>
      <c r="AS53" s="190">
        <v>2302</v>
      </c>
      <c r="AT53" s="190">
        <v>16980</v>
      </c>
      <c r="AU53" s="190">
        <v>19282</v>
      </c>
      <c r="AV53" s="190">
        <v>-108</v>
      </c>
      <c r="AW53" s="190">
        <v>350</v>
      </c>
      <c r="AX53" s="190">
        <v>242</v>
      </c>
      <c r="AY53" s="190">
        <v>170</v>
      </c>
      <c r="AZ53" s="190">
        <v>1420</v>
      </c>
      <c r="BA53" s="190">
        <v>1590</v>
      </c>
      <c r="BB53" s="190">
        <v>43</v>
      </c>
      <c r="BC53" s="190">
        <v>1</v>
      </c>
      <c r="BD53" s="190">
        <v>0</v>
      </c>
      <c r="BE53" s="190">
        <v>733</v>
      </c>
      <c r="BF53" s="190">
        <v>6</v>
      </c>
      <c r="BG53" s="190">
        <v>9</v>
      </c>
      <c r="BH53" s="190">
        <v>44</v>
      </c>
      <c r="BI53" s="190">
        <v>748</v>
      </c>
      <c r="BJ53" s="190">
        <v>792</v>
      </c>
      <c r="BK53" s="190">
        <v>48</v>
      </c>
      <c r="BL53" s="190">
        <v>-48</v>
      </c>
      <c r="BM53" s="190">
        <v>0</v>
      </c>
      <c r="BN53" s="190">
        <v>9</v>
      </c>
      <c r="BO53" s="190">
        <v>34</v>
      </c>
      <c r="BP53" s="190">
        <v>43</v>
      </c>
      <c r="BQ53" s="190">
        <v>1</v>
      </c>
      <c r="BR53" s="190">
        <v>92</v>
      </c>
      <c r="BS53" s="190">
        <v>93</v>
      </c>
      <c r="BT53" s="190">
        <v>68</v>
      </c>
      <c r="BU53" s="190">
        <v>594</v>
      </c>
      <c r="BV53" s="190">
        <v>662</v>
      </c>
      <c r="BW53" s="190">
        <v>2364</v>
      </c>
      <c r="BX53" s="190">
        <v>18750</v>
      </c>
      <c r="BY53" s="190">
        <v>21114</v>
      </c>
      <c r="BZ53" s="190">
        <v>2343</v>
      </c>
      <c r="CA53" s="190">
        <v>18533</v>
      </c>
      <c r="CB53" s="190">
        <v>20876</v>
      </c>
      <c r="CC53" s="190">
        <v>39180</v>
      </c>
      <c r="CD53" s="190">
        <v>197</v>
      </c>
      <c r="CE53" s="190">
        <v>176</v>
      </c>
      <c r="CF53" s="190">
        <v>21</v>
      </c>
      <c r="CG53" s="190">
        <v>155</v>
      </c>
      <c r="CH53" s="190">
        <v>176</v>
      </c>
      <c r="CI53" s="190">
        <v>81</v>
      </c>
      <c r="CJ53" s="190">
        <v>63</v>
      </c>
      <c r="CK53" s="190">
        <v>0</v>
      </c>
      <c r="CL53" s="190">
        <v>62</v>
      </c>
      <c r="CM53" s="190">
        <v>62</v>
      </c>
      <c r="CN53" s="190">
        <v>136</v>
      </c>
      <c r="CO53" s="190">
        <v>1787</v>
      </c>
      <c r="CP53" s="190">
        <v>1923</v>
      </c>
      <c r="CQ53" s="190">
        <v>0</v>
      </c>
      <c r="CR53" s="190">
        <v>0</v>
      </c>
      <c r="CS53" s="190">
        <v>0</v>
      </c>
      <c r="CT53" s="190">
        <v>2228</v>
      </c>
      <c r="CU53" s="190">
        <v>16963</v>
      </c>
      <c r="CV53" s="190">
        <v>19191</v>
      </c>
      <c r="CW53" s="190">
        <v>173</v>
      </c>
      <c r="CX53" s="190">
        <v>988</v>
      </c>
      <c r="CY53" s="190">
        <v>1161</v>
      </c>
      <c r="CZ53" s="190">
        <v>167</v>
      </c>
      <c r="DA53" s="190">
        <v>3</v>
      </c>
      <c r="DB53" s="190">
        <v>0</v>
      </c>
      <c r="DC53" s="190">
        <v>939</v>
      </c>
      <c r="DD53" s="190">
        <v>10</v>
      </c>
      <c r="DE53" s="190">
        <v>2</v>
      </c>
      <c r="DF53" s="190">
        <v>170</v>
      </c>
      <c r="DG53" s="190">
        <v>951</v>
      </c>
      <c r="DH53" s="190">
        <v>1121</v>
      </c>
      <c r="DI53" s="190">
        <v>3</v>
      </c>
      <c r="DJ53" s="190">
        <v>0</v>
      </c>
      <c r="DK53" s="190">
        <v>0</v>
      </c>
      <c r="DL53" s="190">
        <v>37</v>
      </c>
      <c r="DM53" s="190">
        <v>0</v>
      </c>
      <c r="DN53" s="190">
        <v>0</v>
      </c>
      <c r="DO53" s="190">
        <v>3</v>
      </c>
      <c r="DP53" s="190">
        <v>37</v>
      </c>
      <c r="DQ53" s="190">
        <v>40</v>
      </c>
      <c r="DR53" s="190">
        <v>0</v>
      </c>
      <c r="DS53" s="190">
        <v>1</v>
      </c>
      <c r="DT53" s="191">
        <v>1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950</v>
      </c>
      <c r="C54" s="190">
        <v>342</v>
      </c>
      <c r="D54" s="190">
        <v>867</v>
      </c>
      <c r="E54" s="190">
        <v>466</v>
      </c>
      <c r="F54" s="190">
        <v>0</v>
      </c>
      <c r="G54" s="190">
        <v>4</v>
      </c>
      <c r="H54" s="190">
        <v>4</v>
      </c>
      <c r="I54" s="190">
        <v>0</v>
      </c>
      <c r="J54" s="190">
        <v>375</v>
      </c>
      <c r="K54" s="190">
        <v>375</v>
      </c>
      <c r="L54" s="190">
        <v>0</v>
      </c>
      <c r="M54" s="190">
        <v>122</v>
      </c>
      <c r="N54" s="190">
        <v>122</v>
      </c>
      <c r="O54" s="190">
        <v>0</v>
      </c>
      <c r="P54" s="190">
        <v>253</v>
      </c>
      <c r="Q54" s="190">
        <v>253</v>
      </c>
      <c r="R54" s="190">
        <v>0</v>
      </c>
      <c r="S54" s="190">
        <v>60</v>
      </c>
      <c r="T54" s="190">
        <v>60</v>
      </c>
      <c r="U54" s="190">
        <v>0</v>
      </c>
      <c r="V54" s="190">
        <v>26</v>
      </c>
      <c r="W54" s="190">
        <v>26</v>
      </c>
      <c r="X54" s="190">
        <v>11</v>
      </c>
      <c r="Y54" s="190">
        <v>854</v>
      </c>
      <c r="Z54" s="190">
        <v>865</v>
      </c>
      <c r="AA54" s="190">
        <v>3</v>
      </c>
      <c r="AB54" s="190">
        <v>387</v>
      </c>
      <c r="AC54" s="190">
        <v>390</v>
      </c>
      <c r="AD54" s="190">
        <v>3</v>
      </c>
      <c r="AE54" s="190">
        <v>351</v>
      </c>
      <c r="AF54" s="190">
        <v>354</v>
      </c>
      <c r="AG54" s="190">
        <v>0</v>
      </c>
      <c r="AH54" s="190">
        <v>28</v>
      </c>
      <c r="AI54" s="190">
        <v>28</v>
      </c>
      <c r="AJ54" s="190">
        <v>0</v>
      </c>
      <c r="AK54" s="190">
        <v>8</v>
      </c>
      <c r="AL54" s="190">
        <v>8</v>
      </c>
      <c r="AM54" s="190">
        <v>8</v>
      </c>
      <c r="AN54" s="190">
        <v>467</v>
      </c>
      <c r="AO54" s="190">
        <v>475</v>
      </c>
      <c r="AP54" s="190">
        <v>1273</v>
      </c>
      <c r="AQ54" s="190">
        <v>15231</v>
      </c>
      <c r="AR54" s="190">
        <v>16504</v>
      </c>
      <c r="AS54" s="190">
        <v>1233</v>
      </c>
      <c r="AT54" s="190">
        <v>14653</v>
      </c>
      <c r="AU54" s="190">
        <v>15886</v>
      </c>
      <c r="AV54" s="190">
        <v>40</v>
      </c>
      <c r="AW54" s="190">
        <v>578</v>
      </c>
      <c r="AX54" s="190">
        <v>618</v>
      </c>
      <c r="AY54" s="190">
        <v>-23</v>
      </c>
      <c r="AZ54" s="190">
        <v>902</v>
      </c>
      <c r="BA54" s="190">
        <v>879</v>
      </c>
      <c r="BB54" s="190">
        <v>15</v>
      </c>
      <c r="BC54" s="190">
        <v>0</v>
      </c>
      <c r="BD54" s="190">
        <v>0</v>
      </c>
      <c r="BE54" s="190">
        <v>448</v>
      </c>
      <c r="BF54" s="190">
        <v>3</v>
      </c>
      <c r="BG54" s="190">
        <v>0</v>
      </c>
      <c r="BH54" s="190">
        <v>15</v>
      </c>
      <c r="BI54" s="190">
        <v>451</v>
      </c>
      <c r="BJ54" s="190">
        <v>466</v>
      </c>
      <c r="BK54" s="190">
        <v>-60</v>
      </c>
      <c r="BL54" s="190">
        <v>60</v>
      </c>
      <c r="BM54" s="190">
        <v>0</v>
      </c>
      <c r="BN54" s="190">
        <v>5</v>
      </c>
      <c r="BO54" s="190">
        <v>7</v>
      </c>
      <c r="BP54" s="190">
        <v>12</v>
      </c>
      <c r="BQ54" s="190">
        <v>8</v>
      </c>
      <c r="BR54" s="190">
        <v>171</v>
      </c>
      <c r="BS54" s="190">
        <v>179</v>
      </c>
      <c r="BT54" s="190">
        <v>9</v>
      </c>
      <c r="BU54" s="190">
        <v>213</v>
      </c>
      <c r="BV54" s="190">
        <v>222</v>
      </c>
      <c r="BW54" s="190">
        <v>1250</v>
      </c>
      <c r="BX54" s="190">
        <v>16133</v>
      </c>
      <c r="BY54" s="190">
        <v>17383</v>
      </c>
      <c r="BZ54" s="190">
        <v>1217</v>
      </c>
      <c r="CA54" s="190">
        <v>15857</v>
      </c>
      <c r="CB54" s="190">
        <v>17074</v>
      </c>
      <c r="CC54" s="190">
        <v>30794</v>
      </c>
      <c r="CD54" s="190">
        <v>21</v>
      </c>
      <c r="CE54" s="190">
        <v>296</v>
      </c>
      <c r="CF54" s="190">
        <v>33</v>
      </c>
      <c r="CG54" s="190">
        <v>229</v>
      </c>
      <c r="CH54" s="190">
        <v>262</v>
      </c>
      <c r="CI54" s="190">
        <v>60</v>
      </c>
      <c r="CJ54" s="190">
        <v>3</v>
      </c>
      <c r="CK54" s="190">
        <v>0</v>
      </c>
      <c r="CL54" s="190">
        <v>47</v>
      </c>
      <c r="CM54" s="190">
        <v>47</v>
      </c>
      <c r="CN54" s="190">
        <v>60</v>
      </c>
      <c r="CO54" s="190">
        <v>1542</v>
      </c>
      <c r="CP54" s="190">
        <v>1602</v>
      </c>
      <c r="CQ54" s="190">
        <v>0</v>
      </c>
      <c r="CR54" s="190">
        <v>0</v>
      </c>
      <c r="CS54" s="190">
        <v>0</v>
      </c>
      <c r="CT54" s="190">
        <v>1190</v>
      </c>
      <c r="CU54" s="190">
        <v>14591</v>
      </c>
      <c r="CV54" s="190">
        <v>15781</v>
      </c>
      <c r="CW54" s="190">
        <v>86</v>
      </c>
      <c r="CX54" s="190">
        <v>714</v>
      </c>
      <c r="CY54" s="190">
        <v>800</v>
      </c>
      <c r="CZ54" s="190">
        <v>82</v>
      </c>
      <c r="DA54" s="190">
        <v>1</v>
      </c>
      <c r="DB54" s="190">
        <v>0</v>
      </c>
      <c r="DC54" s="190">
        <v>683</v>
      </c>
      <c r="DD54" s="190">
        <v>8</v>
      </c>
      <c r="DE54" s="190">
        <v>3</v>
      </c>
      <c r="DF54" s="190">
        <v>83</v>
      </c>
      <c r="DG54" s="190">
        <v>694</v>
      </c>
      <c r="DH54" s="190">
        <v>777</v>
      </c>
      <c r="DI54" s="190">
        <v>3</v>
      </c>
      <c r="DJ54" s="190">
        <v>0</v>
      </c>
      <c r="DK54" s="190">
        <v>0</v>
      </c>
      <c r="DL54" s="190">
        <v>19</v>
      </c>
      <c r="DM54" s="190">
        <v>0</v>
      </c>
      <c r="DN54" s="190">
        <v>1</v>
      </c>
      <c r="DO54" s="190">
        <v>3</v>
      </c>
      <c r="DP54" s="190">
        <v>20</v>
      </c>
      <c r="DQ54" s="190">
        <v>23</v>
      </c>
      <c r="DR54" s="190">
        <v>0</v>
      </c>
      <c r="DS54" s="190">
        <v>1</v>
      </c>
      <c r="DT54" s="191">
        <v>1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3085</v>
      </c>
      <c r="C55" s="190">
        <v>728</v>
      </c>
      <c r="D55" s="190">
        <v>3011</v>
      </c>
      <c r="E55" s="190">
        <v>1942</v>
      </c>
      <c r="F55" s="190">
        <v>5</v>
      </c>
      <c r="G55" s="190">
        <v>35</v>
      </c>
      <c r="H55" s="190">
        <v>40</v>
      </c>
      <c r="I55" s="190">
        <v>0</v>
      </c>
      <c r="J55" s="190">
        <v>961</v>
      </c>
      <c r="K55" s="190">
        <v>961</v>
      </c>
      <c r="L55" s="190">
        <v>0</v>
      </c>
      <c r="M55" s="190">
        <v>540</v>
      </c>
      <c r="N55" s="190">
        <v>540</v>
      </c>
      <c r="O55" s="190">
        <v>0</v>
      </c>
      <c r="P55" s="190">
        <v>421</v>
      </c>
      <c r="Q55" s="190">
        <v>421</v>
      </c>
      <c r="R55" s="190">
        <v>0</v>
      </c>
      <c r="S55" s="190">
        <v>11</v>
      </c>
      <c r="T55" s="190">
        <v>11</v>
      </c>
      <c r="U55" s="190">
        <v>0</v>
      </c>
      <c r="V55" s="190">
        <v>108</v>
      </c>
      <c r="W55" s="190">
        <v>108</v>
      </c>
      <c r="X55" s="190">
        <v>64</v>
      </c>
      <c r="Y55" s="190">
        <v>2945</v>
      </c>
      <c r="Z55" s="190">
        <v>3009</v>
      </c>
      <c r="AA55" s="190">
        <v>36</v>
      </c>
      <c r="AB55" s="190">
        <v>1270</v>
      </c>
      <c r="AC55" s="190">
        <v>1306</v>
      </c>
      <c r="AD55" s="190">
        <v>33</v>
      </c>
      <c r="AE55" s="190">
        <v>1214</v>
      </c>
      <c r="AF55" s="190">
        <v>1247</v>
      </c>
      <c r="AG55" s="190">
        <v>1</v>
      </c>
      <c r="AH55" s="190">
        <v>33</v>
      </c>
      <c r="AI55" s="190">
        <v>34</v>
      </c>
      <c r="AJ55" s="190">
        <v>2</v>
      </c>
      <c r="AK55" s="190">
        <v>23</v>
      </c>
      <c r="AL55" s="190">
        <v>25</v>
      </c>
      <c r="AM55" s="190">
        <v>28</v>
      </c>
      <c r="AN55" s="190">
        <v>1675</v>
      </c>
      <c r="AO55" s="190">
        <v>1703</v>
      </c>
      <c r="AP55" s="190">
        <v>4989</v>
      </c>
      <c r="AQ55" s="190">
        <v>32230</v>
      </c>
      <c r="AR55" s="190">
        <v>37219</v>
      </c>
      <c r="AS55" s="190">
        <v>4989</v>
      </c>
      <c r="AT55" s="190">
        <v>32231</v>
      </c>
      <c r="AU55" s="190">
        <v>37220</v>
      </c>
      <c r="AV55" s="190">
        <v>0</v>
      </c>
      <c r="AW55" s="190">
        <v>-1</v>
      </c>
      <c r="AX55" s="190">
        <v>-1</v>
      </c>
      <c r="AY55" s="190">
        <v>210</v>
      </c>
      <c r="AZ55" s="190">
        <v>3020</v>
      </c>
      <c r="BA55" s="190">
        <v>3230</v>
      </c>
      <c r="BB55" s="190">
        <v>81</v>
      </c>
      <c r="BC55" s="190">
        <v>1</v>
      </c>
      <c r="BD55" s="190">
        <v>0</v>
      </c>
      <c r="BE55" s="190">
        <v>1849</v>
      </c>
      <c r="BF55" s="190">
        <v>7</v>
      </c>
      <c r="BG55" s="190">
        <v>4</v>
      </c>
      <c r="BH55" s="190">
        <v>82</v>
      </c>
      <c r="BI55" s="190">
        <v>1860</v>
      </c>
      <c r="BJ55" s="190">
        <v>1942</v>
      </c>
      <c r="BK55" s="190">
        <v>-39</v>
      </c>
      <c r="BL55" s="190">
        <v>39</v>
      </c>
      <c r="BM55" s="190">
        <v>0</v>
      </c>
      <c r="BN55" s="190">
        <v>27</v>
      </c>
      <c r="BO55" s="190">
        <v>95</v>
      </c>
      <c r="BP55" s="190">
        <v>122</v>
      </c>
      <c r="BQ55" s="190">
        <v>34</v>
      </c>
      <c r="BR55" s="190">
        <v>409</v>
      </c>
      <c r="BS55" s="190">
        <v>443</v>
      </c>
      <c r="BT55" s="190">
        <v>106</v>
      </c>
      <c r="BU55" s="190">
        <v>617</v>
      </c>
      <c r="BV55" s="190">
        <v>723</v>
      </c>
      <c r="BW55" s="190">
        <v>5199</v>
      </c>
      <c r="BX55" s="190">
        <v>35250</v>
      </c>
      <c r="BY55" s="190">
        <v>40449</v>
      </c>
      <c r="BZ55" s="190">
        <v>5166</v>
      </c>
      <c r="CA55" s="190">
        <v>35047</v>
      </c>
      <c r="CB55" s="190">
        <v>40213</v>
      </c>
      <c r="CC55" s="190">
        <v>83842</v>
      </c>
      <c r="CD55" s="190">
        <v>14</v>
      </c>
      <c r="CE55" s="190">
        <v>224</v>
      </c>
      <c r="CF55" s="190">
        <v>33</v>
      </c>
      <c r="CG55" s="190">
        <v>175</v>
      </c>
      <c r="CH55" s="190">
        <v>208</v>
      </c>
      <c r="CI55" s="190">
        <v>31</v>
      </c>
      <c r="CJ55" s="190">
        <v>4</v>
      </c>
      <c r="CK55" s="190">
        <v>0</v>
      </c>
      <c r="CL55" s="190">
        <v>28</v>
      </c>
      <c r="CM55" s="190">
        <v>28</v>
      </c>
      <c r="CN55" s="190">
        <v>293</v>
      </c>
      <c r="CO55" s="190">
        <v>2911</v>
      </c>
      <c r="CP55" s="190">
        <v>3204</v>
      </c>
      <c r="CQ55" s="190">
        <v>0</v>
      </c>
      <c r="CR55" s="190">
        <v>1</v>
      </c>
      <c r="CS55" s="190">
        <v>1</v>
      </c>
      <c r="CT55" s="190">
        <v>4906</v>
      </c>
      <c r="CU55" s="190">
        <v>32339</v>
      </c>
      <c r="CV55" s="190">
        <v>37245</v>
      </c>
      <c r="CW55" s="190">
        <v>360</v>
      </c>
      <c r="CX55" s="190">
        <v>1386</v>
      </c>
      <c r="CY55" s="190">
        <v>1746</v>
      </c>
      <c r="CZ55" s="190">
        <v>356</v>
      </c>
      <c r="DA55" s="190">
        <v>2</v>
      </c>
      <c r="DB55" s="190">
        <v>0</v>
      </c>
      <c r="DC55" s="190">
        <v>1360</v>
      </c>
      <c r="DD55" s="190">
        <v>10</v>
      </c>
      <c r="DE55" s="190">
        <v>0</v>
      </c>
      <c r="DF55" s="190">
        <v>358</v>
      </c>
      <c r="DG55" s="190">
        <v>1370</v>
      </c>
      <c r="DH55" s="190">
        <v>1728</v>
      </c>
      <c r="DI55" s="190">
        <v>2</v>
      </c>
      <c r="DJ55" s="190">
        <v>0</v>
      </c>
      <c r="DK55" s="190">
        <v>0</v>
      </c>
      <c r="DL55" s="190">
        <v>15</v>
      </c>
      <c r="DM55" s="190">
        <v>1</v>
      </c>
      <c r="DN55" s="190">
        <v>0</v>
      </c>
      <c r="DO55" s="190">
        <v>2</v>
      </c>
      <c r="DP55" s="190">
        <v>16</v>
      </c>
      <c r="DQ55" s="190">
        <v>18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384</v>
      </c>
      <c r="C56" s="190">
        <v>120</v>
      </c>
      <c r="D56" s="190">
        <v>388</v>
      </c>
      <c r="E56" s="190">
        <v>218</v>
      </c>
      <c r="F56" s="190">
        <v>2</v>
      </c>
      <c r="G56" s="190">
        <v>2</v>
      </c>
      <c r="H56" s="190">
        <v>4</v>
      </c>
      <c r="I56" s="190">
        <v>0</v>
      </c>
      <c r="J56" s="190">
        <v>150</v>
      </c>
      <c r="K56" s="190">
        <v>150</v>
      </c>
      <c r="L56" s="190">
        <v>0</v>
      </c>
      <c r="M56" s="190">
        <v>70</v>
      </c>
      <c r="N56" s="190">
        <v>70</v>
      </c>
      <c r="O56" s="190">
        <v>0</v>
      </c>
      <c r="P56" s="190">
        <v>80</v>
      </c>
      <c r="Q56" s="190">
        <v>80</v>
      </c>
      <c r="R56" s="190">
        <v>0</v>
      </c>
      <c r="S56" s="190">
        <v>1</v>
      </c>
      <c r="T56" s="190">
        <v>1</v>
      </c>
      <c r="U56" s="190">
        <v>0</v>
      </c>
      <c r="V56" s="190">
        <v>20</v>
      </c>
      <c r="W56" s="190">
        <v>20</v>
      </c>
      <c r="X56" s="190">
        <v>13</v>
      </c>
      <c r="Y56" s="190">
        <v>375</v>
      </c>
      <c r="Z56" s="190">
        <v>388</v>
      </c>
      <c r="AA56" s="190">
        <v>6</v>
      </c>
      <c r="AB56" s="190">
        <v>157</v>
      </c>
      <c r="AC56" s="190">
        <v>163</v>
      </c>
      <c r="AD56" s="190">
        <v>6</v>
      </c>
      <c r="AE56" s="190">
        <v>141</v>
      </c>
      <c r="AF56" s="190">
        <v>147</v>
      </c>
      <c r="AG56" s="190">
        <v>0</v>
      </c>
      <c r="AH56" s="190">
        <v>7</v>
      </c>
      <c r="AI56" s="190">
        <v>7</v>
      </c>
      <c r="AJ56" s="190">
        <v>0</v>
      </c>
      <c r="AK56" s="190">
        <v>9</v>
      </c>
      <c r="AL56" s="190">
        <v>9</v>
      </c>
      <c r="AM56" s="190">
        <v>7</v>
      </c>
      <c r="AN56" s="190">
        <v>218</v>
      </c>
      <c r="AO56" s="190">
        <v>225</v>
      </c>
      <c r="AP56" s="190">
        <v>671</v>
      </c>
      <c r="AQ56" s="190">
        <v>4490</v>
      </c>
      <c r="AR56" s="190">
        <v>5161</v>
      </c>
      <c r="AS56" s="190">
        <v>671</v>
      </c>
      <c r="AT56" s="190">
        <v>4490</v>
      </c>
      <c r="AU56" s="190">
        <v>5161</v>
      </c>
      <c r="AV56" s="190">
        <v>0</v>
      </c>
      <c r="AW56" s="190">
        <v>0</v>
      </c>
      <c r="AX56" s="190">
        <v>0</v>
      </c>
      <c r="AY56" s="190">
        <v>33</v>
      </c>
      <c r="AZ56" s="190">
        <v>423</v>
      </c>
      <c r="BA56" s="190">
        <v>456</v>
      </c>
      <c r="BB56" s="190">
        <v>16</v>
      </c>
      <c r="BC56" s="190">
        <v>1</v>
      </c>
      <c r="BD56" s="190">
        <v>0</v>
      </c>
      <c r="BE56" s="190">
        <v>198</v>
      </c>
      <c r="BF56" s="190">
        <v>3</v>
      </c>
      <c r="BG56" s="190">
        <v>0</v>
      </c>
      <c r="BH56" s="190">
        <v>17</v>
      </c>
      <c r="BI56" s="190">
        <v>201</v>
      </c>
      <c r="BJ56" s="190">
        <v>218</v>
      </c>
      <c r="BK56" s="190">
        <v>-23</v>
      </c>
      <c r="BL56" s="190">
        <v>23</v>
      </c>
      <c r="BM56" s="190">
        <v>0</v>
      </c>
      <c r="BN56" s="190">
        <v>2</v>
      </c>
      <c r="BO56" s="190">
        <v>30</v>
      </c>
      <c r="BP56" s="190">
        <v>32</v>
      </c>
      <c r="BQ56" s="190">
        <v>0</v>
      </c>
      <c r="BR56" s="190">
        <v>50</v>
      </c>
      <c r="BS56" s="190">
        <v>50</v>
      </c>
      <c r="BT56" s="190">
        <v>37</v>
      </c>
      <c r="BU56" s="190">
        <v>119</v>
      </c>
      <c r="BV56" s="190">
        <v>156</v>
      </c>
      <c r="BW56" s="190">
        <v>704</v>
      </c>
      <c r="BX56" s="190">
        <v>4913</v>
      </c>
      <c r="BY56" s="190">
        <v>5617</v>
      </c>
      <c r="BZ56" s="190">
        <v>688</v>
      </c>
      <c r="CA56" s="190">
        <v>4859</v>
      </c>
      <c r="CB56" s="190">
        <v>5547</v>
      </c>
      <c r="CC56" s="190">
        <v>12779</v>
      </c>
      <c r="CD56" s="190">
        <v>4</v>
      </c>
      <c r="CE56" s="190">
        <v>62</v>
      </c>
      <c r="CF56" s="190">
        <v>15</v>
      </c>
      <c r="CG56" s="190">
        <v>42</v>
      </c>
      <c r="CH56" s="190">
        <v>57</v>
      </c>
      <c r="CI56" s="190">
        <v>15</v>
      </c>
      <c r="CJ56" s="190">
        <v>3</v>
      </c>
      <c r="CK56" s="190">
        <v>1</v>
      </c>
      <c r="CL56" s="190">
        <v>12</v>
      </c>
      <c r="CM56" s="190">
        <v>13</v>
      </c>
      <c r="CN56" s="190">
        <v>38</v>
      </c>
      <c r="CO56" s="190">
        <v>522</v>
      </c>
      <c r="CP56" s="190">
        <v>560</v>
      </c>
      <c r="CQ56" s="190">
        <v>0</v>
      </c>
      <c r="CR56" s="190">
        <v>0</v>
      </c>
      <c r="CS56" s="190">
        <v>0</v>
      </c>
      <c r="CT56" s="190">
        <v>666</v>
      </c>
      <c r="CU56" s="190">
        <v>4391</v>
      </c>
      <c r="CV56" s="190">
        <v>5057</v>
      </c>
      <c r="CW56" s="190">
        <v>51</v>
      </c>
      <c r="CX56" s="190">
        <v>237</v>
      </c>
      <c r="CY56" s="190">
        <v>288</v>
      </c>
      <c r="CZ56" s="190">
        <v>49</v>
      </c>
      <c r="DA56" s="190">
        <v>1</v>
      </c>
      <c r="DB56" s="190">
        <v>0</v>
      </c>
      <c r="DC56" s="190">
        <v>226</v>
      </c>
      <c r="DD56" s="190">
        <v>1</v>
      </c>
      <c r="DE56" s="190">
        <v>1</v>
      </c>
      <c r="DF56" s="190">
        <v>50</v>
      </c>
      <c r="DG56" s="190">
        <v>228</v>
      </c>
      <c r="DH56" s="190">
        <v>278</v>
      </c>
      <c r="DI56" s="190">
        <v>1</v>
      </c>
      <c r="DJ56" s="190">
        <v>0</v>
      </c>
      <c r="DK56" s="190">
        <v>0</v>
      </c>
      <c r="DL56" s="190">
        <v>9</v>
      </c>
      <c r="DM56" s="190">
        <v>0</v>
      </c>
      <c r="DN56" s="190">
        <v>0</v>
      </c>
      <c r="DO56" s="190">
        <v>1</v>
      </c>
      <c r="DP56" s="190">
        <v>9</v>
      </c>
      <c r="DQ56" s="190">
        <v>10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365</v>
      </c>
      <c r="C57" s="190">
        <v>44</v>
      </c>
      <c r="D57" s="190">
        <v>347</v>
      </c>
      <c r="E57" s="190">
        <v>181</v>
      </c>
      <c r="F57" s="190">
        <v>0</v>
      </c>
      <c r="G57" s="190">
        <v>10</v>
      </c>
      <c r="H57" s="190">
        <v>10</v>
      </c>
      <c r="I57" s="190">
        <v>0</v>
      </c>
      <c r="J57" s="190">
        <v>137</v>
      </c>
      <c r="K57" s="190">
        <v>137</v>
      </c>
      <c r="L57" s="190">
        <v>0</v>
      </c>
      <c r="M57" s="190">
        <v>41</v>
      </c>
      <c r="N57" s="190">
        <v>41</v>
      </c>
      <c r="O57" s="190">
        <v>0</v>
      </c>
      <c r="P57" s="190">
        <v>96</v>
      </c>
      <c r="Q57" s="190">
        <v>96</v>
      </c>
      <c r="R57" s="190">
        <v>0</v>
      </c>
      <c r="S57" s="190">
        <v>1</v>
      </c>
      <c r="T57" s="190">
        <v>1</v>
      </c>
      <c r="U57" s="190">
        <v>0</v>
      </c>
      <c r="V57" s="190">
        <v>29</v>
      </c>
      <c r="W57" s="190">
        <v>29</v>
      </c>
      <c r="X57" s="190">
        <v>3</v>
      </c>
      <c r="Y57" s="190">
        <v>343</v>
      </c>
      <c r="Z57" s="190">
        <v>346</v>
      </c>
      <c r="AA57" s="190">
        <v>0</v>
      </c>
      <c r="AB57" s="190">
        <v>133</v>
      </c>
      <c r="AC57" s="190">
        <v>133</v>
      </c>
      <c r="AD57" s="190">
        <v>0</v>
      </c>
      <c r="AE57" s="190">
        <v>126</v>
      </c>
      <c r="AF57" s="190">
        <v>126</v>
      </c>
      <c r="AG57" s="190">
        <v>0</v>
      </c>
      <c r="AH57" s="190">
        <v>3</v>
      </c>
      <c r="AI57" s="190">
        <v>3</v>
      </c>
      <c r="AJ57" s="190">
        <v>0</v>
      </c>
      <c r="AK57" s="190">
        <v>4</v>
      </c>
      <c r="AL57" s="190">
        <v>4</v>
      </c>
      <c r="AM57" s="190">
        <v>3</v>
      </c>
      <c r="AN57" s="190">
        <v>210</v>
      </c>
      <c r="AO57" s="190">
        <v>213</v>
      </c>
      <c r="AP57" s="190">
        <v>442</v>
      </c>
      <c r="AQ57" s="190">
        <v>3569</v>
      </c>
      <c r="AR57" s="190">
        <v>4011</v>
      </c>
      <c r="AS57" s="190">
        <v>442</v>
      </c>
      <c r="AT57" s="190">
        <v>3569</v>
      </c>
      <c r="AU57" s="190">
        <v>4011</v>
      </c>
      <c r="AV57" s="190">
        <v>0</v>
      </c>
      <c r="AW57" s="190">
        <v>0</v>
      </c>
      <c r="AX57" s="190">
        <v>0</v>
      </c>
      <c r="AY57" s="190">
        <v>23</v>
      </c>
      <c r="AZ57" s="190">
        <v>373</v>
      </c>
      <c r="BA57" s="190">
        <v>396</v>
      </c>
      <c r="BB57" s="190">
        <v>3</v>
      </c>
      <c r="BC57" s="190">
        <v>0</v>
      </c>
      <c r="BD57" s="190">
        <v>0</v>
      </c>
      <c r="BE57" s="190">
        <v>177</v>
      </c>
      <c r="BF57" s="190">
        <v>1</v>
      </c>
      <c r="BG57" s="190">
        <v>0</v>
      </c>
      <c r="BH57" s="190">
        <v>3</v>
      </c>
      <c r="BI57" s="190">
        <v>178</v>
      </c>
      <c r="BJ57" s="190">
        <v>181</v>
      </c>
      <c r="BK57" s="190">
        <v>3</v>
      </c>
      <c r="BL57" s="190">
        <v>-3</v>
      </c>
      <c r="BM57" s="190">
        <v>0</v>
      </c>
      <c r="BN57" s="190">
        <v>4</v>
      </c>
      <c r="BO57" s="190">
        <v>17</v>
      </c>
      <c r="BP57" s="190">
        <v>21</v>
      </c>
      <c r="BQ57" s="190">
        <v>2</v>
      </c>
      <c r="BR57" s="190">
        <v>56</v>
      </c>
      <c r="BS57" s="190">
        <v>58</v>
      </c>
      <c r="BT57" s="190">
        <v>11</v>
      </c>
      <c r="BU57" s="190">
        <v>125</v>
      </c>
      <c r="BV57" s="190">
        <v>136</v>
      </c>
      <c r="BW57" s="190">
        <v>465</v>
      </c>
      <c r="BX57" s="190">
        <v>3942</v>
      </c>
      <c r="BY57" s="190">
        <v>4407</v>
      </c>
      <c r="BZ57" s="190">
        <v>465</v>
      </c>
      <c r="CA57" s="190">
        <v>3929</v>
      </c>
      <c r="CB57" s="190">
        <v>4394</v>
      </c>
      <c r="CC57" s="190">
        <v>9541</v>
      </c>
      <c r="CD57" s="190">
        <v>0</v>
      </c>
      <c r="CE57" s="190">
        <v>13</v>
      </c>
      <c r="CF57" s="190">
        <v>0</v>
      </c>
      <c r="CG57" s="190">
        <v>12</v>
      </c>
      <c r="CH57" s="190">
        <v>12</v>
      </c>
      <c r="CI57" s="190">
        <v>1</v>
      </c>
      <c r="CJ57" s="190">
        <v>0</v>
      </c>
      <c r="CK57" s="190">
        <v>0</v>
      </c>
      <c r="CL57" s="190">
        <v>1</v>
      </c>
      <c r="CM57" s="190">
        <v>1</v>
      </c>
      <c r="CN57" s="190">
        <v>14</v>
      </c>
      <c r="CO57" s="190">
        <v>413</v>
      </c>
      <c r="CP57" s="190">
        <v>427</v>
      </c>
      <c r="CQ57" s="190">
        <v>0</v>
      </c>
      <c r="CR57" s="190">
        <v>10</v>
      </c>
      <c r="CS57" s="190">
        <v>10</v>
      </c>
      <c r="CT57" s="190">
        <v>451</v>
      </c>
      <c r="CU57" s="190">
        <v>3529</v>
      </c>
      <c r="CV57" s="190">
        <v>3980</v>
      </c>
      <c r="CW57" s="190">
        <v>26</v>
      </c>
      <c r="CX57" s="190">
        <v>165</v>
      </c>
      <c r="CY57" s="190">
        <v>191</v>
      </c>
      <c r="CZ57" s="190">
        <v>26</v>
      </c>
      <c r="DA57" s="190">
        <v>0</v>
      </c>
      <c r="DB57" s="190">
        <v>0</v>
      </c>
      <c r="DC57" s="190">
        <v>163</v>
      </c>
      <c r="DD57" s="190">
        <v>0</v>
      </c>
      <c r="DE57" s="190">
        <v>0</v>
      </c>
      <c r="DF57" s="190">
        <v>26</v>
      </c>
      <c r="DG57" s="190">
        <v>163</v>
      </c>
      <c r="DH57" s="190">
        <v>189</v>
      </c>
      <c r="DI57" s="190">
        <v>0</v>
      </c>
      <c r="DJ57" s="190">
        <v>0</v>
      </c>
      <c r="DK57" s="190">
        <v>0</v>
      </c>
      <c r="DL57" s="190">
        <v>2</v>
      </c>
      <c r="DM57" s="190">
        <v>0</v>
      </c>
      <c r="DN57" s="190">
        <v>0</v>
      </c>
      <c r="DO57" s="190">
        <v>0</v>
      </c>
      <c r="DP57" s="190">
        <v>2</v>
      </c>
      <c r="DQ57" s="190">
        <v>2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85</v>
      </c>
      <c r="C58" s="190">
        <v>10</v>
      </c>
      <c r="D58" s="190">
        <v>87</v>
      </c>
      <c r="E58" s="190">
        <v>57</v>
      </c>
      <c r="F58" s="190">
        <v>0</v>
      </c>
      <c r="G58" s="190">
        <v>4</v>
      </c>
      <c r="H58" s="190">
        <v>4</v>
      </c>
      <c r="I58" s="190">
        <v>0</v>
      </c>
      <c r="J58" s="190">
        <v>30</v>
      </c>
      <c r="K58" s="190">
        <v>30</v>
      </c>
      <c r="L58" s="190">
        <v>0</v>
      </c>
      <c r="M58" s="190">
        <v>9</v>
      </c>
      <c r="N58" s="190">
        <v>9</v>
      </c>
      <c r="O58" s="190">
        <v>0</v>
      </c>
      <c r="P58" s="190">
        <v>21</v>
      </c>
      <c r="Q58" s="190">
        <v>21</v>
      </c>
      <c r="R58" s="190">
        <v>0</v>
      </c>
      <c r="S58" s="190">
        <v>0</v>
      </c>
      <c r="T58" s="190">
        <v>0</v>
      </c>
      <c r="U58" s="190">
        <v>0</v>
      </c>
      <c r="V58" s="190">
        <v>0</v>
      </c>
      <c r="W58" s="190">
        <v>0</v>
      </c>
      <c r="X58" s="190">
        <v>2</v>
      </c>
      <c r="Y58" s="190">
        <v>85</v>
      </c>
      <c r="Z58" s="190">
        <v>87</v>
      </c>
      <c r="AA58" s="190">
        <v>1</v>
      </c>
      <c r="AB58" s="190">
        <v>40</v>
      </c>
      <c r="AC58" s="190">
        <v>41</v>
      </c>
      <c r="AD58" s="190">
        <v>0</v>
      </c>
      <c r="AE58" s="190">
        <v>31</v>
      </c>
      <c r="AF58" s="190">
        <v>31</v>
      </c>
      <c r="AG58" s="190">
        <v>1</v>
      </c>
      <c r="AH58" s="190">
        <v>5</v>
      </c>
      <c r="AI58" s="190">
        <v>6</v>
      </c>
      <c r="AJ58" s="190">
        <v>0</v>
      </c>
      <c r="AK58" s="190">
        <v>4</v>
      </c>
      <c r="AL58" s="190">
        <v>4</v>
      </c>
      <c r="AM58" s="190">
        <v>1</v>
      </c>
      <c r="AN58" s="190">
        <v>45</v>
      </c>
      <c r="AO58" s="190">
        <v>46</v>
      </c>
      <c r="AP58" s="190">
        <v>57</v>
      </c>
      <c r="AQ58" s="190">
        <v>830</v>
      </c>
      <c r="AR58" s="190">
        <v>887</v>
      </c>
      <c r="AS58" s="190">
        <v>57</v>
      </c>
      <c r="AT58" s="190">
        <v>830</v>
      </c>
      <c r="AU58" s="190">
        <v>887</v>
      </c>
      <c r="AV58" s="190">
        <v>0</v>
      </c>
      <c r="AW58" s="190">
        <v>0</v>
      </c>
      <c r="AX58" s="190">
        <v>0</v>
      </c>
      <c r="AY58" s="190">
        <v>3</v>
      </c>
      <c r="AZ58" s="190">
        <v>100</v>
      </c>
      <c r="BA58" s="190">
        <v>103</v>
      </c>
      <c r="BB58" s="190">
        <v>3</v>
      </c>
      <c r="BC58" s="190">
        <v>0</v>
      </c>
      <c r="BD58" s="190">
        <v>0</v>
      </c>
      <c r="BE58" s="190">
        <v>54</v>
      </c>
      <c r="BF58" s="190">
        <v>0</v>
      </c>
      <c r="BG58" s="190">
        <v>0</v>
      </c>
      <c r="BH58" s="190">
        <v>3</v>
      </c>
      <c r="BI58" s="190">
        <v>54</v>
      </c>
      <c r="BJ58" s="190">
        <v>57</v>
      </c>
      <c r="BK58" s="190">
        <v>0</v>
      </c>
      <c r="BL58" s="190">
        <v>0</v>
      </c>
      <c r="BM58" s="190">
        <v>0</v>
      </c>
      <c r="BN58" s="190">
        <v>0</v>
      </c>
      <c r="BO58" s="190">
        <v>3</v>
      </c>
      <c r="BP58" s="190">
        <v>3</v>
      </c>
      <c r="BQ58" s="190">
        <v>0</v>
      </c>
      <c r="BR58" s="190">
        <v>18</v>
      </c>
      <c r="BS58" s="190">
        <v>18</v>
      </c>
      <c r="BT58" s="190">
        <v>0</v>
      </c>
      <c r="BU58" s="190">
        <v>25</v>
      </c>
      <c r="BV58" s="190">
        <v>25</v>
      </c>
      <c r="BW58" s="190">
        <v>60</v>
      </c>
      <c r="BX58" s="190">
        <v>930</v>
      </c>
      <c r="BY58" s="190">
        <v>990</v>
      </c>
      <c r="BZ58" s="190">
        <v>60</v>
      </c>
      <c r="CA58" s="190">
        <v>928</v>
      </c>
      <c r="CB58" s="190">
        <v>988</v>
      </c>
      <c r="CC58" s="190">
        <v>1722</v>
      </c>
      <c r="CD58" s="190">
        <v>0</v>
      </c>
      <c r="CE58" s="190">
        <v>2</v>
      </c>
      <c r="CF58" s="190">
        <v>0</v>
      </c>
      <c r="CG58" s="190">
        <v>2</v>
      </c>
      <c r="CH58" s="190">
        <v>2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1</v>
      </c>
      <c r="CO58" s="190">
        <v>109</v>
      </c>
      <c r="CP58" s="190">
        <v>110</v>
      </c>
      <c r="CQ58" s="190">
        <v>0</v>
      </c>
      <c r="CR58" s="190">
        <v>0</v>
      </c>
      <c r="CS58" s="190">
        <v>0</v>
      </c>
      <c r="CT58" s="190">
        <v>59</v>
      </c>
      <c r="CU58" s="190">
        <v>821</v>
      </c>
      <c r="CV58" s="190">
        <v>880</v>
      </c>
      <c r="CW58" s="190">
        <v>3</v>
      </c>
      <c r="CX58" s="190">
        <v>29</v>
      </c>
      <c r="CY58" s="190">
        <v>32</v>
      </c>
      <c r="CZ58" s="190">
        <v>3</v>
      </c>
      <c r="DA58" s="190">
        <v>0</v>
      </c>
      <c r="DB58" s="190">
        <v>0</v>
      </c>
      <c r="DC58" s="190">
        <v>28</v>
      </c>
      <c r="DD58" s="190">
        <v>0</v>
      </c>
      <c r="DE58" s="190">
        <v>0</v>
      </c>
      <c r="DF58" s="190">
        <v>3</v>
      </c>
      <c r="DG58" s="190">
        <v>28</v>
      </c>
      <c r="DH58" s="190">
        <v>31</v>
      </c>
      <c r="DI58" s="190">
        <v>0</v>
      </c>
      <c r="DJ58" s="190">
        <v>0</v>
      </c>
      <c r="DK58" s="190">
        <v>0</v>
      </c>
      <c r="DL58" s="190">
        <v>1</v>
      </c>
      <c r="DM58" s="190">
        <v>0</v>
      </c>
      <c r="DN58" s="190">
        <v>0</v>
      </c>
      <c r="DO58" s="190">
        <v>0</v>
      </c>
      <c r="DP58" s="190">
        <v>1</v>
      </c>
      <c r="DQ58" s="190">
        <v>1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2662</v>
      </c>
      <c r="C59" s="190">
        <v>372</v>
      </c>
      <c r="D59" s="190">
        <v>2453</v>
      </c>
      <c r="E59" s="190">
        <v>1914</v>
      </c>
      <c r="F59" s="190">
        <v>1</v>
      </c>
      <c r="G59" s="190">
        <v>16</v>
      </c>
      <c r="H59" s="190">
        <v>17</v>
      </c>
      <c r="I59" s="190">
        <v>1</v>
      </c>
      <c r="J59" s="190">
        <v>487</v>
      </c>
      <c r="K59" s="190">
        <v>488</v>
      </c>
      <c r="L59" s="190">
        <v>1</v>
      </c>
      <c r="M59" s="190">
        <v>405</v>
      </c>
      <c r="N59" s="190">
        <v>406</v>
      </c>
      <c r="O59" s="190">
        <v>0</v>
      </c>
      <c r="P59" s="190">
        <v>82</v>
      </c>
      <c r="Q59" s="190">
        <v>82</v>
      </c>
      <c r="R59" s="190">
        <v>0</v>
      </c>
      <c r="S59" s="190">
        <v>11</v>
      </c>
      <c r="T59" s="190">
        <v>11</v>
      </c>
      <c r="U59" s="190">
        <v>0</v>
      </c>
      <c r="V59" s="190">
        <v>51</v>
      </c>
      <c r="W59" s="190">
        <v>51</v>
      </c>
      <c r="X59" s="190">
        <v>35</v>
      </c>
      <c r="Y59" s="190">
        <v>1397</v>
      </c>
      <c r="Z59" s="190">
        <v>1432</v>
      </c>
      <c r="AA59" s="190">
        <v>14</v>
      </c>
      <c r="AB59" s="190">
        <v>686</v>
      </c>
      <c r="AC59" s="190">
        <v>700</v>
      </c>
      <c r="AD59" s="190">
        <v>12</v>
      </c>
      <c r="AE59" s="190">
        <v>643</v>
      </c>
      <c r="AF59" s="190">
        <v>655</v>
      </c>
      <c r="AG59" s="190">
        <v>2</v>
      </c>
      <c r="AH59" s="190">
        <v>33</v>
      </c>
      <c r="AI59" s="190">
        <v>35</v>
      </c>
      <c r="AJ59" s="190">
        <v>0</v>
      </c>
      <c r="AK59" s="190">
        <v>10</v>
      </c>
      <c r="AL59" s="190">
        <v>10</v>
      </c>
      <c r="AM59" s="190">
        <v>21</v>
      </c>
      <c r="AN59" s="190">
        <v>711</v>
      </c>
      <c r="AO59" s="190">
        <v>732</v>
      </c>
      <c r="AP59" s="190">
        <v>7148</v>
      </c>
      <c r="AQ59" s="190">
        <v>43847</v>
      </c>
      <c r="AR59" s="190">
        <v>50995</v>
      </c>
      <c r="AS59" s="190">
        <v>7172</v>
      </c>
      <c r="AT59" s="190">
        <v>44086</v>
      </c>
      <c r="AU59" s="190">
        <v>51258</v>
      </c>
      <c r="AV59" s="190">
        <v>-24</v>
      </c>
      <c r="AW59" s="190">
        <v>-239</v>
      </c>
      <c r="AX59" s="190">
        <v>-263</v>
      </c>
      <c r="AY59" s="190">
        <v>283</v>
      </c>
      <c r="AZ59" s="190">
        <v>3783</v>
      </c>
      <c r="BA59" s="190">
        <v>4066</v>
      </c>
      <c r="BB59" s="190">
        <v>137</v>
      </c>
      <c r="BC59" s="190">
        <v>1</v>
      </c>
      <c r="BD59" s="190">
        <v>1</v>
      </c>
      <c r="BE59" s="190">
        <v>1730</v>
      </c>
      <c r="BF59" s="190">
        <v>39</v>
      </c>
      <c r="BG59" s="190">
        <v>6</v>
      </c>
      <c r="BH59" s="190">
        <v>139</v>
      </c>
      <c r="BI59" s="190">
        <v>1775</v>
      </c>
      <c r="BJ59" s="190">
        <v>1914</v>
      </c>
      <c r="BK59" s="190">
        <v>-129</v>
      </c>
      <c r="BL59" s="190">
        <v>129</v>
      </c>
      <c r="BM59" s="190">
        <v>0</v>
      </c>
      <c r="BN59" s="190">
        <v>20</v>
      </c>
      <c r="BO59" s="190">
        <v>55</v>
      </c>
      <c r="BP59" s="190">
        <v>75</v>
      </c>
      <c r="BQ59" s="190">
        <v>41</v>
      </c>
      <c r="BR59" s="190">
        <v>498</v>
      </c>
      <c r="BS59" s="190">
        <v>539</v>
      </c>
      <c r="BT59" s="190">
        <v>212</v>
      </c>
      <c r="BU59" s="190">
        <v>1326</v>
      </c>
      <c r="BV59" s="190">
        <v>1538</v>
      </c>
      <c r="BW59" s="190">
        <v>7431</v>
      </c>
      <c r="BX59" s="190">
        <v>47630</v>
      </c>
      <c r="BY59" s="190">
        <v>55061</v>
      </c>
      <c r="BZ59" s="190">
        <v>7370</v>
      </c>
      <c r="CA59" s="190">
        <v>46690</v>
      </c>
      <c r="CB59" s="190">
        <v>54060</v>
      </c>
      <c r="CC59" s="190">
        <v>119287</v>
      </c>
      <c r="CD59" s="190">
        <v>128</v>
      </c>
      <c r="CE59" s="190">
        <v>914</v>
      </c>
      <c r="CF59" s="190">
        <v>60</v>
      </c>
      <c r="CG59" s="190">
        <v>738</v>
      </c>
      <c r="CH59" s="190">
        <v>798</v>
      </c>
      <c r="CI59" s="190">
        <v>251</v>
      </c>
      <c r="CJ59" s="190">
        <v>2</v>
      </c>
      <c r="CK59" s="190">
        <v>1</v>
      </c>
      <c r="CL59" s="190">
        <v>202</v>
      </c>
      <c r="CM59" s="190">
        <v>203</v>
      </c>
      <c r="CN59" s="190">
        <v>346</v>
      </c>
      <c r="CO59" s="190">
        <v>3942</v>
      </c>
      <c r="CP59" s="190">
        <v>4288</v>
      </c>
      <c r="CQ59" s="190">
        <v>0</v>
      </c>
      <c r="CR59" s="190">
        <v>0</v>
      </c>
      <c r="CS59" s="190">
        <v>0</v>
      </c>
      <c r="CT59" s="190">
        <v>7085</v>
      </c>
      <c r="CU59" s="190">
        <v>43688</v>
      </c>
      <c r="CV59" s="190">
        <v>50773</v>
      </c>
      <c r="CW59" s="190">
        <v>564</v>
      </c>
      <c r="CX59" s="190">
        <v>2596</v>
      </c>
      <c r="CY59" s="190">
        <v>3160</v>
      </c>
      <c r="CZ59" s="190">
        <v>552</v>
      </c>
      <c r="DA59" s="190">
        <v>7</v>
      </c>
      <c r="DB59" s="190">
        <v>0</v>
      </c>
      <c r="DC59" s="190">
        <v>2455</v>
      </c>
      <c r="DD59" s="190">
        <v>47</v>
      </c>
      <c r="DE59" s="190">
        <v>3</v>
      </c>
      <c r="DF59" s="190">
        <v>559</v>
      </c>
      <c r="DG59" s="190">
        <v>2505</v>
      </c>
      <c r="DH59" s="190">
        <v>3064</v>
      </c>
      <c r="DI59" s="190">
        <v>4</v>
      </c>
      <c r="DJ59" s="190">
        <v>1</v>
      </c>
      <c r="DK59" s="190">
        <v>0</v>
      </c>
      <c r="DL59" s="190">
        <v>88</v>
      </c>
      <c r="DM59" s="190">
        <v>3</v>
      </c>
      <c r="DN59" s="190">
        <v>0</v>
      </c>
      <c r="DO59" s="190">
        <v>5</v>
      </c>
      <c r="DP59" s="190">
        <v>91</v>
      </c>
      <c r="DQ59" s="190">
        <v>96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213</v>
      </c>
      <c r="C60" s="190">
        <v>30</v>
      </c>
      <c r="D60" s="190">
        <v>205</v>
      </c>
      <c r="E60" s="190">
        <v>121</v>
      </c>
      <c r="F60" s="190">
        <v>0</v>
      </c>
      <c r="G60" s="190">
        <v>2</v>
      </c>
      <c r="H60" s="190">
        <v>2</v>
      </c>
      <c r="I60" s="190">
        <v>0</v>
      </c>
      <c r="J60" s="190">
        <v>65</v>
      </c>
      <c r="K60" s="190">
        <v>65</v>
      </c>
      <c r="L60" s="190">
        <v>0</v>
      </c>
      <c r="M60" s="190">
        <v>28</v>
      </c>
      <c r="N60" s="190">
        <v>28</v>
      </c>
      <c r="O60" s="190">
        <v>0</v>
      </c>
      <c r="P60" s="190">
        <v>37</v>
      </c>
      <c r="Q60" s="190">
        <v>37</v>
      </c>
      <c r="R60" s="190">
        <v>0</v>
      </c>
      <c r="S60" s="190">
        <v>0</v>
      </c>
      <c r="T60" s="190">
        <v>0</v>
      </c>
      <c r="U60" s="190">
        <v>0</v>
      </c>
      <c r="V60" s="190">
        <v>19</v>
      </c>
      <c r="W60" s="190">
        <v>19</v>
      </c>
      <c r="X60" s="190">
        <v>4</v>
      </c>
      <c r="Y60" s="190">
        <v>201</v>
      </c>
      <c r="Z60" s="190">
        <v>205</v>
      </c>
      <c r="AA60" s="190">
        <v>2</v>
      </c>
      <c r="AB60" s="190">
        <v>79</v>
      </c>
      <c r="AC60" s="190">
        <v>81</v>
      </c>
      <c r="AD60" s="190">
        <v>2</v>
      </c>
      <c r="AE60" s="190">
        <v>72</v>
      </c>
      <c r="AF60" s="190">
        <v>74</v>
      </c>
      <c r="AG60" s="190">
        <v>0</v>
      </c>
      <c r="AH60" s="190">
        <v>5</v>
      </c>
      <c r="AI60" s="190">
        <v>5</v>
      </c>
      <c r="AJ60" s="190">
        <v>0</v>
      </c>
      <c r="AK60" s="190">
        <v>2</v>
      </c>
      <c r="AL60" s="190">
        <v>2</v>
      </c>
      <c r="AM60" s="190">
        <v>2</v>
      </c>
      <c r="AN60" s="190">
        <v>122</v>
      </c>
      <c r="AO60" s="190">
        <v>124</v>
      </c>
      <c r="AP60" s="190">
        <v>258</v>
      </c>
      <c r="AQ60" s="190">
        <v>2453</v>
      </c>
      <c r="AR60" s="190">
        <v>2711</v>
      </c>
      <c r="AS60" s="190">
        <v>258</v>
      </c>
      <c r="AT60" s="190">
        <v>2453</v>
      </c>
      <c r="AU60" s="190">
        <v>2711</v>
      </c>
      <c r="AV60" s="190">
        <v>0</v>
      </c>
      <c r="AW60" s="190">
        <v>0</v>
      </c>
      <c r="AX60" s="190">
        <v>0</v>
      </c>
      <c r="AY60" s="190">
        <v>9</v>
      </c>
      <c r="AZ60" s="190">
        <v>205</v>
      </c>
      <c r="BA60" s="190">
        <v>214</v>
      </c>
      <c r="BB60" s="190">
        <v>4</v>
      </c>
      <c r="BC60" s="190">
        <v>0</v>
      </c>
      <c r="BD60" s="190">
        <v>0</v>
      </c>
      <c r="BE60" s="190">
        <v>117</v>
      </c>
      <c r="BF60" s="190">
        <v>0</v>
      </c>
      <c r="BG60" s="190">
        <v>0</v>
      </c>
      <c r="BH60" s="190">
        <v>4</v>
      </c>
      <c r="BI60" s="190">
        <v>117</v>
      </c>
      <c r="BJ60" s="190">
        <v>121</v>
      </c>
      <c r="BK60" s="190">
        <v>-4</v>
      </c>
      <c r="BL60" s="190">
        <v>4</v>
      </c>
      <c r="BM60" s="190">
        <v>0</v>
      </c>
      <c r="BN60" s="190">
        <v>0</v>
      </c>
      <c r="BO60" s="190">
        <v>12</v>
      </c>
      <c r="BP60" s="190">
        <v>12</v>
      </c>
      <c r="BQ60" s="190">
        <v>2</v>
      </c>
      <c r="BR60" s="190">
        <v>41</v>
      </c>
      <c r="BS60" s="190">
        <v>43</v>
      </c>
      <c r="BT60" s="190">
        <v>7</v>
      </c>
      <c r="BU60" s="190">
        <v>31</v>
      </c>
      <c r="BV60" s="190">
        <v>38</v>
      </c>
      <c r="BW60" s="190">
        <v>267</v>
      </c>
      <c r="BX60" s="190">
        <v>2658</v>
      </c>
      <c r="BY60" s="190">
        <v>2925</v>
      </c>
      <c r="BZ60" s="190">
        <v>266</v>
      </c>
      <c r="CA60" s="190">
        <v>2654</v>
      </c>
      <c r="CB60" s="190">
        <v>2920</v>
      </c>
      <c r="CC60" s="190">
        <v>5146</v>
      </c>
      <c r="CD60" s="190">
        <v>2</v>
      </c>
      <c r="CE60" s="190">
        <v>2</v>
      </c>
      <c r="CF60" s="190">
        <v>1</v>
      </c>
      <c r="CG60" s="190">
        <v>2</v>
      </c>
      <c r="CH60" s="190">
        <v>3</v>
      </c>
      <c r="CI60" s="190">
        <v>4</v>
      </c>
      <c r="CJ60" s="190">
        <v>0</v>
      </c>
      <c r="CK60" s="190">
        <v>0</v>
      </c>
      <c r="CL60" s="190">
        <v>2</v>
      </c>
      <c r="CM60" s="190">
        <v>2</v>
      </c>
      <c r="CN60" s="190">
        <v>22</v>
      </c>
      <c r="CO60" s="190">
        <v>263</v>
      </c>
      <c r="CP60" s="190">
        <v>285</v>
      </c>
      <c r="CQ60" s="190">
        <v>15</v>
      </c>
      <c r="CR60" s="190">
        <v>219</v>
      </c>
      <c r="CS60" s="190">
        <v>234</v>
      </c>
      <c r="CT60" s="190">
        <v>245</v>
      </c>
      <c r="CU60" s="190">
        <v>2395</v>
      </c>
      <c r="CV60" s="190">
        <v>2640</v>
      </c>
      <c r="CW60" s="190">
        <v>18</v>
      </c>
      <c r="CX60" s="190">
        <v>80</v>
      </c>
      <c r="CY60" s="190">
        <v>98</v>
      </c>
      <c r="CZ60" s="190">
        <v>18</v>
      </c>
      <c r="DA60" s="190">
        <v>0</v>
      </c>
      <c r="DB60" s="190">
        <v>0</v>
      </c>
      <c r="DC60" s="190">
        <v>78</v>
      </c>
      <c r="DD60" s="190">
        <v>0</v>
      </c>
      <c r="DE60" s="190">
        <v>0</v>
      </c>
      <c r="DF60" s="190">
        <v>18</v>
      </c>
      <c r="DG60" s="190">
        <v>78</v>
      </c>
      <c r="DH60" s="190">
        <v>96</v>
      </c>
      <c r="DI60" s="190">
        <v>0</v>
      </c>
      <c r="DJ60" s="190">
        <v>0</v>
      </c>
      <c r="DK60" s="190">
        <v>0</v>
      </c>
      <c r="DL60" s="190">
        <v>2</v>
      </c>
      <c r="DM60" s="190">
        <v>0</v>
      </c>
      <c r="DN60" s="190">
        <v>0</v>
      </c>
      <c r="DO60" s="190">
        <v>0</v>
      </c>
      <c r="DP60" s="190">
        <v>2</v>
      </c>
      <c r="DQ60" s="190">
        <v>2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2704</v>
      </c>
      <c r="C61" s="190">
        <v>449</v>
      </c>
      <c r="D61" s="190">
        <v>2032</v>
      </c>
      <c r="E61" s="190">
        <v>1289</v>
      </c>
      <c r="F61" s="190">
        <v>2</v>
      </c>
      <c r="G61" s="190">
        <v>9</v>
      </c>
      <c r="H61" s="190">
        <v>11</v>
      </c>
      <c r="I61" s="190">
        <v>1</v>
      </c>
      <c r="J61" s="190">
        <v>651</v>
      </c>
      <c r="K61" s="190">
        <v>652</v>
      </c>
      <c r="L61" s="190">
        <v>0</v>
      </c>
      <c r="M61" s="190">
        <v>243</v>
      </c>
      <c r="N61" s="190">
        <v>243</v>
      </c>
      <c r="O61" s="190">
        <v>1</v>
      </c>
      <c r="P61" s="190">
        <v>408</v>
      </c>
      <c r="Q61" s="190">
        <v>409</v>
      </c>
      <c r="R61" s="190">
        <v>0</v>
      </c>
      <c r="S61" s="190">
        <v>33</v>
      </c>
      <c r="T61" s="190">
        <v>33</v>
      </c>
      <c r="U61" s="190">
        <v>0</v>
      </c>
      <c r="V61" s="190">
        <v>91</v>
      </c>
      <c r="W61" s="190">
        <v>91</v>
      </c>
      <c r="X61" s="190">
        <v>22</v>
      </c>
      <c r="Y61" s="190">
        <v>1551</v>
      </c>
      <c r="Z61" s="190">
        <v>1573</v>
      </c>
      <c r="AA61" s="190">
        <v>13</v>
      </c>
      <c r="AB61" s="190">
        <v>824</v>
      </c>
      <c r="AC61" s="190">
        <v>837</v>
      </c>
      <c r="AD61" s="190">
        <v>13</v>
      </c>
      <c r="AE61" s="190">
        <v>793</v>
      </c>
      <c r="AF61" s="190">
        <v>806</v>
      </c>
      <c r="AG61" s="190">
        <v>0</v>
      </c>
      <c r="AH61" s="190">
        <v>8</v>
      </c>
      <c r="AI61" s="190">
        <v>8</v>
      </c>
      <c r="AJ61" s="190">
        <v>0</v>
      </c>
      <c r="AK61" s="190">
        <v>23</v>
      </c>
      <c r="AL61" s="190">
        <v>23</v>
      </c>
      <c r="AM61" s="190">
        <v>9</v>
      </c>
      <c r="AN61" s="190">
        <v>727</v>
      </c>
      <c r="AO61" s="190">
        <v>736</v>
      </c>
      <c r="AP61" s="190">
        <v>2539</v>
      </c>
      <c r="AQ61" s="190">
        <v>30437</v>
      </c>
      <c r="AR61" s="190">
        <v>32976</v>
      </c>
      <c r="AS61" s="190">
        <v>2546</v>
      </c>
      <c r="AT61" s="190">
        <v>30319</v>
      </c>
      <c r="AU61" s="190">
        <v>32865</v>
      </c>
      <c r="AV61" s="190">
        <v>-7</v>
      </c>
      <c r="AW61" s="190">
        <v>118</v>
      </c>
      <c r="AX61" s="190">
        <v>111</v>
      </c>
      <c r="AY61" s="190">
        <v>74</v>
      </c>
      <c r="AZ61" s="190">
        <v>2612</v>
      </c>
      <c r="BA61" s="190">
        <v>2686</v>
      </c>
      <c r="BB61" s="190">
        <v>52</v>
      </c>
      <c r="BC61" s="190">
        <v>3</v>
      </c>
      <c r="BD61" s="190">
        <v>0</v>
      </c>
      <c r="BE61" s="190">
        <v>1205</v>
      </c>
      <c r="BF61" s="190">
        <v>15</v>
      </c>
      <c r="BG61" s="190">
        <v>14</v>
      </c>
      <c r="BH61" s="190">
        <v>55</v>
      </c>
      <c r="BI61" s="190">
        <v>1234</v>
      </c>
      <c r="BJ61" s="190">
        <v>1289</v>
      </c>
      <c r="BK61" s="190">
        <v>-46</v>
      </c>
      <c r="BL61" s="190">
        <v>46</v>
      </c>
      <c r="BM61" s="190">
        <v>0</v>
      </c>
      <c r="BN61" s="190">
        <v>0</v>
      </c>
      <c r="BO61" s="190">
        <v>25</v>
      </c>
      <c r="BP61" s="190">
        <v>25</v>
      </c>
      <c r="BQ61" s="190">
        <v>14</v>
      </c>
      <c r="BR61" s="190">
        <v>395</v>
      </c>
      <c r="BS61" s="190">
        <v>409</v>
      </c>
      <c r="BT61" s="190">
        <v>51</v>
      </c>
      <c r="BU61" s="190">
        <v>912</v>
      </c>
      <c r="BV61" s="190">
        <v>963</v>
      </c>
      <c r="BW61" s="190">
        <v>2613</v>
      </c>
      <c r="BX61" s="190">
        <v>33049</v>
      </c>
      <c r="BY61" s="190">
        <v>35662</v>
      </c>
      <c r="BZ61" s="190">
        <v>2589</v>
      </c>
      <c r="CA61" s="190">
        <v>32506</v>
      </c>
      <c r="CB61" s="190">
        <v>35095</v>
      </c>
      <c r="CC61" s="190">
        <v>71078</v>
      </c>
      <c r="CD61" s="190">
        <v>56</v>
      </c>
      <c r="CE61" s="190">
        <v>589</v>
      </c>
      <c r="CF61" s="190">
        <v>24</v>
      </c>
      <c r="CG61" s="190">
        <v>314</v>
      </c>
      <c r="CH61" s="190">
        <v>338</v>
      </c>
      <c r="CI61" s="190">
        <v>293</v>
      </c>
      <c r="CJ61" s="190">
        <v>6</v>
      </c>
      <c r="CK61" s="190">
        <v>0</v>
      </c>
      <c r="CL61" s="190">
        <v>229</v>
      </c>
      <c r="CM61" s="190">
        <v>229</v>
      </c>
      <c r="CN61" s="190">
        <v>133</v>
      </c>
      <c r="CO61" s="190">
        <v>3340</v>
      </c>
      <c r="CP61" s="190">
        <v>3473</v>
      </c>
      <c r="CQ61" s="190">
        <v>0</v>
      </c>
      <c r="CR61" s="190">
        <v>0</v>
      </c>
      <c r="CS61" s="190">
        <v>0</v>
      </c>
      <c r="CT61" s="190">
        <v>2480</v>
      </c>
      <c r="CU61" s="190">
        <v>29709</v>
      </c>
      <c r="CV61" s="190">
        <v>32189</v>
      </c>
      <c r="CW61" s="190">
        <v>204</v>
      </c>
      <c r="CX61" s="190">
        <v>1464</v>
      </c>
      <c r="CY61" s="190">
        <v>1668</v>
      </c>
      <c r="CZ61" s="190">
        <v>196</v>
      </c>
      <c r="DA61" s="190">
        <v>3</v>
      </c>
      <c r="DB61" s="190">
        <v>0</v>
      </c>
      <c r="DC61" s="190">
        <v>1373</v>
      </c>
      <c r="DD61" s="190">
        <v>13</v>
      </c>
      <c r="DE61" s="190">
        <v>5</v>
      </c>
      <c r="DF61" s="190">
        <v>199</v>
      </c>
      <c r="DG61" s="190">
        <v>1391</v>
      </c>
      <c r="DH61" s="190">
        <v>1590</v>
      </c>
      <c r="DI61" s="190">
        <v>5</v>
      </c>
      <c r="DJ61" s="190">
        <v>0</v>
      </c>
      <c r="DK61" s="190">
        <v>0</v>
      </c>
      <c r="DL61" s="190">
        <v>72</v>
      </c>
      <c r="DM61" s="190">
        <v>1</v>
      </c>
      <c r="DN61" s="190">
        <v>0</v>
      </c>
      <c r="DO61" s="190">
        <v>5</v>
      </c>
      <c r="DP61" s="190">
        <v>73</v>
      </c>
      <c r="DQ61" s="190">
        <v>78</v>
      </c>
      <c r="DR61" s="190">
        <v>0</v>
      </c>
      <c r="DS61" s="190">
        <v>1</v>
      </c>
      <c r="DT61" s="191">
        <v>1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755</v>
      </c>
      <c r="C62" s="190">
        <v>42</v>
      </c>
      <c r="D62" s="190">
        <v>682</v>
      </c>
      <c r="E62" s="190">
        <v>458</v>
      </c>
      <c r="F62" s="190">
        <v>4</v>
      </c>
      <c r="G62" s="190">
        <v>17</v>
      </c>
      <c r="H62" s="190">
        <v>21</v>
      </c>
      <c r="I62" s="190">
        <v>1</v>
      </c>
      <c r="J62" s="190">
        <v>200</v>
      </c>
      <c r="K62" s="190">
        <v>201</v>
      </c>
      <c r="L62" s="190">
        <v>0</v>
      </c>
      <c r="M62" s="190">
        <v>66</v>
      </c>
      <c r="N62" s="190">
        <v>66</v>
      </c>
      <c r="O62" s="190">
        <v>1</v>
      </c>
      <c r="P62" s="190">
        <v>134</v>
      </c>
      <c r="Q62" s="190">
        <v>135</v>
      </c>
      <c r="R62" s="190">
        <v>0</v>
      </c>
      <c r="S62" s="190">
        <v>21</v>
      </c>
      <c r="T62" s="190">
        <v>21</v>
      </c>
      <c r="U62" s="190">
        <v>0</v>
      </c>
      <c r="V62" s="190">
        <v>23</v>
      </c>
      <c r="W62" s="190">
        <v>23</v>
      </c>
      <c r="X62" s="190">
        <v>2</v>
      </c>
      <c r="Y62" s="190">
        <v>225</v>
      </c>
      <c r="Z62" s="190">
        <v>227</v>
      </c>
      <c r="AA62" s="190">
        <v>2</v>
      </c>
      <c r="AB62" s="190">
        <v>225</v>
      </c>
      <c r="AC62" s="190">
        <v>227</v>
      </c>
      <c r="AD62" s="190">
        <v>1</v>
      </c>
      <c r="AE62" s="190">
        <v>219</v>
      </c>
      <c r="AF62" s="190">
        <v>220</v>
      </c>
      <c r="AG62" s="190">
        <v>1</v>
      </c>
      <c r="AH62" s="190">
        <v>4</v>
      </c>
      <c r="AI62" s="190">
        <v>5</v>
      </c>
      <c r="AJ62" s="190">
        <v>0</v>
      </c>
      <c r="AK62" s="190">
        <v>2</v>
      </c>
      <c r="AL62" s="190">
        <v>2</v>
      </c>
      <c r="AM62" s="190">
        <v>0</v>
      </c>
      <c r="AN62" s="190">
        <v>0</v>
      </c>
      <c r="AO62" s="190">
        <v>0</v>
      </c>
      <c r="AP62" s="190">
        <v>827</v>
      </c>
      <c r="AQ62" s="190">
        <v>8398</v>
      </c>
      <c r="AR62" s="190">
        <v>9225</v>
      </c>
      <c r="AS62" s="190">
        <v>812</v>
      </c>
      <c r="AT62" s="190">
        <v>8386</v>
      </c>
      <c r="AU62" s="190">
        <v>9198</v>
      </c>
      <c r="AV62" s="190">
        <v>15</v>
      </c>
      <c r="AW62" s="190">
        <v>12</v>
      </c>
      <c r="AX62" s="190">
        <v>27</v>
      </c>
      <c r="AY62" s="190">
        <v>27</v>
      </c>
      <c r="AZ62" s="190">
        <v>838</v>
      </c>
      <c r="BA62" s="190">
        <v>865</v>
      </c>
      <c r="BB62" s="190">
        <v>32</v>
      </c>
      <c r="BC62" s="190">
        <v>3</v>
      </c>
      <c r="BD62" s="190">
        <v>0</v>
      </c>
      <c r="BE62" s="190">
        <v>416</v>
      </c>
      <c r="BF62" s="190">
        <v>4</v>
      </c>
      <c r="BG62" s="190">
        <v>3</v>
      </c>
      <c r="BH62" s="190">
        <v>35</v>
      </c>
      <c r="BI62" s="190">
        <v>423</v>
      </c>
      <c r="BJ62" s="190">
        <v>458</v>
      </c>
      <c r="BK62" s="190">
        <v>-39</v>
      </c>
      <c r="BL62" s="190">
        <v>39</v>
      </c>
      <c r="BM62" s="190">
        <v>0</v>
      </c>
      <c r="BN62" s="190">
        <v>6</v>
      </c>
      <c r="BO62" s="190">
        <v>17</v>
      </c>
      <c r="BP62" s="190">
        <v>23</v>
      </c>
      <c r="BQ62" s="190">
        <v>4</v>
      </c>
      <c r="BR62" s="190">
        <v>70</v>
      </c>
      <c r="BS62" s="190">
        <v>74</v>
      </c>
      <c r="BT62" s="190">
        <v>21</v>
      </c>
      <c r="BU62" s="190">
        <v>289</v>
      </c>
      <c r="BV62" s="190">
        <v>310</v>
      </c>
      <c r="BW62" s="190">
        <v>854</v>
      </c>
      <c r="BX62" s="190">
        <v>9236</v>
      </c>
      <c r="BY62" s="190">
        <v>10090</v>
      </c>
      <c r="BZ62" s="190">
        <v>804</v>
      </c>
      <c r="CA62" s="190">
        <v>9023</v>
      </c>
      <c r="CB62" s="190">
        <v>9827</v>
      </c>
      <c r="CC62" s="190">
        <v>18877</v>
      </c>
      <c r="CD62" s="190">
        <v>14</v>
      </c>
      <c r="CE62" s="190">
        <v>304</v>
      </c>
      <c r="CF62" s="190">
        <v>50</v>
      </c>
      <c r="CG62" s="190">
        <v>152</v>
      </c>
      <c r="CH62" s="190">
        <v>202</v>
      </c>
      <c r="CI62" s="190">
        <v>81</v>
      </c>
      <c r="CJ62" s="190">
        <v>0</v>
      </c>
      <c r="CK62" s="190">
        <v>0</v>
      </c>
      <c r="CL62" s="190">
        <v>61</v>
      </c>
      <c r="CM62" s="190">
        <v>61</v>
      </c>
      <c r="CN62" s="190">
        <v>56</v>
      </c>
      <c r="CO62" s="190">
        <v>928</v>
      </c>
      <c r="CP62" s="190">
        <v>984</v>
      </c>
      <c r="CQ62" s="190">
        <v>0</v>
      </c>
      <c r="CR62" s="190">
        <v>0</v>
      </c>
      <c r="CS62" s="190">
        <v>0</v>
      </c>
      <c r="CT62" s="190">
        <v>798</v>
      </c>
      <c r="CU62" s="190">
        <v>8308</v>
      </c>
      <c r="CV62" s="190">
        <v>9106</v>
      </c>
      <c r="CW62" s="190">
        <v>55</v>
      </c>
      <c r="CX62" s="190">
        <v>498</v>
      </c>
      <c r="CY62" s="190">
        <v>553</v>
      </c>
      <c r="CZ62" s="190">
        <v>52</v>
      </c>
      <c r="DA62" s="190">
        <v>2</v>
      </c>
      <c r="DB62" s="190">
        <v>0</v>
      </c>
      <c r="DC62" s="190">
        <v>406</v>
      </c>
      <c r="DD62" s="190">
        <v>8</v>
      </c>
      <c r="DE62" s="190">
        <v>2</v>
      </c>
      <c r="DF62" s="190">
        <v>54</v>
      </c>
      <c r="DG62" s="190">
        <v>416</v>
      </c>
      <c r="DH62" s="190">
        <v>470</v>
      </c>
      <c r="DI62" s="190">
        <v>1</v>
      </c>
      <c r="DJ62" s="190">
        <v>0</v>
      </c>
      <c r="DK62" s="190">
        <v>0</v>
      </c>
      <c r="DL62" s="190">
        <v>79</v>
      </c>
      <c r="DM62" s="190">
        <v>3</v>
      </c>
      <c r="DN62" s="190">
        <v>0</v>
      </c>
      <c r="DO62" s="190">
        <v>1</v>
      </c>
      <c r="DP62" s="190">
        <v>82</v>
      </c>
      <c r="DQ62" s="190">
        <v>83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494</v>
      </c>
      <c r="C63" s="195">
        <v>100</v>
      </c>
      <c r="D63" s="195">
        <v>476</v>
      </c>
      <c r="E63" s="195">
        <v>339</v>
      </c>
      <c r="F63" s="195">
        <v>0</v>
      </c>
      <c r="G63" s="195">
        <v>0</v>
      </c>
      <c r="H63" s="195">
        <v>0</v>
      </c>
      <c r="I63" s="195">
        <v>2</v>
      </c>
      <c r="J63" s="195">
        <v>120</v>
      </c>
      <c r="K63" s="195">
        <v>122</v>
      </c>
      <c r="L63" s="195">
        <v>2</v>
      </c>
      <c r="M63" s="195">
        <v>80</v>
      </c>
      <c r="N63" s="195">
        <v>82</v>
      </c>
      <c r="O63" s="195">
        <v>0</v>
      </c>
      <c r="P63" s="195">
        <v>40</v>
      </c>
      <c r="Q63" s="195">
        <v>40</v>
      </c>
      <c r="R63" s="195">
        <v>0</v>
      </c>
      <c r="S63" s="195">
        <v>0</v>
      </c>
      <c r="T63" s="195">
        <v>0</v>
      </c>
      <c r="U63" s="195">
        <v>0</v>
      </c>
      <c r="V63" s="195">
        <v>15</v>
      </c>
      <c r="W63" s="195">
        <v>15</v>
      </c>
      <c r="X63" s="195">
        <v>11</v>
      </c>
      <c r="Y63" s="195">
        <v>465</v>
      </c>
      <c r="Z63" s="195">
        <v>476</v>
      </c>
      <c r="AA63" s="195">
        <v>2</v>
      </c>
      <c r="AB63" s="195">
        <v>249</v>
      </c>
      <c r="AC63" s="195">
        <v>251</v>
      </c>
      <c r="AD63" s="195">
        <v>2</v>
      </c>
      <c r="AE63" s="195">
        <v>242</v>
      </c>
      <c r="AF63" s="195">
        <v>244</v>
      </c>
      <c r="AG63" s="195">
        <v>0</v>
      </c>
      <c r="AH63" s="195">
        <v>4</v>
      </c>
      <c r="AI63" s="195">
        <v>4</v>
      </c>
      <c r="AJ63" s="195">
        <v>0</v>
      </c>
      <c r="AK63" s="195">
        <v>3</v>
      </c>
      <c r="AL63" s="195">
        <v>3</v>
      </c>
      <c r="AM63" s="195">
        <v>9</v>
      </c>
      <c r="AN63" s="195">
        <v>216</v>
      </c>
      <c r="AO63" s="195">
        <v>225</v>
      </c>
      <c r="AP63" s="195">
        <v>762</v>
      </c>
      <c r="AQ63" s="195">
        <v>4779</v>
      </c>
      <c r="AR63" s="195">
        <v>5541</v>
      </c>
      <c r="AS63" s="195">
        <v>762</v>
      </c>
      <c r="AT63" s="195">
        <v>4779</v>
      </c>
      <c r="AU63" s="195">
        <v>5541</v>
      </c>
      <c r="AV63" s="195">
        <v>0</v>
      </c>
      <c r="AW63" s="195">
        <v>0</v>
      </c>
      <c r="AX63" s="195">
        <v>0</v>
      </c>
      <c r="AY63" s="195">
        <v>24</v>
      </c>
      <c r="AZ63" s="195">
        <v>563</v>
      </c>
      <c r="BA63" s="195">
        <v>587</v>
      </c>
      <c r="BB63" s="195">
        <v>9</v>
      </c>
      <c r="BC63" s="195">
        <v>0</v>
      </c>
      <c r="BD63" s="195">
        <v>0</v>
      </c>
      <c r="BE63" s="195">
        <v>328</v>
      </c>
      <c r="BF63" s="195">
        <v>1</v>
      </c>
      <c r="BG63" s="195">
        <v>1</v>
      </c>
      <c r="BH63" s="195">
        <v>9</v>
      </c>
      <c r="BI63" s="195">
        <v>330</v>
      </c>
      <c r="BJ63" s="195">
        <v>339</v>
      </c>
      <c r="BK63" s="195">
        <v>-17</v>
      </c>
      <c r="BL63" s="195">
        <v>17</v>
      </c>
      <c r="BM63" s="195">
        <v>0</v>
      </c>
      <c r="BN63" s="195">
        <v>6</v>
      </c>
      <c r="BO63" s="195">
        <v>26</v>
      </c>
      <c r="BP63" s="195">
        <v>32</v>
      </c>
      <c r="BQ63" s="195">
        <v>3</v>
      </c>
      <c r="BR63" s="195">
        <v>46</v>
      </c>
      <c r="BS63" s="195">
        <v>49</v>
      </c>
      <c r="BT63" s="195">
        <v>23</v>
      </c>
      <c r="BU63" s="195">
        <v>144</v>
      </c>
      <c r="BV63" s="195">
        <v>167</v>
      </c>
      <c r="BW63" s="195">
        <v>786</v>
      </c>
      <c r="BX63" s="195">
        <v>5342</v>
      </c>
      <c r="BY63" s="195">
        <v>6128</v>
      </c>
      <c r="BZ63" s="195">
        <v>781</v>
      </c>
      <c r="CA63" s="195">
        <v>5306</v>
      </c>
      <c r="CB63" s="195">
        <v>6087</v>
      </c>
      <c r="CC63" s="195">
        <v>13171</v>
      </c>
      <c r="CD63" s="195">
        <v>2</v>
      </c>
      <c r="CE63" s="195">
        <v>44</v>
      </c>
      <c r="CF63" s="195">
        <v>5</v>
      </c>
      <c r="CG63" s="195">
        <v>27</v>
      </c>
      <c r="CH63" s="195">
        <v>32</v>
      </c>
      <c r="CI63" s="195">
        <v>9</v>
      </c>
      <c r="CJ63" s="195">
        <v>0</v>
      </c>
      <c r="CK63" s="195">
        <v>0</v>
      </c>
      <c r="CL63" s="195">
        <v>9</v>
      </c>
      <c r="CM63" s="195">
        <v>9</v>
      </c>
      <c r="CN63" s="195">
        <v>39</v>
      </c>
      <c r="CO63" s="195">
        <v>490</v>
      </c>
      <c r="CP63" s="195">
        <v>529</v>
      </c>
      <c r="CQ63" s="195">
        <v>0</v>
      </c>
      <c r="CR63" s="195">
        <v>27</v>
      </c>
      <c r="CS63" s="195">
        <v>27</v>
      </c>
      <c r="CT63" s="195">
        <v>747</v>
      </c>
      <c r="CU63" s="195">
        <v>4852</v>
      </c>
      <c r="CV63" s="195">
        <v>5599</v>
      </c>
      <c r="CW63" s="195">
        <v>45</v>
      </c>
      <c r="CX63" s="195">
        <v>199</v>
      </c>
      <c r="CY63" s="195">
        <v>244</v>
      </c>
      <c r="CZ63" s="195">
        <v>43</v>
      </c>
      <c r="DA63" s="195">
        <v>1</v>
      </c>
      <c r="DB63" s="195">
        <v>0</v>
      </c>
      <c r="DC63" s="195">
        <v>197</v>
      </c>
      <c r="DD63" s="195">
        <v>0</v>
      </c>
      <c r="DE63" s="195">
        <v>0</v>
      </c>
      <c r="DF63" s="195">
        <v>44</v>
      </c>
      <c r="DG63" s="195">
        <v>197</v>
      </c>
      <c r="DH63" s="195">
        <v>241</v>
      </c>
      <c r="DI63" s="195">
        <v>1</v>
      </c>
      <c r="DJ63" s="195">
        <v>0</v>
      </c>
      <c r="DK63" s="195">
        <v>0</v>
      </c>
      <c r="DL63" s="195">
        <v>2</v>
      </c>
      <c r="DM63" s="195">
        <v>0</v>
      </c>
      <c r="DN63" s="195">
        <v>0</v>
      </c>
      <c r="DO63" s="195">
        <v>1</v>
      </c>
      <c r="DP63" s="195">
        <v>2</v>
      </c>
      <c r="DQ63" s="195">
        <v>3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198" t="s">
        <v>330</v>
      </c>
      <c r="B64" s="199">
        <f>SUBTOTAL(109,Jun17Data[Cell 1])</f>
        <v>138221</v>
      </c>
      <c r="C64" s="199">
        <f>SUBTOTAL(109,Jun17Data[Cell 2])</f>
        <v>35782</v>
      </c>
      <c r="D64" s="199">
        <f>SUBTOTAL(109,Jun17Data[Cell 3])</f>
        <v>131905</v>
      </c>
      <c r="E64" s="199">
        <f>SUBTOTAL(109,Jun17Data[Cell 4])</f>
        <v>89788</v>
      </c>
      <c r="F64" s="199">
        <f>SUBTOTAL(109,Jun17Data[Cell 5])</f>
        <v>113</v>
      </c>
      <c r="G64" s="199">
        <f>SUBTOTAL(109,Jun17Data[Cell 6])</f>
        <v>1048</v>
      </c>
      <c r="H64" s="199">
        <f>SUBTOTAL(109,Jun17Data[Cell 7])</f>
        <v>1161</v>
      </c>
      <c r="I64" s="199">
        <f>SUBTOTAL(109,Jun17Data[Cell 8])</f>
        <v>149</v>
      </c>
      <c r="J64" s="199">
        <f>SUBTOTAL(109,Jun17Data[Cell 9])</f>
        <v>36900</v>
      </c>
      <c r="K64" s="199">
        <f>SUBTOTAL(109,Jun17Data[Cell 10])</f>
        <v>37049</v>
      </c>
      <c r="L64" s="199">
        <f>SUBTOTAL(109,Jun17Data[Cell 11])</f>
        <v>87</v>
      </c>
      <c r="M64" s="199">
        <f>SUBTOTAL(109,Jun17Data[Cell 12])</f>
        <v>18299</v>
      </c>
      <c r="N64" s="199">
        <f>SUBTOTAL(109,Jun17Data[Cell 13])</f>
        <v>18386</v>
      </c>
      <c r="O64" s="199">
        <f>SUBTOTAL(109,Jun17Data[Cell 14])</f>
        <v>62</v>
      </c>
      <c r="P64" s="199">
        <f>SUBTOTAL(109,Jun17Data[Cell 15])</f>
        <v>18601</v>
      </c>
      <c r="Q64" s="199">
        <f>SUBTOTAL(109,Jun17Data[Cell 16])</f>
        <v>18663</v>
      </c>
      <c r="R64" s="199">
        <f>SUBTOTAL(109,Jun17Data[Cell 17])</f>
        <v>25</v>
      </c>
      <c r="S64" s="199">
        <f>SUBTOTAL(109,Jun17Data[Cell 18])</f>
        <v>1465</v>
      </c>
      <c r="T64" s="199">
        <f>SUBTOTAL(109,Jun17Data[Cell 19])</f>
        <v>1490</v>
      </c>
      <c r="U64" s="199">
        <f>SUBTOTAL(109,Jun17Data[Cell 20])</f>
        <v>56</v>
      </c>
      <c r="V64" s="199">
        <f>SUBTOTAL(109,Jun17Data[Cell 21])</f>
        <v>5012</v>
      </c>
      <c r="W64" s="199">
        <f>SUBTOTAL(109,Jun17Data[Cell 22])</f>
        <v>5068</v>
      </c>
      <c r="X64" s="199">
        <f>SUBTOTAL(109,Jun17Data[Cell 23])</f>
        <v>4391</v>
      </c>
      <c r="Y64" s="199">
        <f>SUBTOTAL(109,Jun17Data[Cell 24])</f>
        <v>112876</v>
      </c>
      <c r="Z64" s="199">
        <f>SUBTOTAL(109,Jun17Data[Cell 25])</f>
        <v>117267</v>
      </c>
      <c r="AA64" s="199">
        <f>SUBTOTAL(109,Jun17Data[Cell 26])</f>
        <v>2858</v>
      </c>
      <c r="AB64" s="199">
        <f>SUBTOTAL(109,Jun17Data[Cell 27])</f>
        <v>50922</v>
      </c>
      <c r="AC64" s="199">
        <f>SUBTOTAL(109,Jun17Data[Cell 28])</f>
        <v>53780</v>
      </c>
      <c r="AD64" s="199">
        <f>SUBTOTAL(109,Jun17Data[Cell 29])</f>
        <v>2532</v>
      </c>
      <c r="AE64" s="199">
        <f>SUBTOTAL(109,Jun17Data[Cell 30])</f>
        <v>48194</v>
      </c>
      <c r="AF64" s="199">
        <f>SUBTOTAL(109,Jun17Data[Cell 31])</f>
        <v>50726</v>
      </c>
      <c r="AG64" s="199">
        <f>SUBTOTAL(109,Jun17Data[Cell 32])</f>
        <v>135</v>
      </c>
      <c r="AH64" s="199">
        <f>SUBTOTAL(109,Jun17Data[Cell 33])</f>
        <v>1420</v>
      </c>
      <c r="AI64" s="199">
        <f>SUBTOTAL(109,Jun17Data[Cell 34])</f>
        <v>1555</v>
      </c>
      <c r="AJ64" s="199">
        <f>SUBTOTAL(109,Jun17Data[Cell 35])</f>
        <v>191</v>
      </c>
      <c r="AK64" s="199">
        <f>SUBTOTAL(109,Jun17Data[Cell 36])</f>
        <v>1308</v>
      </c>
      <c r="AL64" s="199">
        <f>SUBTOTAL(109,Jun17Data[Cell 37])</f>
        <v>1499</v>
      </c>
      <c r="AM64" s="199">
        <f>SUBTOTAL(109,Jun17Data[Cell 38])</f>
        <v>1533</v>
      </c>
      <c r="AN64" s="199">
        <f>SUBTOTAL(109,Jun17Data[Cell 39])</f>
        <v>61954</v>
      </c>
      <c r="AO64" s="199">
        <f>SUBTOTAL(109,Jun17Data[Cell 40])</f>
        <v>63487</v>
      </c>
      <c r="AP64" s="199">
        <f>SUBTOTAL(109,Jun17Data[Cell 41])</f>
        <v>231411</v>
      </c>
      <c r="AQ64" s="199">
        <f>SUBTOTAL(109,Jun17Data[Cell 42])</f>
        <v>1570109</v>
      </c>
      <c r="AR64" s="199">
        <f>SUBTOTAL(109,Jun17Data[Cell 43])</f>
        <v>1801520</v>
      </c>
      <c r="AS64" s="199">
        <f>SUBTOTAL(109,Jun17Data[Cell 44])</f>
        <v>232423</v>
      </c>
      <c r="AT64" s="199">
        <f>SUBTOTAL(109,Jun17Data[Cell 45])</f>
        <v>1578594</v>
      </c>
      <c r="AU64" s="199">
        <f>SUBTOTAL(109,Jun17Data[Cell 46])</f>
        <v>1811017</v>
      </c>
      <c r="AV64" s="199">
        <f>SUBTOTAL(109,Jun17Data[Cell 47])</f>
        <v>-1012</v>
      </c>
      <c r="AW64" s="199">
        <f>SUBTOTAL(109,Jun17Data[Cell 48])</f>
        <v>-8485</v>
      </c>
      <c r="AX64" s="199">
        <f>SUBTOTAL(109,Jun17Data[Cell 49])</f>
        <v>-9497</v>
      </c>
      <c r="AY64" s="199">
        <f>SUBTOTAL(109,Jun17Data[Cell 50])</f>
        <v>9764</v>
      </c>
      <c r="AZ64" s="199">
        <f>SUBTOTAL(109,Jun17Data[Cell 51])</f>
        <v>144235</v>
      </c>
      <c r="BA64" s="199">
        <f>SUBTOTAL(109,Jun17Data[Cell 52])</f>
        <v>153999</v>
      </c>
      <c r="BB64" s="199">
        <f>SUBTOTAL(109,Jun17Data[Cell 53])</f>
        <v>5787</v>
      </c>
      <c r="BC64" s="199">
        <f>SUBTOTAL(109,Jun17Data[Cell 54])</f>
        <v>136</v>
      </c>
      <c r="BD64" s="199">
        <f>SUBTOTAL(109,Jun17Data[Cell 55])</f>
        <v>13</v>
      </c>
      <c r="BE64" s="199">
        <f>SUBTOTAL(109,Jun17Data[Cell 56])</f>
        <v>82383</v>
      </c>
      <c r="BF64" s="199">
        <f>SUBTOTAL(109,Jun17Data[Cell 57])</f>
        <v>805</v>
      </c>
      <c r="BG64" s="199">
        <f>SUBTOTAL(109,Jun17Data[Cell 58])</f>
        <v>664</v>
      </c>
      <c r="BH64" s="199">
        <f>SUBTOTAL(109,Jun17Data[Cell 59])</f>
        <v>5936</v>
      </c>
      <c r="BI64" s="199">
        <f>SUBTOTAL(109,Jun17Data[Cell 60])</f>
        <v>83852</v>
      </c>
      <c r="BJ64" s="199">
        <f>SUBTOTAL(109,Jun17Data[Cell 61])</f>
        <v>89788</v>
      </c>
      <c r="BK64" s="199">
        <f>SUBTOTAL(109,Jun17Data[Cell 62])</f>
        <v>-4174</v>
      </c>
      <c r="BL64" s="199">
        <f>SUBTOTAL(109,Jun17Data[Cell 63])</f>
        <v>4174</v>
      </c>
      <c r="BM64" s="199">
        <f>SUBTOTAL(109,Jun17Data[Cell 64])</f>
        <v>0</v>
      </c>
      <c r="BN64" s="199">
        <f>SUBTOTAL(109,Jun17Data[Cell 65])</f>
        <v>431</v>
      </c>
      <c r="BO64" s="199">
        <f>SUBTOTAL(109,Jun17Data[Cell 66])</f>
        <v>2375</v>
      </c>
      <c r="BP64" s="199">
        <f>SUBTOTAL(109,Jun17Data[Cell 67])</f>
        <v>2806</v>
      </c>
      <c r="BQ64" s="199">
        <f>SUBTOTAL(109,Jun17Data[Cell 68])</f>
        <v>1007</v>
      </c>
      <c r="BR64" s="199">
        <f>SUBTOTAL(109,Jun17Data[Cell 69])</f>
        <v>13002</v>
      </c>
      <c r="BS64" s="199">
        <f>SUBTOTAL(109,Jun17Data[Cell 70])</f>
        <v>14009</v>
      </c>
      <c r="BT64" s="199">
        <f>SUBTOTAL(109,Jun17Data[Cell 71])</f>
        <v>6564</v>
      </c>
      <c r="BU64" s="199">
        <f>SUBTOTAL(109,Jun17Data[Cell 72])</f>
        <v>40832</v>
      </c>
      <c r="BV64" s="199">
        <f>SUBTOTAL(109,Jun17Data[Cell 73])</f>
        <v>47396</v>
      </c>
      <c r="BW64" s="199">
        <f>SUBTOTAL(109,Jun17Data[Cell 74])</f>
        <v>241175</v>
      </c>
      <c r="BX64" s="199">
        <f>SUBTOTAL(109,Jun17Data[Cell 75])</f>
        <v>1714344</v>
      </c>
      <c r="BY64" s="199">
        <f>SUBTOTAL(109,Jun17Data[Cell 76])</f>
        <v>1955519</v>
      </c>
      <c r="BZ64" s="199">
        <f>SUBTOTAL(109,Jun17Data[Cell 77])</f>
        <v>236341</v>
      </c>
      <c r="CA64" s="199">
        <f>SUBTOTAL(109,Jun17Data[Cell 78])</f>
        <v>1684910</v>
      </c>
      <c r="CB64" s="199">
        <f>SUBTOTAL(109,Jun17Data[Cell 79])</f>
        <v>1921251</v>
      </c>
      <c r="CC64" s="199">
        <f>SUBTOTAL(109,Jun17Data[Cell 80])</f>
        <v>3999876</v>
      </c>
      <c r="CD64" s="199">
        <f>SUBTOTAL(109,Jun17Data[Cell 81])</f>
        <v>2454</v>
      </c>
      <c r="CE64" s="199">
        <f>SUBTOTAL(109,Jun17Data[Cell 82])</f>
        <v>28991</v>
      </c>
      <c r="CF64" s="199">
        <f>SUBTOTAL(109,Jun17Data[Cell 83])</f>
        <v>4553</v>
      </c>
      <c r="CG64" s="199">
        <f>SUBTOTAL(109,Jun17Data[Cell 84])</f>
        <v>19724</v>
      </c>
      <c r="CH64" s="199">
        <f>SUBTOTAL(109,Jun17Data[Cell 85])</f>
        <v>24277</v>
      </c>
      <c r="CI64" s="199">
        <f>SUBTOTAL(109,Jun17Data[Cell 86])</f>
        <v>12095</v>
      </c>
      <c r="CJ64" s="199">
        <f>SUBTOTAL(109,Jun17Data[Cell 87])</f>
        <v>1083</v>
      </c>
      <c r="CK64" s="199">
        <f>SUBTOTAL(109,Jun17Data[Cell 88])</f>
        <v>281</v>
      </c>
      <c r="CL64" s="199">
        <f>SUBTOTAL(109,Jun17Data[Cell 89])</f>
        <v>9710</v>
      </c>
      <c r="CM64" s="199">
        <f>SUBTOTAL(109,Jun17Data[Cell 90])</f>
        <v>9991</v>
      </c>
      <c r="CN64" s="199">
        <f>SUBTOTAL(109,Jun17Data[Cell 91])</f>
        <v>11869</v>
      </c>
      <c r="CO64" s="199">
        <f>SUBTOTAL(109,Jun17Data[Cell 92])</f>
        <v>140679</v>
      </c>
      <c r="CP64" s="199">
        <f>SUBTOTAL(109,Jun17Data[Cell 93])</f>
        <v>152548</v>
      </c>
      <c r="CQ64" s="199">
        <f>SUBTOTAL(109,Jun17Data[Cell 94])</f>
        <v>77</v>
      </c>
      <c r="CR64" s="199">
        <f>SUBTOTAL(109,Jun17Data[Cell 95])</f>
        <v>784</v>
      </c>
      <c r="CS64" s="199">
        <f>SUBTOTAL(109,Jun17Data[Cell 96])</f>
        <v>861</v>
      </c>
      <c r="CT64" s="199">
        <f>SUBTOTAL(109,Jun17Data[Cell 97])</f>
        <v>229306</v>
      </c>
      <c r="CU64" s="199">
        <f>SUBTOTAL(109,Jun17Data[Cell 98])</f>
        <v>1573665</v>
      </c>
      <c r="CV64" s="199">
        <f>SUBTOTAL(109,Jun17Data[Cell 99])</f>
        <v>1802971</v>
      </c>
      <c r="CW64" s="199">
        <f>SUBTOTAL(109,Jun17Data[Cell 100])</f>
        <v>16824</v>
      </c>
      <c r="CX64" s="199">
        <f>SUBTOTAL(109,Jun17Data[Cell 101])</f>
        <v>76359</v>
      </c>
      <c r="CY64" s="199">
        <f>SUBTOTAL(109,Jun17Data[Cell 102])</f>
        <v>93183</v>
      </c>
      <c r="CZ64" s="199">
        <f>SUBTOTAL(109,Jun17Data[Cell 103])</f>
        <v>16176</v>
      </c>
      <c r="DA64" s="199">
        <f>SUBTOTAL(109,Jun17Data[Cell 104])</f>
        <v>327</v>
      </c>
      <c r="DB64" s="199">
        <f>SUBTOTAL(109,Jun17Data[Cell 105])</f>
        <v>4</v>
      </c>
      <c r="DC64" s="199">
        <f>SUBTOTAL(109,Jun17Data[Cell 106])</f>
        <v>71026</v>
      </c>
      <c r="DD64" s="199">
        <f>SUBTOTAL(109,Jun17Data[Cell 107])</f>
        <v>996</v>
      </c>
      <c r="DE64" s="199">
        <f>SUBTOTAL(109,Jun17Data[Cell 108])</f>
        <v>251</v>
      </c>
      <c r="DF64" s="199">
        <f>SUBTOTAL(109,Jun17Data[Cell 109])</f>
        <v>16507</v>
      </c>
      <c r="DG64" s="199">
        <f>SUBTOTAL(109,Jun17Data[Cell 110])</f>
        <v>72273</v>
      </c>
      <c r="DH64" s="199">
        <f>SUBTOTAL(109,Jun17Data[Cell 111])</f>
        <v>88780</v>
      </c>
      <c r="DI64" s="199">
        <f>SUBTOTAL(109,Jun17Data[Cell 112])</f>
        <v>307</v>
      </c>
      <c r="DJ64" s="199">
        <f>SUBTOTAL(109,Jun17Data[Cell 113])</f>
        <v>9</v>
      </c>
      <c r="DK64" s="199">
        <f>SUBTOTAL(109,Jun17Data[Cell 114])</f>
        <v>1</v>
      </c>
      <c r="DL64" s="199">
        <f>SUBTOTAL(109,Jun17Data[Cell 115])</f>
        <v>3955</v>
      </c>
      <c r="DM64" s="199">
        <f>SUBTOTAL(109,Jun17Data[Cell 116])</f>
        <v>104</v>
      </c>
      <c r="DN64" s="199">
        <f>SUBTOTAL(109,Jun17Data[Cell 117])</f>
        <v>27</v>
      </c>
      <c r="DO64" s="199">
        <f>SUBTOTAL(109,Jun17Data[Cell 118])</f>
        <v>317</v>
      </c>
      <c r="DP64" s="199">
        <f>SUBTOTAL(109,Jun17Data[Cell 119])</f>
        <v>4086</v>
      </c>
      <c r="DQ64" s="199">
        <f>SUBTOTAL(109,Jun17Data[Cell 120])</f>
        <v>4403</v>
      </c>
      <c r="DR64" s="199">
        <f>SUBTOTAL(109,Jun17Data[Cell 121])</f>
        <v>13</v>
      </c>
      <c r="DS64" s="199">
        <f>SUBTOTAL(109,Jun17Data[Cell 122])</f>
        <v>64</v>
      </c>
      <c r="DT64" s="199">
        <f>SUBTOTAL(109,Jun17Data[Cell 123])</f>
        <v>77</v>
      </c>
      <c r="DU64" s="172"/>
      <c r="DV64" s="200">
        <v>25293226</v>
      </c>
      <c r="DX64" s="192"/>
      <c r="DY64" s="192"/>
    </row>
  </sheetData>
  <conditionalFormatting sqref="B6:DT63">
    <cfRule type="containsBlanks" dxfId="1523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332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8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1"/>
    </row>
    <row r="7" spans="1:129">
      <c r="A7" s="189" t="s">
        <v>272</v>
      </c>
      <c r="B7" s="190">
        <v>5</v>
      </c>
      <c r="C7" s="190">
        <v>0</v>
      </c>
      <c r="D7" s="190">
        <v>5</v>
      </c>
      <c r="E7" s="190">
        <v>5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5</v>
      </c>
      <c r="Z7" s="190">
        <v>5</v>
      </c>
      <c r="AA7" s="190">
        <v>0</v>
      </c>
      <c r="AB7" s="190">
        <v>4</v>
      </c>
      <c r="AC7" s="190">
        <v>4</v>
      </c>
      <c r="AD7" s="190">
        <v>0</v>
      </c>
      <c r="AE7" s="190">
        <v>4</v>
      </c>
      <c r="AF7" s="190">
        <v>4</v>
      </c>
      <c r="AG7" s="190">
        <v>0</v>
      </c>
      <c r="AH7" s="190">
        <v>0</v>
      </c>
      <c r="AI7" s="190">
        <v>0</v>
      </c>
      <c r="AJ7" s="190">
        <v>0</v>
      </c>
      <c r="AK7" s="190">
        <v>0</v>
      </c>
      <c r="AL7" s="190">
        <v>0</v>
      </c>
      <c r="AM7" s="190">
        <v>0</v>
      </c>
      <c r="AN7" s="190">
        <v>1</v>
      </c>
      <c r="AO7" s="190">
        <v>1</v>
      </c>
      <c r="AP7" s="190">
        <v>1</v>
      </c>
      <c r="AQ7" s="190">
        <v>88</v>
      </c>
      <c r="AR7" s="190">
        <v>89</v>
      </c>
      <c r="AS7" s="190">
        <v>1</v>
      </c>
      <c r="AT7" s="190">
        <v>88</v>
      </c>
      <c r="AU7" s="190">
        <v>89</v>
      </c>
      <c r="AV7" s="190">
        <v>0</v>
      </c>
      <c r="AW7" s="190">
        <v>0</v>
      </c>
      <c r="AX7" s="190">
        <v>0</v>
      </c>
      <c r="AY7" s="190">
        <v>-1</v>
      </c>
      <c r="AZ7" s="190">
        <v>6</v>
      </c>
      <c r="BA7" s="190">
        <v>5</v>
      </c>
      <c r="BB7" s="190">
        <v>0</v>
      </c>
      <c r="BC7" s="190">
        <v>0</v>
      </c>
      <c r="BD7" s="190">
        <v>0</v>
      </c>
      <c r="BE7" s="190">
        <v>5</v>
      </c>
      <c r="BF7" s="190">
        <v>0</v>
      </c>
      <c r="BG7" s="190">
        <v>0</v>
      </c>
      <c r="BH7" s="190">
        <v>0</v>
      </c>
      <c r="BI7" s="190">
        <v>5</v>
      </c>
      <c r="BJ7" s="190">
        <v>5</v>
      </c>
      <c r="BK7" s="190">
        <v>-1</v>
      </c>
      <c r="BL7" s="190">
        <v>1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0</v>
      </c>
      <c r="BS7" s="190">
        <v>0</v>
      </c>
      <c r="BT7" s="190">
        <v>0</v>
      </c>
      <c r="BU7" s="190">
        <v>0</v>
      </c>
      <c r="BV7" s="190">
        <v>0</v>
      </c>
      <c r="BW7" s="190">
        <v>0</v>
      </c>
      <c r="BX7" s="190">
        <v>94</v>
      </c>
      <c r="BY7" s="190">
        <v>94</v>
      </c>
      <c r="BZ7" s="190">
        <v>0</v>
      </c>
      <c r="CA7" s="190">
        <v>94</v>
      </c>
      <c r="CB7" s="190">
        <v>94</v>
      </c>
      <c r="CC7" s="190">
        <v>155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3</v>
      </c>
      <c r="CP7" s="190">
        <v>3</v>
      </c>
      <c r="CQ7" s="190">
        <v>0</v>
      </c>
      <c r="CR7" s="190">
        <v>0</v>
      </c>
      <c r="CS7" s="190">
        <v>0</v>
      </c>
      <c r="CT7" s="190">
        <v>0</v>
      </c>
      <c r="CU7" s="190">
        <v>91</v>
      </c>
      <c r="CV7" s="190">
        <v>91</v>
      </c>
      <c r="CW7" s="190">
        <v>0</v>
      </c>
      <c r="CX7" s="190">
        <v>0</v>
      </c>
      <c r="CY7" s="190">
        <v>0</v>
      </c>
      <c r="CZ7" s="190">
        <v>0</v>
      </c>
      <c r="DA7" s="190">
        <v>0</v>
      </c>
      <c r="DB7" s="190">
        <v>0</v>
      </c>
      <c r="DC7" s="190">
        <v>0</v>
      </c>
      <c r="DD7" s="190">
        <v>0</v>
      </c>
      <c r="DE7" s="190">
        <v>0</v>
      </c>
      <c r="DF7" s="190">
        <v>0</v>
      </c>
      <c r="DG7" s="190">
        <v>0</v>
      </c>
      <c r="DH7" s="190">
        <v>0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38</v>
      </c>
      <c r="C8" s="190">
        <v>38</v>
      </c>
      <c r="D8" s="190">
        <v>112</v>
      </c>
      <c r="E8" s="190">
        <v>71</v>
      </c>
      <c r="F8" s="190">
        <v>0</v>
      </c>
      <c r="G8" s="190">
        <v>0</v>
      </c>
      <c r="H8" s="190">
        <v>0</v>
      </c>
      <c r="I8" s="190">
        <v>0</v>
      </c>
      <c r="J8" s="190">
        <v>32</v>
      </c>
      <c r="K8" s="190">
        <v>32</v>
      </c>
      <c r="L8" s="190">
        <v>0</v>
      </c>
      <c r="M8" s="190">
        <v>32</v>
      </c>
      <c r="N8" s="190">
        <v>32</v>
      </c>
      <c r="O8" s="190">
        <v>0</v>
      </c>
      <c r="P8" s="190">
        <v>0</v>
      </c>
      <c r="Q8" s="190">
        <v>0</v>
      </c>
      <c r="R8" s="190">
        <v>0</v>
      </c>
      <c r="S8" s="190">
        <v>2</v>
      </c>
      <c r="T8" s="190">
        <v>2</v>
      </c>
      <c r="U8" s="190">
        <v>0</v>
      </c>
      <c r="V8" s="190">
        <v>9</v>
      </c>
      <c r="W8" s="190">
        <v>9</v>
      </c>
      <c r="X8" s="190">
        <v>0</v>
      </c>
      <c r="Y8" s="190">
        <v>0</v>
      </c>
      <c r="Z8" s="190">
        <v>0</v>
      </c>
      <c r="AA8" s="190">
        <v>0</v>
      </c>
      <c r="AB8" s="190">
        <v>0</v>
      </c>
      <c r="AC8" s="190">
        <v>0</v>
      </c>
      <c r="AD8" s="190">
        <v>0</v>
      </c>
      <c r="AE8" s="190">
        <v>0</v>
      </c>
      <c r="AF8" s="190">
        <v>0</v>
      </c>
      <c r="AG8" s="190">
        <v>0</v>
      </c>
      <c r="AH8" s="190">
        <v>0</v>
      </c>
      <c r="AI8" s="190">
        <v>0</v>
      </c>
      <c r="AJ8" s="190">
        <v>0</v>
      </c>
      <c r="AK8" s="190">
        <v>0</v>
      </c>
      <c r="AL8" s="190">
        <v>0</v>
      </c>
      <c r="AM8" s="190">
        <v>0</v>
      </c>
      <c r="AN8" s="190">
        <v>0</v>
      </c>
      <c r="AO8" s="190">
        <v>0</v>
      </c>
      <c r="AP8" s="190">
        <v>139</v>
      </c>
      <c r="AQ8" s="190">
        <v>1520</v>
      </c>
      <c r="AR8" s="190">
        <v>1659</v>
      </c>
      <c r="AS8" s="190">
        <v>139</v>
      </c>
      <c r="AT8" s="190">
        <v>1520</v>
      </c>
      <c r="AU8" s="190">
        <v>1659</v>
      </c>
      <c r="AV8" s="190">
        <v>0</v>
      </c>
      <c r="AW8" s="190">
        <v>0</v>
      </c>
      <c r="AX8" s="190">
        <v>0</v>
      </c>
      <c r="AY8" s="190">
        <v>9</v>
      </c>
      <c r="AZ8" s="190">
        <v>128</v>
      </c>
      <c r="BA8" s="190">
        <v>137</v>
      </c>
      <c r="BB8" s="190">
        <v>1</v>
      </c>
      <c r="BC8" s="190">
        <v>0</v>
      </c>
      <c r="BD8" s="190">
        <v>0</v>
      </c>
      <c r="BE8" s="190">
        <v>70</v>
      </c>
      <c r="BF8" s="190">
        <v>0</v>
      </c>
      <c r="BG8" s="190">
        <v>0</v>
      </c>
      <c r="BH8" s="190">
        <v>1</v>
      </c>
      <c r="BI8" s="190">
        <v>70</v>
      </c>
      <c r="BJ8" s="190">
        <v>71</v>
      </c>
      <c r="BK8" s="190">
        <v>1</v>
      </c>
      <c r="BL8" s="190">
        <v>-1</v>
      </c>
      <c r="BM8" s="190">
        <v>0</v>
      </c>
      <c r="BN8" s="190">
        <v>3</v>
      </c>
      <c r="BO8" s="190">
        <v>7</v>
      </c>
      <c r="BP8" s="190">
        <v>10</v>
      </c>
      <c r="BQ8" s="190">
        <v>3</v>
      </c>
      <c r="BR8" s="190">
        <v>15</v>
      </c>
      <c r="BS8" s="190">
        <v>18</v>
      </c>
      <c r="BT8" s="190">
        <v>1</v>
      </c>
      <c r="BU8" s="190">
        <v>37</v>
      </c>
      <c r="BV8" s="190">
        <v>38</v>
      </c>
      <c r="BW8" s="190">
        <v>148</v>
      </c>
      <c r="BX8" s="190">
        <v>1648</v>
      </c>
      <c r="BY8" s="190">
        <v>1796</v>
      </c>
      <c r="BZ8" s="190">
        <v>148</v>
      </c>
      <c r="CA8" s="190">
        <v>1646</v>
      </c>
      <c r="CB8" s="190">
        <v>1794</v>
      </c>
      <c r="CC8" s="190">
        <v>3366</v>
      </c>
      <c r="CD8" s="190">
        <v>0</v>
      </c>
      <c r="CE8" s="190">
        <v>2</v>
      </c>
      <c r="CF8" s="190">
        <v>0</v>
      </c>
      <c r="CG8" s="190">
        <v>2</v>
      </c>
      <c r="CH8" s="190">
        <v>2</v>
      </c>
      <c r="CI8" s="190">
        <v>0</v>
      </c>
      <c r="CJ8" s="190">
        <v>0</v>
      </c>
      <c r="CK8" s="190">
        <v>0</v>
      </c>
      <c r="CL8" s="190">
        <v>0</v>
      </c>
      <c r="CM8" s="190">
        <v>0</v>
      </c>
      <c r="CN8" s="190">
        <v>16</v>
      </c>
      <c r="CO8" s="190">
        <v>133</v>
      </c>
      <c r="CP8" s="190">
        <v>149</v>
      </c>
      <c r="CQ8" s="190">
        <v>0</v>
      </c>
      <c r="CR8" s="190">
        <v>0</v>
      </c>
      <c r="CS8" s="190">
        <v>0</v>
      </c>
      <c r="CT8" s="190">
        <v>132</v>
      </c>
      <c r="CU8" s="190">
        <v>1515</v>
      </c>
      <c r="CV8" s="190">
        <v>1647</v>
      </c>
      <c r="CW8" s="190">
        <v>10</v>
      </c>
      <c r="CX8" s="190">
        <v>128</v>
      </c>
      <c r="CY8" s="190">
        <v>138</v>
      </c>
      <c r="CZ8" s="190">
        <v>9</v>
      </c>
      <c r="DA8" s="190">
        <v>0</v>
      </c>
      <c r="DB8" s="190">
        <v>0</v>
      </c>
      <c r="DC8" s="190">
        <v>125</v>
      </c>
      <c r="DD8" s="190">
        <v>1</v>
      </c>
      <c r="DE8" s="190">
        <v>0</v>
      </c>
      <c r="DF8" s="190">
        <v>9</v>
      </c>
      <c r="DG8" s="190">
        <v>126</v>
      </c>
      <c r="DH8" s="190">
        <v>135</v>
      </c>
      <c r="DI8" s="190">
        <v>1</v>
      </c>
      <c r="DJ8" s="190">
        <v>0</v>
      </c>
      <c r="DK8" s="190">
        <v>0</v>
      </c>
      <c r="DL8" s="190">
        <v>2</v>
      </c>
      <c r="DM8" s="190">
        <v>0</v>
      </c>
      <c r="DN8" s="190">
        <v>0</v>
      </c>
      <c r="DO8" s="190">
        <v>1</v>
      </c>
      <c r="DP8" s="190">
        <v>2</v>
      </c>
      <c r="DQ8" s="190">
        <v>3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1245</v>
      </c>
      <c r="C9" s="190">
        <v>312</v>
      </c>
      <c r="D9" s="190">
        <v>1238</v>
      </c>
      <c r="E9" s="190">
        <v>701</v>
      </c>
      <c r="F9" s="190">
        <v>3</v>
      </c>
      <c r="G9" s="190">
        <v>43</v>
      </c>
      <c r="H9" s="190">
        <v>46</v>
      </c>
      <c r="I9" s="190">
        <v>0</v>
      </c>
      <c r="J9" s="190">
        <v>476</v>
      </c>
      <c r="K9" s="190">
        <v>476</v>
      </c>
      <c r="L9" s="190">
        <v>0</v>
      </c>
      <c r="M9" s="190">
        <v>195</v>
      </c>
      <c r="N9" s="190">
        <v>195</v>
      </c>
      <c r="O9" s="190">
        <v>0</v>
      </c>
      <c r="P9" s="190">
        <v>281</v>
      </c>
      <c r="Q9" s="190">
        <v>281</v>
      </c>
      <c r="R9" s="190">
        <v>0</v>
      </c>
      <c r="S9" s="190">
        <v>49</v>
      </c>
      <c r="T9" s="190">
        <v>49</v>
      </c>
      <c r="U9" s="190">
        <v>0</v>
      </c>
      <c r="V9" s="190">
        <v>61</v>
      </c>
      <c r="W9" s="190">
        <v>61</v>
      </c>
      <c r="X9" s="190">
        <v>27</v>
      </c>
      <c r="Y9" s="190">
        <v>1210</v>
      </c>
      <c r="Z9" s="190">
        <v>1237</v>
      </c>
      <c r="AA9" s="190">
        <v>16</v>
      </c>
      <c r="AB9" s="190">
        <v>476</v>
      </c>
      <c r="AC9" s="190">
        <v>492</v>
      </c>
      <c r="AD9" s="190">
        <v>14</v>
      </c>
      <c r="AE9" s="190">
        <v>448</v>
      </c>
      <c r="AF9" s="190">
        <v>462</v>
      </c>
      <c r="AG9" s="190">
        <v>0</v>
      </c>
      <c r="AH9" s="190">
        <v>19</v>
      </c>
      <c r="AI9" s="190">
        <v>19</v>
      </c>
      <c r="AJ9" s="190">
        <v>2</v>
      </c>
      <c r="AK9" s="190">
        <v>9</v>
      </c>
      <c r="AL9" s="190">
        <v>11</v>
      </c>
      <c r="AM9" s="190">
        <v>11</v>
      </c>
      <c r="AN9" s="190">
        <v>734</v>
      </c>
      <c r="AO9" s="190">
        <v>745</v>
      </c>
      <c r="AP9" s="190">
        <v>1696</v>
      </c>
      <c r="AQ9" s="190">
        <v>14283</v>
      </c>
      <c r="AR9" s="190">
        <v>15979</v>
      </c>
      <c r="AS9" s="190">
        <v>1696</v>
      </c>
      <c r="AT9" s="190">
        <v>14283</v>
      </c>
      <c r="AU9" s="190">
        <v>15979</v>
      </c>
      <c r="AV9" s="190">
        <v>0</v>
      </c>
      <c r="AW9" s="190">
        <v>0</v>
      </c>
      <c r="AX9" s="190">
        <v>0</v>
      </c>
      <c r="AY9" s="190">
        <v>55</v>
      </c>
      <c r="AZ9" s="190">
        <v>1198</v>
      </c>
      <c r="BA9" s="190">
        <v>1253</v>
      </c>
      <c r="BB9" s="190">
        <v>33</v>
      </c>
      <c r="BC9" s="190">
        <v>0</v>
      </c>
      <c r="BD9" s="190">
        <v>0</v>
      </c>
      <c r="BE9" s="190">
        <v>665</v>
      </c>
      <c r="BF9" s="190">
        <v>0</v>
      </c>
      <c r="BG9" s="190">
        <v>3</v>
      </c>
      <c r="BH9" s="190">
        <v>33</v>
      </c>
      <c r="BI9" s="190">
        <v>668</v>
      </c>
      <c r="BJ9" s="190">
        <v>701</v>
      </c>
      <c r="BK9" s="190">
        <v>-44</v>
      </c>
      <c r="BL9" s="190">
        <v>44</v>
      </c>
      <c r="BM9" s="190">
        <v>0</v>
      </c>
      <c r="BN9" s="190">
        <v>8</v>
      </c>
      <c r="BO9" s="190">
        <v>32</v>
      </c>
      <c r="BP9" s="190">
        <v>40</v>
      </c>
      <c r="BQ9" s="190">
        <v>5</v>
      </c>
      <c r="BR9" s="190">
        <v>115</v>
      </c>
      <c r="BS9" s="190">
        <v>120</v>
      </c>
      <c r="BT9" s="190">
        <v>53</v>
      </c>
      <c r="BU9" s="190">
        <v>339</v>
      </c>
      <c r="BV9" s="190">
        <v>392</v>
      </c>
      <c r="BW9" s="190">
        <v>1751</v>
      </c>
      <c r="BX9" s="190">
        <v>15481</v>
      </c>
      <c r="BY9" s="190">
        <v>17232</v>
      </c>
      <c r="BZ9" s="190">
        <v>1740</v>
      </c>
      <c r="CA9" s="190">
        <v>15408</v>
      </c>
      <c r="CB9" s="190">
        <v>17148</v>
      </c>
      <c r="CC9" s="190">
        <v>32455</v>
      </c>
      <c r="CD9" s="190">
        <v>3</v>
      </c>
      <c r="CE9" s="190">
        <v>50</v>
      </c>
      <c r="CF9" s="190">
        <v>10</v>
      </c>
      <c r="CG9" s="190">
        <v>41</v>
      </c>
      <c r="CH9" s="190">
        <v>51</v>
      </c>
      <c r="CI9" s="190">
        <v>33</v>
      </c>
      <c r="CJ9" s="190">
        <v>5</v>
      </c>
      <c r="CK9" s="190">
        <v>1</v>
      </c>
      <c r="CL9" s="190">
        <v>32</v>
      </c>
      <c r="CM9" s="190">
        <v>33</v>
      </c>
      <c r="CN9" s="190">
        <v>109</v>
      </c>
      <c r="CO9" s="190">
        <v>1466</v>
      </c>
      <c r="CP9" s="190">
        <v>1575</v>
      </c>
      <c r="CQ9" s="190">
        <v>0</v>
      </c>
      <c r="CR9" s="190">
        <v>0</v>
      </c>
      <c r="CS9" s="190">
        <v>0</v>
      </c>
      <c r="CT9" s="190">
        <v>1642</v>
      </c>
      <c r="CU9" s="190">
        <v>14015</v>
      </c>
      <c r="CV9" s="190">
        <v>15657</v>
      </c>
      <c r="CW9" s="190">
        <v>117</v>
      </c>
      <c r="CX9" s="190">
        <v>628</v>
      </c>
      <c r="CY9" s="190">
        <v>745</v>
      </c>
      <c r="CZ9" s="190">
        <v>116</v>
      </c>
      <c r="DA9" s="190">
        <v>0</v>
      </c>
      <c r="DB9" s="190">
        <v>0</v>
      </c>
      <c r="DC9" s="190">
        <v>623</v>
      </c>
      <c r="DD9" s="190">
        <v>1</v>
      </c>
      <c r="DE9" s="190">
        <v>1</v>
      </c>
      <c r="DF9" s="190">
        <v>116</v>
      </c>
      <c r="DG9" s="190">
        <v>625</v>
      </c>
      <c r="DH9" s="190">
        <v>741</v>
      </c>
      <c r="DI9" s="190">
        <v>1</v>
      </c>
      <c r="DJ9" s="190">
        <v>0</v>
      </c>
      <c r="DK9" s="190">
        <v>0</v>
      </c>
      <c r="DL9" s="190">
        <v>3</v>
      </c>
      <c r="DM9" s="190">
        <v>0</v>
      </c>
      <c r="DN9" s="190">
        <v>0</v>
      </c>
      <c r="DO9" s="190">
        <v>1</v>
      </c>
      <c r="DP9" s="190">
        <v>3</v>
      </c>
      <c r="DQ9" s="190">
        <v>4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195</v>
      </c>
      <c r="C10" s="190">
        <v>23</v>
      </c>
      <c r="D10" s="190">
        <v>179</v>
      </c>
      <c r="E10" s="190">
        <v>140</v>
      </c>
      <c r="F10" s="190">
        <v>0</v>
      </c>
      <c r="G10" s="190">
        <v>2</v>
      </c>
      <c r="H10" s="190">
        <v>2</v>
      </c>
      <c r="I10" s="190">
        <v>0</v>
      </c>
      <c r="J10" s="190">
        <v>32</v>
      </c>
      <c r="K10" s="190">
        <v>32</v>
      </c>
      <c r="L10" s="190">
        <v>0</v>
      </c>
      <c r="M10" s="190">
        <v>13</v>
      </c>
      <c r="N10" s="190">
        <v>13</v>
      </c>
      <c r="O10" s="190">
        <v>0</v>
      </c>
      <c r="P10" s="190">
        <v>19</v>
      </c>
      <c r="Q10" s="190">
        <v>19</v>
      </c>
      <c r="R10" s="190">
        <v>0</v>
      </c>
      <c r="S10" s="190">
        <v>2</v>
      </c>
      <c r="T10" s="190">
        <v>2</v>
      </c>
      <c r="U10" s="190">
        <v>0</v>
      </c>
      <c r="V10" s="190">
        <v>7</v>
      </c>
      <c r="W10" s="190">
        <v>7</v>
      </c>
      <c r="X10" s="190">
        <v>5</v>
      </c>
      <c r="Y10" s="190">
        <v>174</v>
      </c>
      <c r="Z10" s="190">
        <v>179</v>
      </c>
      <c r="AA10" s="190">
        <v>4</v>
      </c>
      <c r="AB10" s="190">
        <v>93</v>
      </c>
      <c r="AC10" s="190">
        <v>97</v>
      </c>
      <c r="AD10" s="190">
        <v>3</v>
      </c>
      <c r="AE10" s="190">
        <v>83</v>
      </c>
      <c r="AF10" s="190">
        <v>86</v>
      </c>
      <c r="AG10" s="190">
        <v>0</v>
      </c>
      <c r="AH10" s="190">
        <v>4</v>
      </c>
      <c r="AI10" s="190">
        <v>4</v>
      </c>
      <c r="AJ10" s="190">
        <v>1</v>
      </c>
      <c r="AK10" s="190">
        <v>6</v>
      </c>
      <c r="AL10" s="190">
        <v>7</v>
      </c>
      <c r="AM10" s="190">
        <v>1</v>
      </c>
      <c r="AN10" s="190">
        <v>81</v>
      </c>
      <c r="AO10" s="190">
        <v>82</v>
      </c>
      <c r="AP10" s="190">
        <v>200</v>
      </c>
      <c r="AQ10" s="190">
        <v>2379</v>
      </c>
      <c r="AR10" s="190">
        <v>2579</v>
      </c>
      <c r="AS10" s="190">
        <v>200</v>
      </c>
      <c r="AT10" s="190">
        <v>2379</v>
      </c>
      <c r="AU10" s="190">
        <v>2579</v>
      </c>
      <c r="AV10" s="190">
        <v>0</v>
      </c>
      <c r="AW10" s="190">
        <v>0</v>
      </c>
      <c r="AX10" s="190">
        <v>0</v>
      </c>
      <c r="AY10" s="190">
        <v>11</v>
      </c>
      <c r="AZ10" s="190">
        <v>245</v>
      </c>
      <c r="BA10" s="190">
        <v>256</v>
      </c>
      <c r="BB10" s="190">
        <v>4</v>
      </c>
      <c r="BC10" s="190">
        <v>0</v>
      </c>
      <c r="BD10" s="190">
        <v>0</v>
      </c>
      <c r="BE10" s="190">
        <v>134</v>
      </c>
      <c r="BF10" s="190">
        <v>1</v>
      </c>
      <c r="BG10" s="190">
        <v>1</v>
      </c>
      <c r="BH10" s="190">
        <v>4</v>
      </c>
      <c r="BI10" s="190">
        <v>136</v>
      </c>
      <c r="BJ10" s="190">
        <v>140</v>
      </c>
      <c r="BK10" s="190">
        <v>-3</v>
      </c>
      <c r="BL10" s="190">
        <v>3</v>
      </c>
      <c r="BM10" s="190">
        <v>0</v>
      </c>
      <c r="BN10" s="190">
        <v>3</v>
      </c>
      <c r="BO10" s="190">
        <v>4</v>
      </c>
      <c r="BP10" s="190">
        <v>7</v>
      </c>
      <c r="BQ10" s="190">
        <v>3</v>
      </c>
      <c r="BR10" s="190">
        <v>34</v>
      </c>
      <c r="BS10" s="190">
        <v>37</v>
      </c>
      <c r="BT10" s="190">
        <v>4</v>
      </c>
      <c r="BU10" s="190">
        <v>68</v>
      </c>
      <c r="BV10" s="190">
        <v>72</v>
      </c>
      <c r="BW10" s="190">
        <v>211</v>
      </c>
      <c r="BX10" s="190">
        <v>2624</v>
      </c>
      <c r="BY10" s="190">
        <v>2835</v>
      </c>
      <c r="BZ10" s="190">
        <v>211</v>
      </c>
      <c r="CA10" s="190">
        <v>2614</v>
      </c>
      <c r="CB10" s="190">
        <v>2825</v>
      </c>
      <c r="CC10" s="190">
        <v>5210</v>
      </c>
      <c r="CD10" s="190">
        <v>0</v>
      </c>
      <c r="CE10" s="190">
        <v>8</v>
      </c>
      <c r="CF10" s="190">
        <v>0</v>
      </c>
      <c r="CG10" s="190">
        <v>6</v>
      </c>
      <c r="CH10" s="190">
        <v>6</v>
      </c>
      <c r="CI10" s="190">
        <v>6</v>
      </c>
      <c r="CJ10" s="190">
        <v>0</v>
      </c>
      <c r="CK10" s="190">
        <v>0</v>
      </c>
      <c r="CL10" s="190">
        <v>4</v>
      </c>
      <c r="CM10" s="190">
        <v>4</v>
      </c>
      <c r="CN10" s="190">
        <v>16</v>
      </c>
      <c r="CO10" s="190">
        <v>209</v>
      </c>
      <c r="CP10" s="190">
        <v>225</v>
      </c>
      <c r="CQ10" s="190">
        <v>0</v>
      </c>
      <c r="CR10" s="190">
        <v>0</v>
      </c>
      <c r="CS10" s="190">
        <v>0</v>
      </c>
      <c r="CT10" s="190">
        <v>195</v>
      </c>
      <c r="CU10" s="190">
        <v>2415</v>
      </c>
      <c r="CV10" s="190">
        <v>2610</v>
      </c>
      <c r="CW10" s="190">
        <v>24</v>
      </c>
      <c r="CX10" s="190">
        <v>205</v>
      </c>
      <c r="CY10" s="190">
        <v>229</v>
      </c>
      <c r="CZ10" s="190">
        <v>24</v>
      </c>
      <c r="DA10" s="190">
        <v>0</v>
      </c>
      <c r="DB10" s="190">
        <v>0</v>
      </c>
      <c r="DC10" s="190">
        <v>205</v>
      </c>
      <c r="DD10" s="190">
        <v>0</v>
      </c>
      <c r="DE10" s="190">
        <v>0</v>
      </c>
      <c r="DF10" s="190">
        <v>24</v>
      </c>
      <c r="DG10" s="190">
        <v>205</v>
      </c>
      <c r="DH10" s="190">
        <v>229</v>
      </c>
      <c r="DI10" s="190">
        <v>0</v>
      </c>
      <c r="DJ10" s="190">
        <v>0</v>
      </c>
      <c r="DK10" s="190">
        <v>0</v>
      </c>
      <c r="DL10" s="190">
        <v>0</v>
      </c>
      <c r="DM10" s="190">
        <v>0</v>
      </c>
      <c r="DN10" s="190">
        <v>0</v>
      </c>
      <c r="DO10" s="190">
        <v>0</v>
      </c>
      <c r="DP10" s="190">
        <v>0</v>
      </c>
      <c r="DQ10" s="190">
        <v>0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61</v>
      </c>
      <c r="C11" s="190">
        <v>10</v>
      </c>
      <c r="D11" s="190">
        <v>51</v>
      </c>
      <c r="E11" s="190">
        <v>26</v>
      </c>
      <c r="F11" s="190">
        <v>0</v>
      </c>
      <c r="G11" s="190">
        <v>3</v>
      </c>
      <c r="H11" s="190">
        <v>3</v>
      </c>
      <c r="I11" s="190">
        <v>0</v>
      </c>
      <c r="J11" s="190">
        <v>22</v>
      </c>
      <c r="K11" s="190">
        <v>22</v>
      </c>
      <c r="L11" s="190">
        <v>0</v>
      </c>
      <c r="M11" s="190">
        <v>7</v>
      </c>
      <c r="N11" s="190">
        <v>7</v>
      </c>
      <c r="O11" s="190">
        <v>0</v>
      </c>
      <c r="P11" s="190">
        <v>15</v>
      </c>
      <c r="Q11" s="190">
        <v>15</v>
      </c>
      <c r="R11" s="190">
        <v>0</v>
      </c>
      <c r="S11" s="190">
        <v>0</v>
      </c>
      <c r="T11" s="190">
        <v>0</v>
      </c>
      <c r="U11" s="190">
        <v>0</v>
      </c>
      <c r="V11" s="190">
        <v>3</v>
      </c>
      <c r="W11" s="190">
        <v>3</v>
      </c>
      <c r="X11" s="190">
        <v>4</v>
      </c>
      <c r="Y11" s="190">
        <v>47</v>
      </c>
      <c r="Z11" s="190">
        <v>51</v>
      </c>
      <c r="AA11" s="190">
        <v>2</v>
      </c>
      <c r="AB11" s="190">
        <v>17</v>
      </c>
      <c r="AC11" s="190">
        <v>19</v>
      </c>
      <c r="AD11" s="190">
        <v>2</v>
      </c>
      <c r="AE11" s="190">
        <v>15</v>
      </c>
      <c r="AF11" s="190">
        <v>17</v>
      </c>
      <c r="AG11" s="190">
        <v>0</v>
      </c>
      <c r="AH11" s="190">
        <v>1</v>
      </c>
      <c r="AI11" s="190">
        <v>1</v>
      </c>
      <c r="AJ11" s="190">
        <v>0</v>
      </c>
      <c r="AK11" s="190">
        <v>1</v>
      </c>
      <c r="AL11" s="190">
        <v>1</v>
      </c>
      <c r="AM11" s="190">
        <v>2</v>
      </c>
      <c r="AN11" s="190">
        <v>30</v>
      </c>
      <c r="AO11" s="190">
        <v>32</v>
      </c>
      <c r="AP11" s="190">
        <v>79</v>
      </c>
      <c r="AQ11" s="190">
        <v>509</v>
      </c>
      <c r="AR11" s="190">
        <v>588</v>
      </c>
      <c r="AS11" s="190">
        <v>79</v>
      </c>
      <c r="AT11" s="190">
        <v>509</v>
      </c>
      <c r="AU11" s="190">
        <v>588</v>
      </c>
      <c r="AV11" s="190">
        <v>0</v>
      </c>
      <c r="AW11" s="190">
        <v>0</v>
      </c>
      <c r="AX11" s="190">
        <v>0</v>
      </c>
      <c r="AY11" s="190">
        <v>0</v>
      </c>
      <c r="AZ11" s="190">
        <v>58</v>
      </c>
      <c r="BA11" s="190">
        <v>58</v>
      </c>
      <c r="BB11" s="190">
        <v>3</v>
      </c>
      <c r="BC11" s="190">
        <v>0</v>
      </c>
      <c r="BD11" s="190">
        <v>0</v>
      </c>
      <c r="BE11" s="190">
        <v>23</v>
      </c>
      <c r="BF11" s="190">
        <v>0</v>
      </c>
      <c r="BG11" s="190">
        <v>0</v>
      </c>
      <c r="BH11" s="190">
        <v>3</v>
      </c>
      <c r="BI11" s="190">
        <v>23</v>
      </c>
      <c r="BJ11" s="190">
        <v>26</v>
      </c>
      <c r="BK11" s="190">
        <v>-5</v>
      </c>
      <c r="BL11" s="190">
        <v>5</v>
      </c>
      <c r="BM11" s="190">
        <v>0</v>
      </c>
      <c r="BN11" s="190">
        <v>0</v>
      </c>
      <c r="BO11" s="190">
        <v>2</v>
      </c>
      <c r="BP11" s="190">
        <v>2</v>
      </c>
      <c r="BQ11" s="190">
        <v>0</v>
      </c>
      <c r="BR11" s="190">
        <v>6</v>
      </c>
      <c r="BS11" s="190">
        <v>6</v>
      </c>
      <c r="BT11" s="190">
        <v>2</v>
      </c>
      <c r="BU11" s="190">
        <v>22</v>
      </c>
      <c r="BV11" s="190">
        <v>24</v>
      </c>
      <c r="BW11" s="190">
        <v>79</v>
      </c>
      <c r="BX11" s="190">
        <v>567</v>
      </c>
      <c r="BY11" s="190">
        <v>646</v>
      </c>
      <c r="BZ11" s="190">
        <v>78</v>
      </c>
      <c r="CA11" s="190">
        <v>565</v>
      </c>
      <c r="CB11" s="190">
        <v>643</v>
      </c>
      <c r="CC11" s="190">
        <v>1439</v>
      </c>
      <c r="CD11" s="190">
        <v>0</v>
      </c>
      <c r="CE11" s="190">
        <v>4</v>
      </c>
      <c r="CF11" s="190">
        <v>1</v>
      </c>
      <c r="CG11" s="190">
        <v>2</v>
      </c>
      <c r="CH11" s="190">
        <v>3</v>
      </c>
      <c r="CI11" s="190">
        <v>0</v>
      </c>
      <c r="CJ11" s="190">
        <v>0</v>
      </c>
      <c r="CK11" s="190">
        <v>0</v>
      </c>
      <c r="CL11" s="190">
        <v>0</v>
      </c>
      <c r="CM11" s="190">
        <v>0</v>
      </c>
      <c r="CN11" s="190">
        <v>9</v>
      </c>
      <c r="CO11" s="190">
        <v>51</v>
      </c>
      <c r="CP11" s="190">
        <v>60</v>
      </c>
      <c r="CQ11" s="190">
        <v>0</v>
      </c>
      <c r="CR11" s="190">
        <v>0</v>
      </c>
      <c r="CS11" s="190">
        <v>0</v>
      </c>
      <c r="CT11" s="190">
        <v>70</v>
      </c>
      <c r="CU11" s="190">
        <v>516</v>
      </c>
      <c r="CV11" s="190">
        <v>586</v>
      </c>
      <c r="CW11" s="190">
        <v>1</v>
      </c>
      <c r="CX11" s="190">
        <v>16</v>
      </c>
      <c r="CY11" s="190">
        <v>17</v>
      </c>
      <c r="CZ11" s="190">
        <v>1</v>
      </c>
      <c r="DA11" s="190">
        <v>0</v>
      </c>
      <c r="DB11" s="190">
        <v>0</v>
      </c>
      <c r="DC11" s="190">
        <v>16</v>
      </c>
      <c r="DD11" s="190">
        <v>0</v>
      </c>
      <c r="DE11" s="190">
        <v>0</v>
      </c>
      <c r="DF11" s="190">
        <v>1</v>
      </c>
      <c r="DG11" s="190">
        <v>16</v>
      </c>
      <c r="DH11" s="190">
        <v>17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2162</v>
      </c>
      <c r="C12" s="190">
        <v>599</v>
      </c>
      <c r="D12" s="190">
        <v>1884</v>
      </c>
      <c r="E12" s="190">
        <v>991</v>
      </c>
      <c r="F12" s="190">
        <v>7</v>
      </c>
      <c r="G12" s="190">
        <v>33</v>
      </c>
      <c r="H12" s="190">
        <v>40</v>
      </c>
      <c r="I12" s="190">
        <v>1</v>
      </c>
      <c r="J12" s="190">
        <v>776</v>
      </c>
      <c r="K12" s="190">
        <v>777</v>
      </c>
      <c r="L12" s="190">
        <v>1</v>
      </c>
      <c r="M12" s="190">
        <v>768</v>
      </c>
      <c r="N12" s="190">
        <v>769</v>
      </c>
      <c r="O12" s="190">
        <v>0</v>
      </c>
      <c r="P12" s="190">
        <v>8</v>
      </c>
      <c r="Q12" s="190">
        <v>8</v>
      </c>
      <c r="R12" s="190">
        <v>0</v>
      </c>
      <c r="S12" s="190">
        <v>55</v>
      </c>
      <c r="T12" s="190">
        <v>55</v>
      </c>
      <c r="U12" s="190">
        <v>0</v>
      </c>
      <c r="V12" s="190">
        <v>116</v>
      </c>
      <c r="W12" s="190">
        <v>116</v>
      </c>
      <c r="X12" s="190">
        <v>29</v>
      </c>
      <c r="Y12" s="190">
        <v>1102</v>
      </c>
      <c r="Z12" s="190">
        <v>1131</v>
      </c>
      <c r="AA12" s="190">
        <v>21</v>
      </c>
      <c r="AB12" s="190">
        <v>433</v>
      </c>
      <c r="AC12" s="190">
        <v>454</v>
      </c>
      <c r="AD12" s="190">
        <v>20</v>
      </c>
      <c r="AE12" s="190">
        <v>421</v>
      </c>
      <c r="AF12" s="190">
        <v>441</v>
      </c>
      <c r="AG12" s="190">
        <v>1</v>
      </c>
      <c r="AH12" s="190">
        <v>10</v>
      </c>
      <c r="AI12" s="190">
        <v>11</v>
      </c>
      <c r="AJ12" s="190">
        <v>0</v>
      </c>
      <c r="AK12" s="190">
        <v>2</v>
      </c>
      <c r="AL12" s="190">
        <v>2</v>
      </c>
      <c r="AM12" s="190">
        <v>8</v>
      </c>
      <c r="AN12" s="190">
        <v>669</v>
      </c>
      <c r="AO12" s="190">
        <v>677</v>
      </c>
      <c r="AP12" s="190">
        <v>4004</v>
      </c>
      <c r="AQ12" s="190">
        <v>27601</v>
      </c>
      <c r="AR12" s="190">
        <v>31605</v>
      </c>
      <c r="AS12" s="190">
        <v>3978</v>
      </c>
      <c r="AT12" s="190">
        <v>27422</v>
      </c>
      <c r="AU12" s="190">
        <v>31400</v>
      </c>
      <c r="AV12" s="190">
        <v>26</v>
      </c>
      <c r="AW12" s="190">
        <v>179</v>
      </c>
      <c r="AX12" s="190">
        <v>205</v>
      </c>
      <c r="AY12" s="190">
        <v>112</v>
      </c>
      <c r="AZ12" s="190">
        <v>2499</v>
      </c>
      <c r="BA12" s="190">
        <v>2611</v>
      </c>
      <c r="BB12" s="190">
        <v>83</v>
      </c>
      <c r="BC12" s="190">
        <v>1</v>
      </c>
      <c r="BD12" s="190">
        <v>0</v>
      </c>
      <c r="BE12" s="190">
        <v>895</v>
      </c>
      <c r="BF12" s="190">
        <v>5</v>
      </c>
      <c r="BG12" s="190">
        <v>7</v>
      </c>
      <c r="BH12" s="190">
        <v>84</v>
      </c>
      <c r="BI12" s="190">
        <v>907</v>
      </c>
      <c r="BJ12" s="190">
        <v>991</v>
      </c>
      <c r="BK12" s="190">
        <v>-119</v>
      </c>
      <c r="BL12" s="190">
        <v>119</v>
      </c>
      <c r="BM12" s="190">
        <v>0</v>
      </c>
      <c r="BN12" s="190">
        <v>11</v>
      </c>
      <c r="BO12" s="190">
        <v>71</v>
      </c>
      <c r="BP12" s="190">
        <v>82</v>
      </c>
      <c r="BQ12" s="190">
        <v>12</v>
      </c>
      <c r="BR12" s="190">
        <v>45</v>
      </c>
      <c r="BS12" s="190">
        <v>57</v>
      </c>
      <c r="BT12" s="190">
        <v>124</v>
      </c>
      <c r="BU12" s="190">
        <v>1357</v>
      </c>
      <c r="BV12" s="190">
        <v>1481</v>
      </c>
      <c r="BW12" s="190">
        <v>4116</v>
      </c>
      <c r="BX12" s="190">
        <v>30100</v>
      </c>
      <c r="BY12" s="190">
        <v>34216</v>
      </c>
      <c r="BZ12" s="190">
        <v>4005</v>
      </c>
      <c r="CA12" s="190">
        <v>29588</v>
      </c>
      <c r="CB12" s="190">
        <v>33593</v>
      </c>
      <c r="CC12" s="190">
        <v>68259</v>
      </c>
      <c r="CD12" s="190">
        <v>36</v>
      </c>
      <c r="CE12" s="190">
        <v>624</v>
      </c>
      <c r="CF12" s="190">
        <v>108</v>
      </c>
      <c r="CG12" s="190">
        <v>356</v>
      </c>
      <c r="CH12" s="190">
        <v>464</v>
      </c>
      <c r="CI12" s="190">
        <v>205</v>
      </c>
      <c r="CJ12" s="190">
        <v>9</v>
      </c>
      <c r="CK12" s="190">
        <v>3</v>
      </c>
      <c r="CL12" s="190">
        <v>156</v>
      </c>
      <c r="CM12" s="190">
        <v>159</v>
      </c>
      <c r="CN12" s="190">
        <v>238</v>
      </c>
      <c r="CO12" s="190">
        <v>3420</v>
      </c>
      <c r="CP12" s="190">
        <v>3658</v>
      </c>
      <c r="CQ12" s="190">
        <v>0</v>
      </c>
      <c r="CR12" s="190">
        <v>0</v>
      </c>
      <c r="CS12" s="190">
        <v>0</v>
      </c>
      <c r="CT12" s="190">
        <v>3878</v>
      </c>
      <c r="CU12" s="190">
        <v>26680</v>
      </c>
      <c r="CV12" s="190">
        <v>30558</v>
      </c>
      <c r="CW12" s="190">
        <v>298</v>
      </c>
      <c r="CX12" s="190">
        <v>1430</v>
      </c>
      <c r="CY12" s="190">
        <v>1728</v>
      </c>
      <c r="CZ12" s="190">
        <v>292</v>
      </c>
      <c r="DA12" s="190">
        <v>4</v>
      </c>
      <c r="DB12" s="190">
        <v>0</v>
      </c>
      <c r="DC12" s="190">
        <v>1369</v>
      </c>
      <c r="DD12" s="190">
        <v>21</v>
      </c>
      <c r="DE12" s="190">
        <v>1</v>
      </c>
      <c r="DF12" s="190">
        <v>296</v>
      </c>
      <c r="DG12" s="190">
        <v>1391</v>
      </c>
      <c r="DH12" s="190">
        <v>1687</v>
      </c>
      <c r="DI12" s="190">
        <v>2</v>
      </c>
      <c r="DJ12" s="190">
        <v>0</v>
      </c>
      <c r="DK12" s="190">
        <v>0</v>
      </c>
      <c r="DL12" s="190">
        <v>38</v>
      </c>
      <c r="DM12" s="190">
        <v>1</v>
      </c>
      <c r="DN12" s="190">
        <v>0</v>
      </c>
      <c r="DO12" s="190">
        <v>2</v>
      </c>
      <c r="DP12" s="190">
        <v>39</v>
      </c>
      <c r="DQ12" s="190">
        <v>41</v>
      </c>
      <c r="DR12" s="190">
        <v>0</v>
      </c>
      <c r="DS12" s="190">
        <v>6</v>
      </c>
      <c r="DT12" s="191">
        <v>6</v>
      </c>
    </row>
    <row r="13" spans="1:129">
      <c r="A13" s="189" t="s">
        <v>278</v>
      </c>
      <c r="B13" s="190">
        <v>167</v>
      </c>
      <c r="C13" s="190">
        <v>9</v>
      </c>
      <c r="D13" s="190">
        <v>172</v>
      </c>
      <c r="E13" s="190">
        <v>90</v>
      </c>
      <c r="F13" s="190">
        <v>0</v>
      </c>
      <c r="G13" s="190">
        <v>0</v>
      </c>
      <c r="H13" s="190">
        <v>0</v>
      </c>
      <c r="I13" s="190">
        <v>0</v>
      </c>
      <c r="J13" s="190">
        <v>79</v>
      </c>
      <c r="K13" s="190">
        <v>79</v>
      </c>
      <c r="L13" s="190">
        <v>0</v>
      </c>
      <c r="M13" s="190">
        <v>36</v>
      </c>
      <c r="N13" s="190">
        <v>36</v>
      </c>
      <c r="O13" s="190">
        <v>0</v>
      </c>
      <c r="P13" s="190">
        <v>43</v>
      </c>
      <c r="Q13" s="190">
        <v>43</v>
      </c>
      <c r="R13" s="190">
        <v>0</v>
      </c>
      <c r="S13" s="190">
        <v>1</v>
      </c>
      <c r="T13" s="190">
        <v>1</v>
      </c>
      <c r="U13" s="190">
        <v>0</v>
      </c>
      <c r="V13" s="190">
        <v>3</v>
      </c>
      <c r="W13" s="190">
        <v>3</v>
      </c>
      <c r="X13" s="190">
        <v>8</v>
      </c>
      <c r="Y13" s="190">
        <v>164</v>
      </c>
      <c r="Z13" s="190">
        <v>172</v>
      </c>
      <c r="AA13" s="190">
        <v>4</v>
      </c>
      <c r="AB13" s="190">
        <v>61</v>
      </c>
      <c r="AC13" s="190">
        <v>65</v>
      </c>
      <c r="AD13" s="190">
        <v>4</v>
      </c>
      <c r="AE13" s="190">
        <v>54</v>
      </c>
      <c r="AF13" s="190">
        <v>58</v>
      </c>
      <c r="AG13" s="190">
        <v>0</v>
      </c>
      <c r="AH13" s="190">
        <v>5</v>
      </c>
      <c r="AI13" s="190">
        <v>5</v>
      </c>
      <c r="AJ13" s="190">
        <v>0</v>
      </c>
      <c r="AK13" s="190">
        <v>2</v>
      </c>
      <c r="AL13" s="190">
        <v>2</v>
      </c>
      <c r="AM13" s="190">
        <v>4</v>
      </c>
      <c r="AN13" s="190">
        <v>103</v>
      </c>
      <c r="AO13" s="190">
        <v>107</v>
      </c>
      <c r="AP13" s="190">
        <v>400</v>
      </c>
      <c r="AQ13" s="190">
        <v>2050</v>
      </c>
      <c r="AR13" s="190">
        <v>2450</v>
      </c>
      <c r="AS13" s="190">
        <v>400</v>
      </c>
      <c r="AT13" s="190">
        <v>2050</v>
      </c>
      <c r="AU13" s="190">
        <v>2450</v>
      </c>
      <c r="AV13" s="190">
        <v>0</v>
      </c>
      <c r="AW13" s="190">
        <v>0</v>
      </c>
      <c r="AX13" s="190">
        <v>0</v>
      </c>
      <c r="AY13" s="190">
        <v>-5</v>
      </c>
      <c r="AZ13" s="190">
        <v>188</v>
      </c>
      <c r="BA13" s="190">
        <v>183</v>
      </c>
      <c r="BB13" s="190">
        <v>7</v>
      </c>
      <c r="BC13" s="190">
        <v>0</v>
      </c>
      <c r="BD13" s="190">
        <v>0</v>
      </c>
      <c r="BE13" s="190">
        <v>83</v>
      </c>
      <c r="BF13" s="190">
        <v>0</v>
      </c>
      <c r="BG13" s="190">
        <v>0</v>
      </c>
      <c r="BH13" s="190">
        <v>7</v>
      </c>
      <c r="BI13" s="190">
        <v>83</v>
      </c>
      <c r="BJ13" s="190">
        <v>90</v>
      </c>
      <c r="BK13" s="190">
        <v>-23</v>
      </c>
      <c r="BL13" s="190">
        <v>23</v>
      </c>
      <c r="BM13" s="190">
        <v>0</v>
      </c>
      <c r="BN13" s="190">
        <v>0</v>
      </c>
      <c r="BO13" s="190">
        <v>4</v>
      </c>
      <c r="BP13" s="190">
        <v>4</v>
      </c>
      <c r="BQ13" s="190">
        <v>2</v>
      </c>
      <c r="BR13" s="190">
        <v>14</v>
      </c>
      <c r="BS13" s="190">
        <v>16</v>
      </c>
      <c r="BT13" s="190">
        <v>9</v>
      </c>
      <c r="BU13" s="190">
        <v>64</v>
      </c>
      <c r="BV13" s="190">
        <v>73</v>
      </c>
      <c r="BW13" s="190">
        <v>395</v>
      </c>
      <c r="BX13" s="190">
        <v>2238</v>
      </c>
      <c r="BY13" s="190">
        <v>2633</v>
      </c>
      <c r="BZ13" s="190">
        <v>395</v>
      </c>
      <c r="CA13" s="190">
        <v>2237</v>
      </c>
      <c r="CB13" s="190">
        <v>2632</v>
      </c>
      <c r="CC13" s="190">
        <v>5344</v>
      </c>
      <c r="CD13" s="190">
        <v>0</v>
      </c>
      <c r="CE13" s="190">
        <v>1</v>
      </c>
      <c r="CF13" s="190">
        <v>0</v>
      </c>
      <c r="CG13" s="190">
        <v>1</v>
      </c>
      <c r="CH13" s="190">
        <v>1</v>
      </c>
      <c r="CI13" s="190">
        <v>0</v>
      </c>
      <c r="CJ13" s="190">
        <v>0</v>
      </c>
      <c r="CK13" s="190">
        <v>0</v>
      </c>
      <c r="CL13" s="190">
        <v>0</v>
      </c>
      <c r="CM13" s="190">
        <v>0</v>
      </c>
      <c r="CN13" s="190">
        <v>24</v>
      </c>
      <c r="CO13" s="190">
        <v>204</v>
      </c>
      <c r="CP13" s="190">
        <v>228</v>
      </c>
      <c r="CQ13" s="190">
        <v>0</v>
      </c>
      <c r="CR13" s="190">
        <v>0</v>
      </c>
      <c r="CS13" s="190">
        <v>0</v>
      </c>
      <c r="CT13" s="190">
        <v>371</v>
      </c>
      <c r="CU13" s="190">
        <v>2034</v>
      </c>
      <c r="CV13" s="190">
        <v>2405</v>
      </c>
      <c r="CW13" s="190">
        <v>29</v>
      </c>
      <c r="CX13" s="190">
        <v>103</v>
      </c>
      <c r="CY13" s="190">
        <v>132</v>
      </c>
      <c r="CZ13" s="190">
        <v>29</v>
      </c>
      <c r="DA13" s="190">
        <v>0</v>
      </c>
      <c r="DB13" s="190">
        <v>0</v>
      </c>
      <c r="DC13" s="190">
        <v>102</v>
      </c>
      <c r="DD13" s="190">
        <v>0</v>
      </c>
      <c r="DE13" s="190">
        <v>0</v>
      </c>
      <c r="DF13" s="190">
        <v>29</v>
      </c>
      <c r="DG13" s="190">
        <v>102</v>
      </c>
      <c r="DH13" s="190">
        <v>131</v>
      </c>
      <c r="DI13" s="190">
        <v>0</v>
      </c>
      <c r="DJ13" s="190">
        <v>0</v>
      </c>
      <c r="DK13" s="190">
        <v>0</v>
      </c>
      <c r="DL13" s="190">
        <v>1</v>
      </c>
      <c r="DM13" s="190">
        <v>0</v>
      </c>
      <c r="DN13" s="190">
        <v>0</v>
      </c>
      <c r="DO13" s="190">
        <v>0</v>
      </c>
      <c r="DP13" s="190">
        <v>1</v>
      </c>
      <c r="DQ13" s="190">
        <v>1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531</v>
      </c>
      <c r="C14" s="190">
        <v>79</v>
      </c>
      <c r="D14" s="190">
        <v>556</v>
      </c>
      <c r="E14" s="190">
        <v>345</v>
      </c>
      <c r="F14" s="190">
        <v>1</v>
      </c>
      <c r="G14" s="190">
        <v>9</v>
      </c>
      <c r="H14" s="190">
        <v>10</v>
      </c>
      <c r="I14" s="190">
        <v>0</v>
      </c>
      <c r="J14" s="190">
        <v>200</v>
      </c>
      <c r="K14" s="190">
        <v>200</v>
      </c>
      <c r="L14" s="190">
        <v>0</v>
      </c>
      <c r="M14" s="190">
        <v>66</v>
      </c>
      <c r="N14" s="190">
        <v>66</v>
      </c>
      <c r="O14" s="190">
        <v>0</v>
      </c>
      <c r="P14" s="190">
        <v>134</v>
      </c>
      <c r="Q14" s="190">
        <v>134</v>
      </c>
      <c r="R14" s="190">
        <v>0</v>
      </c>
      <c r="S14" s="190">
        <v>4</v>
      </c>
      <c r="T14" s="190">
        <v>4</v>
      </c>
      <c r="U14" s="190">
        <v>0</v>
      </c>
      <c r="V14" s="190">
        <v>11</v>
      </c>
      <c r="W14" s="190">
        <v>11</v>
      </c>
      <c r="X14" s="190">
        <v>12</v>
      </c>
      <c r="Y14" s="190">
        <v>544</v>
      </c>
      <c r="Z14" s="190">
        <v>556</v>
      </c>
      <c r="AA14" s="190">
        <v>6</v>
      </c>
      <c r="AB14" s="190">
        <v>249</v>
      </c>
      <c r="AC14" s="190">
        <v>255</v>
      </c>
      <c r="AD14" s="190">
        <v>6</v>
      </c>
      <c r="AE14" s="190">
        <v>246</v>
      </c>
      <c r="AF14" s="190">
        <v>252</v>
      </c>
      <c r="AG14" s="190">
        <v>0</v>
      </c>
      <c r="AH14" s="190">
        <v>0</v>
      </c>
      <c r="AI14" s="190">
        <v>0</v>
      </c>
      <c r="AJ14" s="190">
        <v>0</v>
      </c>
      <c r="AK14" s="190">
        <v>3</v>
      </c>
      <c r="AL14" s="190">
        <v>3</v>
      </c>
      <c r="AM14" s="190">
        <v>6</v>
      </c>
      <c r="AN14" s="190">
        <v>295</v>
      </c>
      <c r="AO14" s="190">
        <v>301</v>
      </c>
      <c r="AP14" s="190">
        <v>539</v>
      </c>
      <c r="AQ14" s="190">
        <v>6277</v>
      </c>
      <c r="AR14" s="190">
        <v>6816</v>
      </c>
      <c r="AS14" s="190">
        <v>539</v>
      </c>
      <c r="AT14" s="190">
        <v>6278</v>
      </c>
      <c r="AU14" s="190">
        <v>6817</v>
      </c>
      <c r="AV14" s="190">
        <v>0</v>
      </c>
      <c r="AW14" s="190">
        <v>-1</v>
      </c>
      <c r="AX14" s="190">
        <v>-1</v>
      </c>
      <c r="AY14" s="190">
        <v>31</v>
      </c>
      <c r="AZ14" s="190">
        <v>550</v>
      </c>
      <c r="BA14" s="190">
        <v>581</v>
      </c>
      <c r="BB14" s="190">
        <v>13</v>
      </c>
      <c r="BC14" s="190">
        <v>0</v>
      </c>
      <c r="BD14" s="190">
        <v>0</v>
      </c>
      <c r="BE14" s="190">
        <v>331</v>
      </c>
      <c r="BF14" s="190">
        <v>0</v>
      </c>
      <c r="BG14" s="190">
        <v>1</v>
      </c>
      <c r="BH14" s="190">
        <v>13</v>
      </c>
      <c r="BI14" s="190">
        <v>332</v>
      </c>
      <c r="BJ14" s="190">
        <v>345</v>
      </c>
      <c r="BK14" s="190">
        <v>1</v>
      </c>
      <c r="BL14" s="190">
        <v>-1</v>
      </c>
      <c r="BM14" s="190">
        <v>0</v>
      </c>
      <c r="BN14" s="190">
        <v>2</v>
      </c>
      <c r="BO14" s="190">
        <v>19</v>
      </c>
      <c r="BP14" s="190">
        <v>21</v>
      </c>
      <c r="BQ14" s="190">
        <v>2</v>
      </c>
      <c r="BR14" s="190">
        <v>44</v>
      </c>
      <c r="BS14" s="190">
        <v>46</v>
      </c>
      <c r="BT14" s="190">
        <v>13</v>
      </c>
      <c r="BU14" s="190">
        <v>156</v>
      </c>
      <c r="BV14" s="190">
        <v>169</v>
      </c>
      <c r="BW14" s="190">
        <v>570</v>
      </c>
      <c r="BX14" s="190">
        <v>6827</v>
      </c>
      <c r="BY14" s="190">
        <v>7397</v>
      </c>
      <c r="BZ14" s="190">
        <v>569</v>
      </c>
      <c r="CA14" s="190">
        <v>6787</v>
      </c>
      <c r="CB14" s="190">
        <v>7356</v>
      </c>
      <c r="CC14" s="190">
        <v>13053</v>
      </c>
      <c r="CD14" s="190">
        <v>3</v>
      </c>
      <c r="CE14" s="190">
        <v>35</v>
      </c>
      <c r="CF14" s="190">
        <v>1</v>
      </c>
      <c r="CG14" s="190">
        <v>31</v>
      </c>
      <c r="CH14" s="190">
        <v>32</v>
      </c>
      <c r="CI14" s="190">
        <v>11</v>
      </c>
      <c r="CJ14" s="190">
        <v>0</v>
      </c>
      <c r="CK14" s="190">
        <v>0</v>
      </c>
      <c r="CL14" s="190">
        <v>9</v>
      </c>
      <c r="CM14" s="190">
        <v>9</v>
      </c>
      <c r="CN14" s="190">
        <v>43</v>
      </c>
      <c r="CO14" s="190">
        <v>636</v>
      </c>
      <c r="CP14" s="190">
        <v>679</v>
      </c>
      <c r="CQ14" s="190">
        <v>0</v>
      </c>
      <c r="CR14" s="190">
        <v>0</v>
      </c>
      <c r="CS14" s="190">
        <v>0</v>
      </c>
      <c r="CT14" s="190">
        <v>527</v>
      </c>
      <c r="CU14" s="190">
        <v>6191</v>
      </c>
      <c r="CV14" s="190">
        <v>6718</v>
      </c>
      <c r="CW14" s="190">
        <v>32</v>
      </c>
      <c r="CX14" s="190">
        <v>260</v>
      </c>
      <c r="CY14" s="190">
        <v>292</v>
      </c>
      <c r="CZ14" s="190">
        <v>32</v>
      </c>
      <c r="DA14" s="190">
        <v>0</v>
      </c>
      <c r="DB14" s="190">
        <v>0</v>
      </c>
      <c r="DC14" s="190">
        <v>258</v>
      </c>
      <c r="DD14" s="190">
        <v>1</v>
      </c>
      <c r="DE14" s="190">
        <v>0</v>
      </c>
      <c r="DF14" s="190">
        <v>32</v>
      </c>
      <c r="DG14" s="190">
        <v>259</v>
      </c>
      <c r="DH14" s="190">
        <v>291</v>
      </c>
      <c r="DI14" s="190">
        <v>0</v>
      </c>
      <c r="DJ14" s="190">
        <v>0</v>
      </c>
      <c r="DK14" s="190">
        <v>0</v>
      </c>
      <c r="DL14" s="190">
        <v>1</v>
      </c>
      <c r="DM14" s="190">
        <v>0</v>
      </c>
      <c r="DN14" s="190">
        <v>0</v>
      </c>
      <c r="DO14" s="190">
        <v>0</v>
      </c>
      <c r="DP14" s="190">
        <v>1</v>
      </c>
      <c r="DQ14" s="190">
        <v>1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4250</v>
      </c>
      <c r="C15" s="190">
        <v>1691</v>
      </c>
      <c r="D15" s="190">
        <v>3966</v>
      </c>
      <c r="E15" s="190">
        <v>2796</v>
      </c>
      <c r="F15" s="190">
        <v>17</v>
      </c>
      <c r="G15" s="190">
        <v>110</v>
      </c>
      <c r="H15" s="190">
        <v>127</v>
      </c>
      <c r="I15" s="190">
        <v>6</v>
      </c>
      <c r="J15" s="190">
        <v>1081</v>
      </c>
      <c r="K15" s="190">
        <v>1087</v>
      </c>
      <c r="L15" s="190">
        <v>6</v>
      </c>
      <c r="M15" s="190">
        <v>1077</v>
      </c>
      <c r="N15" s="190">
        <v>1083</v>
      </c>
      <c r="O15" s="190">
        <v>0</v>
      </c>
      <c r="P15" s="190">
        <v>4</v>
      </c>
      <c r="Q15" s="190">
        <v>4</v>
      </c>
      <c r="R15" s="190">
        <v>2</v>
      </c>
      <c r="S15" s="190">
        <v>219</v>
      </c>
      <c r="T15" s="190">
        <v>221</v>
      </c>
      <c r="U15" s="190">
        <v>0</v>
      </c>
      <c r="V15" s="190">
        <v>83</v>
      </c>
      <c r="W15" s="190">
        <v>83</v>
      </c>
      <c r="X15" s="190">
        <v>65</v>
      </c>
      <c r="Y15" s="190">
        <v>3218</v>
      </c>
      <c r="Z15" s="190">
        <v>3283</v>
      </c>
      <c r="AA15" s="190">
        <v>28</v>
      </c>
      <c r="AB15" s="190">
        <v>1344</v>
      </c>
      <c r="AC15" s="190">
        <v>1372</v>
      </c>
      <c r="AD15" s="190">
        <v>24</v>
      </c>
      <c r="AE15" s="190">
        <v>1290</v>
      </c>
      <c r="AF15" s="190">
        <v>1314</v>
      </c>
      <c r="AG15" s="190">
        <v>3</v>
      </c>
      <c r="AH15" s="190">
        <v>43</v>
      </c>
      <c r="AI15" s="190">
        <v>46</v>
      </c>
      <c r="AJ15" s="190">
        <v>1</v>
      </c>
      <c r="AK15" s="190">
        <v>11</v>
      </c>
      <c r="AL15" s="190">
        <v>12</v>
      </c>
      <c r="AM15" s="190">
        <v>37</v>
      </c>
      <c r="AN15" s="190">
        <v>1874</v>
      </c>
      <c r="AO15" s="190">
        <v>1911</v>
      </c>
      <c r="AP15" s="190">
        <v>12395</v>
      </c>
      <c r="AQ15" s="190">
        <v>79228</v>
      </c>
      <c r="AR15" s="190">
        <v>91623</v>
      </c>
      <c r="AS15" s="190">
        <v>12039</v>
      </c>
      <c r="AT15" s="190">
        <v>76455</v>
      </c>
      <c r="AU15" s="190">
        <v>88494</v>
      </c>
      <c r="AV15" s="190">
        <v>356</v>
      </c>
      <c r="AW15" s="190">
        <v>2773</v>
      </c>
      <c r="AX15" s="190">
        <v>3129</v>
      </c>
      <c r="AY15" s="190">
        <v>-22</v>
      </c>
      <c r="AZ15" s="190">
        <v>2899</v>
      </c>
      <c r="BA15" s="190">
        <v>2877</v>
      </c>
      <c r="BB15" s="190">
        <v>192</v>
      </c>
      <c r="BC15" s="190">
        <v>3</v>
      </c>
      <c r="BD15" s="190">
        <v>0</v>
      </c>
      <c r="BE15" s="190">
        <v>2551</v>
      </c>
      <c r="BF15" s="190">
        <v>20</v>
      </c>
      <c r="BG15" s="190">
        <v>30</v>
      </c>
      <c r="BH15" s="190">
        <v>195</v>
      </c>
      <c r="BI15" s="190">
        <v>2601</v>
      </c>
      <c r="BJ15" s="190">
        <v>2796</v>
      </c>
      <c r="BK15" s="190">
        <v>-234</v>
      </c>
      <c r="BL15" s="190">
        <v>234</v>
      </c>
      <c r="BM15" s="190">
        <v>0</v>
      </c>
      <c r="BN15" s="190">
        <v>9</v>
      </c>
      <c r="BO15" s="190">
        <v>18</v>
      </c>
      <c r="BP15" s="190">
        <v>27</v>
      </c>
      <c r="BQ15" s="190">
        <v>4</v>
      </c>
      <c r="BR15" s="190">
        <v>13</v>
      </c>
      <c r="BS15" s="190">
        <v>17</v>
      </c>
      <c r="BT15" s="190">
        <v>4</v>
      </c>
      <c r="BU15" s="190">
        <v>33</v>
      </c>
      <c r="BV15" s="190">
        <v>37</v>
      </c>
      <c r="BW15" s="190">
        <v>12373</v>
      </c>
      <c r="BX15" s="190">
        <v>82127</v>
      </c>
      <c r="BY15" s="190">
        <v>94500</v>
      </c>
      <c r="BZ15" s="190">
        <v>12176</v>
      </c>
      <c r="CA15" s="190">
        <v>81241</v>
      </c>
      <c r="CB15" s="190">
        <v>93417</v>
      </c>
      <c r="CC15" s="190">
        <v>217394</v>
      </c>
      <c r="CD15" s="190">
        <v>62</v>
      </c>
      <c r="CE15" s="190">
        <v>932</v>
      </c>
      <c r="CF15" s="190">
        <v>184</v>
      </c>
      <c r="CG15" s="190">
        <v>673</v>
      </c>
      <c r="CH15" s="190">
        <v>857</v>
      </c>
      <c r="CI15" s="190">
        <v>254</v>
      </c>
      <c r="CJ15" s="190">
        <v>29</v>
      </c>
      <c r="CK15" s="190">
        <v>13</v>
      </c>
      <c r="CL15" s="190">
        <v>213</v>
      </c>
      <c r="CM15" s="190">
        <v>226</v>
      </c>
      <c r="CN15" s="190">
        <v>697</v>
      </c>
      <c r="CO15" s="190">
        <v>6902</v>
      </c>
      <c r="CP15" s="190">
        <v>7599</v>
      </c>
      <c r="CQ15" s="190">
        <v>0</v>
      </c>
      <c r="CR15" s="190">
        <v>30</v>
      </c>
      <c r="CS15" s="190">
        <v>30</v>
      </c>
      <c r="CT15" s="190">
        <v>11676</v>
      </c>
      <c r="CU15" s="190">
        <v>75225</v>
      </c>
      <c r="CV15" s="190">
        <v>86901</v>
      </c>
      <c r="CW15" s="190">
        <v>1031</v>
      </c>
      <c r="CX15" s="190">
        <v>5348</v>
      </c>
      <c r="CY15" s="190">
        <v>6379</v>
      </c>
      <c r="CZ15" s="190">
        <v>911</v>
      </c>
      <c r="DA15" s="190">
        <v>26</v>
      </c>
      <c r="DB15" s="190">
        <v>0</v>
      </c>
      <c r="DC15" s="190">
        <v>4381</v>
      </c>
      <c r="DD15" s="190">
        <v>39</v>
      </c>
      <c r="DE15" s="190">
        <v>15</v>
      </c>
      <c r="DF15" s="190">
        <v>937</v>
      </c>
      <c r="DG15" s="190">
        <v>4435</v>
      </c>
      <c r="DH15" s="190">
        <v>5372</v>
      </c>
      <c r="DI15" s="190">
        <v>92</v>
      </c>
      <c r="DJ15" s="190">
        <v>2</v>
      </c>
      <c r="DK15" s="190">
        <v>0</v>
      </c>
      <c r="DL15" s="190">
        <v>893</v>
      </c>
      <c r="DM15" s="190">
        <v>18</v>
      </c>
      <c r="DN15" s="190">
        <v>2</v>
      </c>
      <c r="DO15" s="190">
        <v>94</v>
      </c>
      <c r="DP15" s="190">
        <v>913</v>
      </c>
      <c r="DQ15" s="190">
        <v>1007</v>
      </c>
      <c r="DR15" s="190">
        <v>4</v>
      </c>
      <c r="DS15" s="190">
        <v>31</v>
      </c>
      <c r="DT15" s="191">
        <v>35</v>
      </c>
    </row>
    <row r="16" spans="1:129" s="172" customFormat="1">
      <c r="A16" s="189" t="s">
        <v>281</v>
      </c>
      <c r="B16" s="190">
        <v>97</v>
      </c>
      <c r="C16" s="190">
        <v>6</v>
      </c>
      <c r="D16" s="190">
        <v>95</v>
      </c>
      <c r="E16" s="190">
        <v>72</v>
      </c>
      <c r="F16" s="190">
        <v>0</v>
      </c>
      <c r="G16" s="190">
        <v>0</v>
      </c>
      <c r="H16" s="190">
        <v>0</v>
      </c>
      <c r="I16" s="190">
        <v>0</v>
      </c>
      <c r="J16" s="190">
        <v>21</v>
      </c>
      <c r="K16" s="190">
        <v>21</v>
      </c>
      <c r="L16" s="190">
        <v>0</v>
      </c>
      <c r="M16" s="190">
        <v>7</v>
      </c>
      <c r="N16" s="190">
        <v>7</v>
      </c>
      <c r="O16" s="190">
        <v>0</v>
      </c>
      <c r="P16" s="190">
        <v>14</v>
      </c>
      <c r="Q16" s="190">
        <v>14</v>
      </c>
      <c r="R16" s="190">
        <v>0</v>
      </c>
      <c r="S16" s="190">
        <v>1</v>
      </c>
      <c r="T16" s="190">
        <v>1</v>
      </c>
      <c r="U16" s="190">
        <v>0</v>
      </c>
      <c r="V16" s="190">
        <v>2</v>
      </c>
      <c r="W16" s="190">
        <v>2</v>
      </c>
      <c r="X16" s="190">
        <v>7</v>
      </c>
      <c r="Y16" s="190">
        <v>88</v>
      </c>
      <c r="Z16" s="190">
        <v>95</v>
      </c>
      <c r="AA16" s="190">
        <v>3</v>
      </c>
      <c r="AB16" s="190">
        <v>42</v>
      </c>
      <c r="AC16" s="190">
        <v>45</v>
      </c>
      <c r="AD16" s="190">
        <v>3</v>
      </c>
      <c r="AE16" s="190">
        <v>42</v>
      </c>
      <c r="AF16" s="190">
        <v>45</v>
      </c>
      <c r="AG16" s="190">
        <v>0</v>
      </c>
      <c r="AH16" s="190">
        <v>0</v>
      </c>
      <c r="AI16" s="190">
        <v>0</v>
      </c>
      <c r="AJ16" s="190">
        <v>0</v>
      </c>
      <c r="AK16" s="190">
        <v>0</v>
      </c>
      <c r="AL16" s="190">
        <v>0</v>
      </c>
      <c r="AM16" s="190">
        <v>4</v>
      </c>
      <c r="AN16" s="190">
        <v>46</v>
      </c>
      <c r="AO16" s="190">
        <v>50</v>
      </c>
      <c r="AP16" s="190">
        <v>220</v>
      </c>
      <c r="AQ16" s="190">
        <v>1304</v>
      </c>
      <c r="AR16" s="190">
        <v>1524</v>
      </c>
      <c r="AS16" s="190">
        <v>220</v>
      </c>
      <c r="AT16" s="190">
        <v>1304</v>
      </c>
      <c r="AU16" s="190">
        <v>1524</v>
      </c>
      <c r="AV16" s="190">
        <v>0</v>
      </c>
      <c r="AW16" s="190">
        <v>0</v>
      </c>
      <c r="AX16" s="190">
        <v>0</v>
      </c>
      <c r="AY16" s="190">
        <v>8</v>
      </c>
      <c r="AZ16" s="190">
        <v>96</v>
      </c>
      <c r="BA16" s="190">
        <v>104</v>
      </c>
      <c r="BB16" s="190">
        <v>8</v>
      </c>
      <c r="BC16" s="190">
        <v>0</v>
      </c>
      <c r="BD16" s="190">
        <v>0</v>
      </c>
      <c r="BE16" s="190">
        <v>62</v>
      </c>
      <c r="BF16" s="190">
        <v>2</v>
      </c>
      <c r="BG16" s="190">
        <v>0</v>
      </c>
      <c r="BH16" s="190">
        <v>8</v>
      </c>
      <c r="BI16" s="190">
        <v>64</v>
      </c>
      <c r="BJ16" s="190">
        <v>72</v>
      </c>
      <c r="BK16" s="190">
        <v>-4</v>
      </c>
      <c r="BL16" s="190">
        <v>4</v>
      </c>
      <c r="BM16" s="190">
        <v>0</v>
      </c>
      <c r="BN16" s="190">
        <v>1</v>
      </c>
      <c r="BO16" s="190">
        <v>3</v>
      </c>
      <c r="BP16" s="190">
        <v>4</v>
      </c>
      <c r="BQ16" s="190">
        <v>2</v>
      </c>
      <c r="BR16" s="190">
        <v>4</v>
      </c>
      <c r="BS16" s="190">
        <v>6</v>
      </c>
      <c r="BT16" s="190">
        <v>1</v>
      </c>
      <c r="BU16" s="190">
        <v>21</v>
      </c>
      <c r="BV16" s="190">
        <v>22</v>
      </c>
      <c r="BW16" s="190">
        <v>228</v>
      </c>
      <c r="BX16" s="190">
        <v>1400</v>
      </c>
      <c r="BY16" s="190">
        <v>1628</v>
      </c>
      <c r="BZ16" s="190">
        <v>226</v>
      </c>
      <c r="CA16" s="190">
        <v>1388</v>
      </c>
      <c r="CB16" s="190">
        <v>1614</v>
      </c>
      <c r="CC16" s="190">
        <v>3805</v>
      </c>
      <c r="CD16" s="190">
        <v>0</v>
      </c>
      <c r="CE16" s="190">
        <v>14</v>
      </c>
      <c r="CF16" s="190">
        <v>2</v>
      </c>
      <c r="CG16" s="190">
        <v>12</v>
      </c>
      <c r="CH16" s="190">
        <v>14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6</v>
      </c>
      <c r="CO16" s="190">
        <v>125</v>
      </c>
      <c r="CP16" s="190">
        <v>131</v>
      </c>
      <c r="CQ16" s="190">
        <v>0</v>
      </c>
      <c r="CR16" s="190">
        <v>0</v>
      </c>
      <c r="CS16" s="190">
        <v>0</v>
      </c>
      <c r="CT16" s="190">
        <v>222</v>
      </c>
      <c r="CU16" s="190">
        <v>1275</v>
      </c>
      <c r="CV16" s="190">
        <v>1497</v>
      </c>
      <c r="CW16" s="190">
        <v>9</v>
      </c>
      <c r="CX16" s="190">
        <v>63</v>
      </c>
      <c r="CY16" s="190">
        <v>72</v>
      </c>
      <c r="CZ16" s="190">
        <v>9</v>
      </c>
      <c r="DA16" s="190">
        <v>0</v>
      </c>
      <c r="DB16" s="190">
        <v>0</v>
      </c>
      <c r="DC16" s="190">
        <v>61</v>
      </c>
      <c r="DD16" s="190">
        <v>0</v>
      </c>
      <c r="DE16" s="190">
        <v>0</v>
      </c>
      <c r="DF16" s="190">
        <v>9</v>
      </c>
      <c r="DG16" s="190">
        <v>61</v>
      </c>
      <c r="DH16" s="190">
        <v>70</v>
      </c>
      <c r="DI16" s="190">
        <v>0</v>
      </c>
      <c r="DJ16" s="190">
        <v>0</v>
      </c>
      <c r="DK16" s="190">
        <v>0</v>
      </c>
      <c r="DL16" s="190">
        <v>2</v>
      </c>
      <c r="DM16" s="190">
        <v>0</v>
      </c>
      <c r="DN16" s="190">
        <v>0</v>
      </c>
      <c r="DO16" s="190">
        <v>0</v>
      </c>
      <c r="DP16" s="190">
        <v>2</v>
      </c>
      <c r="DQ16" s="190">
        <v>2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1001</v>
      </c>
      <c r="C17" s="190">
        <v>155</v>
      </c>
      <c r="D17" s="190">
        <v>963</v>
      </c>
      <c r="E17" s="190">
        <v>511</v>
      </c>
      <c r="F17" s="190">
        <v>0</v>
      </c>
      <c r="G17" s="190">
        <v>2</v>
      </c>
      <c r="H17" s="190">
        <v>2</v>
      </c>
      <c r="I17" s="190">
        <v>0</v>
      </c>
      <c r="J17" s="190">
        <v>415</v>
      </c>
      <c r="K17" s="190">
        <v>415</v>
      </c>
      <c r="L17" s="190">
        <v>0</v>
      </c>
      <c r="M17" s="190">
        <v>153</v>
      </c>
      <c r="N17" s="190">
        <v>153</v>
      </c>
      <c r="O17" s="190">
        <v>0</v>
      </c>
      <c r="P17" s="190">
        <v>262</v>
      </c>
      <c r="Q17" s="190">
        <v>262</v>
      </c>
      <c r="R17" s="190">
        <v>0</v>
      </c>
      <c r="S17" s="190">
        <v>3</v>
      </c>
      <c r="T17" s="190">
        <v>3</v>
      </c>
      <c r="U17" s="190">
        <v>0</v>
      </c>
      <c r="V17" s="190">
        <v>37</v>
      </c>
      <c r="W17" s="190">
        <v>37</v>
      </c>
      <c r="X17" s="190">
        <v>13</v>
      </c>
      <c r="Y17" s="190">
        <v>776</v>
      </c>
      <c r="Z17" s="190">
        <v>789</v>
      </c>
      <c r="AA17" s="190">
        <v>10</v>
      </c>
      <c r="AB17" s="190">
        <v>335</v>
      </c>
      <c r="AC17" s="190">
        <v>345</v>
      </c>
      <c r="AD17" s="190">
        <v>10</v>
      </c>
      <c r="AE17" s="190">
        <v>322</v>
      </c>
      <c r="AF17" s="190">
        <v>332</v>
      </c>
      <c r="AG17" s="190">
        <v>0</v>
      </c>
      <c r="AH17" s="190">
        <v>9</v>
      </c>
      <c r="AI17" s="190">
        <v>9</v>
      </c>
      <c r="AJ17" s="190">
        <v>0</v>
      </c>
      <c r="AK17" s="190">
        <v>4</v>
      </c>
      <c r="AL17" s="190">
        <v>4</v>
      </c>
      <c r="AM17" s="190">
        <v>3</v>
      </c>
      <c r="AN17" s="190">
        <v>441</v>
      </c>
      <c r="AO17" s="190">
        <v>444</v>
      </c>
      <c r="AP17" s="190">
        <v>909</v>
      </c>
      <c r="AQ17" s="190">
        <v>10795</v>
      </c>
      <c r="AR17" s="190">
        <v>11704</v>
      </c>
      <c r="AS17" s="190">
        <v>909</v>
      </c>
      <c r="AT17" s="190">
        <v>10795</v>
      </c>
      <c r="AU17" s="190">
        <v>11704</v>
      </c>
      <c r="AV17" s="190">
        <v>0</v>
      </c>
      <c r="AW17" s="190">
        <v>0</v>
      </c>
      <c r="AX17" s="190">
        <v>0</v>
      </c>
      <c r="AY17" s="190">
        <v>7</v>
      </c>
      <c r="AZ17" s="190">
        <v>980</v>
      </c>
      <c r="BA17" s="190">
        <v>987</v>
      </c>
      <c r="BB17" s="190">
        <v>13</v>
      </c>
      <c r="BC17" s="190">
        <v>0</v>
      </c>
      <c r="BD17" s="190">
        <v>0</v>
      </c>
      <c r="BE17" s="190">
        <v>497</v>
      </c>
      <c r="BF17" s="190">
        <v>1</v>
      </c>
      <c r="BG17" s="190">
        <v>0</v>
      </c>
      <c r="BH17" s="190">
        <v>13</v>
      </c>
      <c r="BI17" s="190">
        <v>498</v>
      </c>
      <c r="BJ17" s="190">
        <v>511</v>
      </c>
      <c r="BK17" s="190">
        <v>-38</v>
      </c>
      <c r="BL17" s="190">
        <v>38</v>
      </c>
      <c r="BM17" s="190">
        <v>0</v>
      </c>
      <c r="BN17" s="190">
        <v>7</v>
      </c>
      <c r="BO17" s="190">
        <v>32</v>
      </c>
      <c r="BP17" s="190">
        <v>39</v>
      </c>
      <c r="BQ17" s="190">
        <v>1</v>
      </c>
      <c r="BR17" s="190">
        <v>95</v>
      </c>
      <c r="BS17" s="190">
        <v>96</v>
      </c>
      <c r="BT17" s="190">
        <v>24</v>
      </c>
      <c r="BU17" s="190">
        <v>317</v>
      </c>
      <c r="BV17" s="190">
        <v>341</v>
      </c>
      <c r="BW17" s="190">
        <v>916</v>
      </c>
      <c r="BX17" s="190">
        <v>11775</v>
      </c>
      <c r="BY17" s="190">
        <v>12691</v>
      </c>
      <c r="BZ17" s="190">
        <v>916</v>
      </c>
      <c r="CA17" s="190">
        <v>11741</v>
      </c>
      <c r="CB17" s="190">
        <v>12657</v>
      </c>
      <c r="CC17" s="190">
        <v>21453</v>
      </c>
      <c r="CD17" s="190">
        <v>8</v>
      </c>
      <c r="CE17" s="190">
        <v>24</v>
      </c>
      <c r="CF17" s="190">
        <v>0</v>
      </c>
      <c r="CG17" s="190">
        <v>27</v>
      </c>
      <c r="CH17" s="190">
        <v>27</v>
      </c>
      <c r="CI17" s="190">
        <v>7</v>
      </c>
      <c r="CJ17" s="190">
        <v>2</v>
      </c>
      <c r="CK17" s="190">
        <v>0</v>
      </c>
      <c r="CL17" s="190">
        <v>7</v>
      </c>
      <c r="CM17" s="190">
        <v>7</v>
      </c>
      <c r="CN17" s="190">
        <v>37</v>
      </c>
      <c r="CO17" s="190">
        <v>1093</v>
      </c>
      <c r="CP17" s="190">
        <v>1130</v>
      </c>
      <c r="CQ17" s="190">
        <v>0</v>
      </c>
      <c r="CR17" s="190">
        <v>0</v>
      </c>
      <c r="CS17" s="190">
        <v>0</v>
      </c>
      <c r="CT17" s="190">
        <v>879</v>
      </c>
      <c r="CU17" s="190">
        <v>10682</v>
      </c>
      <c r="CV17" s="190">
        <v>11561</v>
      </c>
      <c r="CW17" s="190">
        <v>62</v>
      </c>
      <c r="CX17" s="190">
        <v>401</v>
      </c>
      <c r="CY17" s="190">
        <v>463</v>
      </c>
      <c r="CZ17" s="190">
        <v>62</v>
      </c>
      <c r="DA17" s="190">
        <v>0</v>
      </c>
      <c r="DB17" s="190">
        <v>0</v>
      </c>
      <c r="DC17" s="190">
        <v>398</v>
      </c>
      <c r="DD17" s="190">
        <v>0</v>
      </c>
      <c r="DE17" s="190">
        <v>0</v>
      </c>
      <c r="DF17" s="190">
        <v>62</v>
      </c>
      <c r="DG17" s="190">
        <v>398</v>
      </c>
      <c r="DH17" s="190">
        <v>460</v>
      </c>
      <c r="DI17" s="190">
        <v>0</v>
      </c>
      <c r="DJ17" s="190">
        <v>0</v>
      </c>
      <c r="DK17" s="190">
        <v>0</v>
      </c>
      <c r="DL17" s="190">
        <v>3</v>
      </c>
      <c r="DM17" s="190">
        <v>0</v>
      </c>
      <c r="DN17" s="190">
        <v>0</v>
      </c>
      <c r="DO17" s="190">
        <v>0</v>
      </c>
      <c r="DP17" s="190">
        <v>3</v>
      </c>
      <c r="DQ17" s="190">
        <v>3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1159</v>
      </c>
      <c r="C18" s="190">
        <v>113</v>
      </c>
      <c r="D18" s="190">
        <v>1127</v>
      </c>
      <c r="E18" s="190">
        <v>750</v>
      </c>
      <c r="F18" s="190">
        <v>3</v>
      </c>
      <c r="G18" s="190">
        <v>12</v>
      </c>
      <c r="H18" s="190">
        <v>15</v>
      </c>
      <c r="I18" s="190">
        <v>1</v>
      </c>
      <c r="J18" s="190">
        <v>328</v>
      </c>
      <c r="K18" s="190">
        <v>329</v>
      </c>
      <c r="L18" s="190">
        <v>1</v>
      </c>
      <c r="M18" s="190">
        <v>156</v>
      </c>
      <c r="N18" s="190">
        <v>157</v>
      </c>
      <c r="O18" s="190">
        <v>0</v>
      </c>
      <c r="P18" s="190">
        <v>172</v>
      </c>
      <c r="Q18" s="190">
        <v>172</v>
      </c>
      <c r="R18" s="190">
        <v>0</v>
      </c>
      <c r="S18" s="190">
        <v>6</v>
      </c>
      <c r="T18" s="190">
        <v>6</v>
      </c>
      <c r="U18" s="190">
        <v>0</v>
      </c>
      <c r="V18" s="190">
        <v>48</v>
      </c>
      <c r="W18" s="190">
        <v>48</v>
      </c>
      <c r="X18" s="190">
        <v>30</v>
      </c>
      <c r="Y18" s="190">
        <v>1096</v>
      </c>
      <c r="Z18" s="190">
        <v>1126</v>
      </c>
      <c r="AA18" s="190">
        <v>19</v>
      </c>
      <c r="AB18" s="190">
        <v>432</v>
      </c>
      <c r="AC18" s="190">
        <v>451</v>
      </c>
      <c r="AD18" s="190">
        <v>15</v>
      </c>
      <c r="AE18" s="190">
        <v>396</v>
      </c>
      <c r="AF18" s="190">
        <v>411</v>
      </c>
      <c r="AG18" s="190">
        <v>2</v>
      </c>
      <c r="AH18" s="190">
        <v>21</v>
      </c>
      <c r="AI18" s="190">
        <v>23</v>
      </c>
      <c r="AJ18" s="190">
        <v>2</v>
      </c>
      <c r="AK18" s="190">
        <v>15</v>
      </c>
      <c r="AL18" s="190">
        <v>17</v>
      </c>
      <c r="AM18" s="190">
        <v>11</v>
      </c>
      <c r="AN18" s="190">
        <v>664</v>
      </c>
      <c r="AO18" s="190">
        <v>675</v>
      </c>
      <c r="AP18" s="190">
        <v>2225</v>
      </c>
      <c r="AQ18" s="190">
        <v>14285</v>
      </c>
      <c r="AR18" s="190">
        <v>16510</v>
      </c>
      <c r="AS18" s="190">
        <v>2225</v>
      </c>
      <c r="AT18" s="190">
        <v>14286</v>
      </c>
      <c r="AU18" s="190">
        <v>16511</v>
      </c>
      <c r="AV18" s="190">
        <v>0</v>
      </c>
      <c r="AW18" s="190">
        <v>-1</v>
      </c>
      <c r="AX18" s="190">
        <v>-1</v>
      </c>
      <c r="AY18" s="190">
        <v>79</v>
      </c>
      <c r="AZ18" s="190">
        <v>1066</v>
      </c>
      <c r="BA18" s="190">
        <v>1145</v>
      </c>
      <c r="BB18" s="190">
        <v>42</v>
      </c>
      <c r="BC18" s="190">
        <v>0</v>
      </c>
      <c r="BD18" s="190">
        <v>0</v>
      </c>
      <c r="BE18" s="190">
        <v>686</v>
      </c>
      <c r="BF18" s="190">
        <v>19</v>
      </c>
      <c r="BG18" s="190">
        <v>3</v>
      </c>
      <c r="BH18" s="190">
        <v>42</v>
      </c>
      <c r="BI18" s="190">
        <v>708</v>
      </c>
      <c r="BJ18" s="190">
        <v>750</v>
      </c>
      <c r="BK18" s="190">
        <v>-28</v>
      </c>
      <c r="BL18" s="190">
        <v>28</v>
      </c>
      <c r="BM18" s="190">
        <v>0</v>
      </c>
      <c r="BN18" s="190">
        <v>2</v>
      </c>
      <c r="BO18" s="190">
        <v>9</v>
      </c>
      <c r="BP18" s="190">
        <v>11</v>
      </c>
      <c r="BQ18" s="190">
        <v>10</v>
      </c>
      <c r="BR18" s="190">
        <v>98</v>
      </c>
      <c r="BS18" s="190">
        <v>108</v>
      </c>
      <c r="BT18" s="190">
        <v>53</v>
      </c>
      <c r="BU18" s="190">
        <v>223</v>
      </c>
      <c r="BV18" s="190">
        <v>276</v>
      </c>
      <c r="BW18" s="190">
        <v>2304</v>
      </c>
      <c r="BX18" s="190">
        <v>15351</v>
      </c>
      <c r="BY18" s="190">
        <v>17655</v>
      </c>
      <c r="BZ18" s="190">
        <v>2269</v>
      </c>
      <c r="CA18" s="190">
        <v>14986</v>
      </c>
      <c r="CB18" s="190">
        <v>17255</v>
      </c>
      <c r="CC18" s="190">
        <v>42478</v>
      </c>
      <c r="CD18" s="190">
        <v>33</v>
      </c>
      <c r="CE18" s="190">
        <v>337</v>
      </c>
      <c r="CF18" s="190">
        <v>31</v>
      </c>
      <c r="CG18" s="190">
        <v>309</v>
      </c>
      <c r="CH18" s="190">
        <v>340</v>
      </c>
      <c r="CI18" s="190">
        <v>60</v>
      </c>
      <c r="CJ18" s="190">
        <v>9</v>
      </c>
      <c r="CK18" s="190">
        <v>4</v>
      </c>
      <c r="CL18" s="190">
        <v>56</v>
      </c>
      <c r="CM18" s="190">
        <v>60</v>
      </c>
      <c r="CN18" s="190">
        <v>103</v>
      </c>
      <c r="CO18" s="190">
        <v>1018</v>
      </c>
      <c r="CP18" s="190">
        <v>1121</v>
      </c>
      <c r="CQ18" s="190">
        <v>0</v>
      </c>
      <c r="CR18" s="190">
        <v>0</v>
      </c>
      <c r="CS18" s="190">
        <v>0</v>
      </c>
      <c r="CT18" s="190">
        <v>2201</v>
      </c>
      <c r="CU18" s="190">
        <v>14333</v>
      </c>
      <c r="CV18" s="190">
        <v>16534</v>
      </c>
      <c r="CW18" s="190">
        <v>173</v>
      </c>
      <c r="CX18" s="190">
        <v>850</v>
      </c>
      <c r="CY18" s="190">
        <v>1023</v>
      </c>
      <c r="CZ18" s="190">
        <v>168</v>
      </c>
      <c r="DA18" s="190">
        <v>5</v>
      </c>
      <c r="DB18" s="190">
        <v>0</v>
      </c>
      <c r="DC18" s="190">
        <v>825</v>
      </c>
      <c r="DD18" s="190">
        <v>18</v>
      </c>
      <c r="DE18" s="190">
        <v>3</v>
      </c>
      <c r="DF18" s="190">
        <v>173</v>
      </c>
      <c r="DG18" s="190">
        <v>846</v>
      </c>
      <c r="DH18" s="190">
        <v>1019</v>
      </c>
      <c r="DI18" s="190">
        <v>0</v>
      </c>
      <c r="DJ18" s="190">
        <v>0</v>
      </c>
      <c r="DK18" s="190">
        <v>0</v>
      </c>
      <c r="DL18" s="190">
        <v>4</v>
      </c>
      <c r="DM18" s="190">
        <v>0</v>
      </c>
      <c r="DN18" s="190">
        <v>0</v>
      </c>
      <c r="DO18" s="190">
        <v>0</v>
      </c>
      <c r="DP18" s="190">
        <v>4</v>
      </c>
      <c r="DQ18" s="190">
        <v>4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84</v>
      </c>
      <c r="C19" s="190">
        <v>2</v>
      </c>
      <c r="D19" s="190">
        <v>78</v>
      </c>
      <c r="E19" s="190">
        <v>54</v>
      </c>
      <c r="F19" s="190">
        <v>0</v>
      </c>
      <c r="G19" s="190">
        <v>0</v>
      </c>
      <c r="H19" s="190">
        <v>0</v>
      </c>
      <c r="I19" s="190">
        <v>0</v>
      </c>
      <c r="J19" s="190">
        <v>19</v>
      </c>
      <c r="K19" s="190">
        <v>19</v>
      </c>
      <c r="L19" s="190">
        <v>0</v>
      </c>
      <c r="M19" s="190">
        <v>9</v>
      </c>
      <c r="N19" s="190">
        <v>9</v>
      </c>
      <c r="O19" s="190">
        <v>0</v>
      </c>
      <c r="P19" s="190">
        <v>10</v>
      </c>
      <c r="Q19" s="190">
        <v>10</v>
      </c>
      <c r="R19" s="190">
        <v>0</v>
      </c>
      <c r="S19" s="190">
        <v>0</v>
      </c>
      <c r="T19" s="190">
        <v>0</v>
      </c>
      <c r="U19" s="190">
        <v>0</v>
      </c>
      <c r="V19" s="190">
        <v>5</v>
      </c>
      <c r="W19" s="190">
        <v>5</v>
      </c>
      <c r="X19" s="190">
        <v>3</v>
      </c>
      <c r="Y19" s="190">
        <v>75</v>
      </c>
      <c r="Z19" s="190">
        <v>78</v>
      </c>
      <c r="AA19" s="190">
        <v>2</v>
      </c>
      <c r="AB19" s="190">
        <v>42</v>
      </c>
      <c r="AC19" s="190">
        <v>44</v>
      </c>
      <c r="AD19" s="190">
        <v>2</v>
      </c>
      <c r="AE19" s="190">
        <v>38</v>
      </c>
      <c r="AF19" s="190">
        <v>40</v>
      </c>
      <c r="AG19" s="190">
        <v>0</v>
      </c>
      <c r="AH19" s="190">
        <v>2</v>
      </c>
      <c r="AI19" s="190">
        <v>2</v>
      </c>
      <c r="AJ19" s="190">
        <v>0</v>
      </c>
      <c r="AK19" s="190">
        <v>2</v>
      </c>
      <c r="AL19" s="190">
        <v>2</v>
      </c>
      <c r="AM19" s="190">
        <v>1</v>
      </c>
      <c r="AN19" s="190">
        <v>33</v>
      </c>
      <c r="AO19" s="190">
        <v>34</v>
      </c>
      <c r="AP19" s="190">
        <v>100</v>
      </c>
      <c r="AQ19" s="190">
        <v>898</v>
      </c>
      <c r="AR19" s="190">
        <v>998</v>
      </c>
      <c r="AS19" s="190">
        <v>100</v>
      </c>
      <c r="AT19" s="190">
        <v>898</v>
      </c>
      <c r="AU19" s="190">
        <v>998</v>
      </c>
      <c r="AV19" s="190">
        <v>0</v>
      </c>
      <c r="AW19" s="190">
        <v>0</v>
      </c>
      <c r="AX19" s="190">
        <v>0</v>
      </c>
      <c r="AY19" s="190">
        <v>-3</v>
      </c>
      <c r="AZ19" s="190">
        <v>87</v>
      </c>
      <c r="BA19" s="190">
        <v>84</v>
      </c>
      <c r="BB19" s="190">
        <v>3</v>
      </c>
      <c r="BC19" s="190">
        <v>0</v>
      </c>
      <c r="BD19" s="190">
        <v>0</v>
      </c>
      <c r="BE19" s="190">
        <v>51</v>
      </c>
      <c r="BF19" s="190">
        <v>0</v>
      </c>
      <c r="BG19" s="190">
        <v>0</v>
      </c>
      <c r="BH19" s="190">
        <v>3</v>
      </c>
      <c r="BI19" s="190">
        <v>51</v>
      </c>
      <c r="BJ19" s="190">
        <v>54</v>
      </c>
      <c r="BK19" s="190">
        <v>-6</v>
      </c>
      <c r="BL19" s="190">
        <v>6</v>
      </c>
      <c r="BM19" s="190">
        <v>0</v>
      </c>
      <c r="BN19" s="190">
        <v>0</v>
      </c>
      <c r="BO19" s="190">
        <v>6</v>
      </c>
      <c r="BP19" s="190">
        <v>6</v>
      </c>
      <c r="BQ19" s="190">
        <v>0</v>
      </c>
      <c r="BR19" s="190">
        <v>8</v>
      </c>
      <c r="BS19" s="190">
        <v>8</v>
      </c>
      <c r="BT19" s="190">
        <v>0</v>
      </c>
      <c r="BU19" s="190">
        <v>16</v>
      </c>
      <c r="BV19" s="190">
        <v>16</v>
      </c>
      <c r="BW19" s="190">
        <v>97</v>
      </c>
      <c r="BX19" s="190">
        <v>985</v>
      </c>
      <c r="BY19" s="190">
        <v>1082</v>
      </c>
      <c r="BZ19" s="190">
        <v>96</v>
      </c>
      <c r="CA19" s="190">
        <v>978</v>
      </c>
      <c r="CB19" s="190">
        <v>1074</v>
      </c>
      <c r="CC19" s="190">
        <v>2083</v>
      </c>
      <c r="CD19" s="190">
        <v>1</v>
      </c>
      <c r="CE19" s="190">
        <v>7</v>
      </c>
      <c r="CF19" s="190">
        <v>0</v>
      </c>
      <c r="CG19" s="190">
        <v>7</v>
      </c>
      <c r="CH19" s="190">
        <v>7</v>
      </c>
      <c r="CI19" s="190">
        <v>1</v>
      </c>
      <c r="CJ19" s="190">
        <v>0</v>
      </c>
      <c r="CK19" s="190">
        <v>1</v>
      </c>
      <c r="CL19" s="190">
        <v>0</v>
      </c>
      <c r="CM19" s="190">
        <v>1</v>
      </c>
      <c r="CN19" s="190">
        <v>4</v>
      </c>
      <c r="CO19" s="190">
        <v>77</v>
      </c>
      <c r="CP19" s="190">
        <v>81</v>
      </c>
      <c r="CQ19" s="190">
        <v>0</v>
      </c>
      <c r="CR19" s="190">
        <v>0</v>
      </c>
      <c r="CS19" s="190">
        <v>0</v>
      </c>
      <c r="CT19" s="190">
        <v>93</v>
      </c>
      <c r="CU19" s="190">
        <v>908</v>
      </c>
      <c r="CV19" s="190">
        <v>1001</v>
      </c>
      <c r="CW19" s="190">
        <v>2</v>
      </c>
      <c r="CX19" s="190">
        <v>45</v>
      </c>
      <c r="CY19" s="190">
        <v>47</v>
      </c>
      <c r="CZ19" s="190">
        <v>2</v>
      </c>
      <c r="DA19" s="190">
        <v>0</v>
      </c>
      <c r="DB19" s="190">
        <v>0</v>
      </c>
      <c r="DC19" s="190">
        <v>44</v>
      </c>
      <c r="DD19" s="190">
        <v>1</v>
      </c>
      <c r="DE19" s="190">
        <v>0</v>
      </c>
      <c r="DF19" s="190">
        <v>2</v>
      </c>
      <c r="DG19" s="190">
        <v>45</v>
      </c>
      <c r="DH19" s="190">
        <v>47</v>
      </c>
      <c r="DI19" s="190">
        <v>0</v>
      </c>
      <c r="DJ19" s="190">
        <v>0</v>
      </c>
      <c r="DK19" s="190">
        <v>0</v>
      </c>
      <c r="DL19" s="190">
        <v>0</v>
      </c>
      <c r="DM19" s="190">
        <v>0</v>
      </c>
      <c r="DN19" s="190">
        <v>0</v>
      </c>
      <c r="DO19" s="190">
        <v>0</v>
      </c>
      <c r="DP19" s="190">
        <v>0</v>
      </c>
      <c r="DQ19" s="190">
        <v>0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5310</v>
      </c>
      <c r="C20" s="190">
        <v>1320</v>
      </c>
      <c r="D20" s="190">
        <v>5330</v>
      </c>
      <c r="E20" s="190">
        <v>3399</v>
      </c>
      <c r="F20" s="190">
        <v>3</v>
      </c>
      <c r="G20" s="190">
        <v>65</v>
      </c>
      <c r="H20" s="190">
        <v>68</v>
      </c>
      <c r="I20" s="190">
        <v>1</v>
      </c>
      <c r="J20" s="190">
        <v>1766</v>
      </c>
      <c r="K20" s="190">
        <v>1767</v>
      </c>
      <c r="L20" s="190">
        <v>1</v>
      </c>
      <c r="M20" s="190">
        <v>887</v>
      </c>
      <c r="N20" s="190">
        <v>888</v>
      </c>
      <c r="O20" s="190">
        <v>0</v>
      </c>
      <c r="P20" s="190">
        <v>879</v>
      </c>
      <c r="Q20" s="190">
        <v>879</v>
      </c>
      <c r="R20" s="190">
        <v>0</v>
      </c>
      <c r="S20" s="190">
        <v>38</v>
      </c>
      <c r="T20" s="190">
        <v>38</v>
      </c>
      <c r="U20" s="190">
        <v>0</v>
      </c>
      <c r="V20" s="190">
        <v>164</v>
      </c>
      <c r="W20" s="190">
        <v>164</v>
      </c>
      <c r="X20" s="190">
        <v>170</v>
      </c>
      <c r="Y20" s="190">
        <v>5160</v>
      </c>
      <c r="Z20" s="190">
        <v>5330</v>
      </c>
      <c r="AA20" s="190">
        <v>108</v>
      </c>
      <c r="AB20" s="190">
        <v>2007</v>
      </c>
      <c r="AC20" s="190">
        <v>2115</v>
      </c>
      <c r="AD20" s="190">
        <v>104</v>
      </c>
      <c r="AE20" s="190">
        <v>1855</v>
      </c>
      <c r="AF20" s="190">
        <v>1959</v>
      </c>
      <c r="AG20" s="190">
        <v>4</v>
      </c>
      <c r="AH20" s="190">
        <v>119</v>
      </c>
      <c r="AI20" s="190">
        <v>123</v>
      </c>
      <c r="AJ20" s="190">
        <v>0</v>
      </c>
      <c r="AK20" s="190">
        <v>33</v>
      </c>
      <c r="AL20" s="190">
        <v>33</v>
      </c>
      <c r="AM20" s="190">
        <v>62</v>
      </c>
      <c r="AN20" s="190">
        <v>3153</v>
      </c>
      <c r="AO20" s="190">
        <v>3215</v>
      </c>
      <c r="AP20" s="190">
        <v>9797</v>
      </c>
      <c r="AQ20" s="190">
        <v>56416</v>
      </c>
      <c r="AR20" s="190">
        <v>66213</v>
      </c>
      <c r="AS20" s="190">
        <v>9797</v>
      </c>
      <c r="AT20" s="190">
        <v>56417</v>
      </c>
      <c r="AU20" s="190">
        <v>66214</v>
      </c>
      <c r="AV20" s="190">
        <v>0</v>
      </c>
      <c r="AW20" s="190">
        <v>-1</v>
      </c>
      <c r="AX20" s="190">
        <v>-1</v>
      </c>
      <c r="AY20" s="190">
        <v>301</v>
      </c>
      <c r="AZ20" s="190">
        <v>4952</v>
      </c>
      <c r="BA20" s="190">
        <v>5253</v>
      </c>
      <c r="BB20" s="190">
        <v>215</v>
      </c>
      <c r="BC20" s="190">
        <v>0</v>
      </c>
      <c r="BD20" s="190">
        <v>0</v>
      </c>
      <c r="BE20" s="190">
        <v>3121</v>
      </c>
      <c r="BF20" s="190">
        <v>44</v>
      </c>
      <c r="BG20" s="190">
        <v>19</v>
      </c>
      <c r="BH20" s="190">
        <v>215</v>
      </c>
      <c r="BI20" s="190">
        <v>3184</v>
      </c>
      <c r="BJ20" s="190">
        <v>3399</v>
      </c>
      <c r="BK20" s="190">
        <v>-135</v>
      </c>
      <c r="BL20" s="190">
        <v>135</v>
      </c>
      <c r="BM20" s="190">
        <v>0</v>
      </c>
      <c r="BN20" s="190">
        <v>11</v>
      </c>
      <c r="BO20" s="190">
        <v>81</v>
      </c>
      <c r="BP20" s="190">
        <v>92</v>
      </c>
      <c r="BQ20" s="190">
        <v>59</v>
      </c>
      <c r="BR20" s="190">
        <v>419</v>
      </c>
      <c r="BS20" s="190">
        <v>478</v>
      </c>
      <c r="BT20" s="190">
        <v>151</v>
      </c>
      <c r="BU20" s="190">
        <v>1133</v>
      </c>
      <c r="BV20" s="190">
        <v>1284</v>
      </c>
      <c r="BW20" s="190">
        <v>10098</v>
      </c>
      <c r="BX20" s="190">
        <v>61368</v>
      </c>
      <c r="BY20" s="190">
        <v>71466</v>
      </c>
      <c r="BZ20" s="190">
        <v>10033</v>
      </c>
      <c r="CA20" s="190">
        <v>60325</v>
      </c>
      <c r="CB20" s="190">
        <v>70358</v>
      </c>
      <c r="CC20" s="190">
        <v>164459</v>
      </c>
      <c r="CD20" s="190">
        <v>62</v>
      </c>
      <c r="CE20" s="190">
        <v>885</v>
      </c>
      <c r="CF20" s="190">
        <v>64</v>
      </c>
      <c r="CG20" s="190">
        <v>804</v>
      </c>
      <c r="CH20" s="190">
        <v>868</v>
      </c>
      <c r="CI20" s="190">
        <v>299</v>
      </c>
      <c r="CJ20" s="190">
        <v>18</v>
      </c>
      <c r="CK20" s="190">
        <v>1</v>
      </c>
      <c r="CL20" s="190">
        <v>239</v>
      </c>
      <c r="CM20" s="190">
        <v>240</v>
      </c>
      <c r="CN20" s="190">
        <v>465</v>
      </c>
      <c r="CO20" s="190">
        <v>4969</v>
      </c>
      <c r="CP20" s="190">
        <v>5434</v>
      </c>
      <c r="CQ20" s="190">
        <v>0</v>
      </c>
      <c r="CR20" s="190">
        <v>3</v>
      </c>
      <c r="CS20" s="190">
        <v>3</v>
      </c>
      <c r="CT20" s="190">
        <v>9633</v>
      </c>
      <c r="CU20" s="190">
        <v>56399</v>
      </c>
      <c r="CV20" s="190">
        <v>66032</v>
      </c>
      <c r="CW20" s="190">
        <v>640</v>
      </c>
      <c r="CX20" s="190">
        <v>2376</v>
      </c>
      <c r="CY20" s="190">
        <v>3016</v>
      </c>
      <c r="CZ20" s="190">
        <v>633</v>
      </c>
      <c r="DA20" s="190">
        <v>4</v>
      </c>
      <c r="DB20" s="190">
        <v>0</v>
      </c>
      <c r="DC20" s="190">
        <v>2275</v>
      </c>
      <c r="DD20" s="190">
        <v>26</v>
      </c>
      <c r="DE20" s="190">
        <v>5</v>
      </c>
      <c r="DF20" s="190">
        <v>637</v>
      </c>
      <c r="DG20" s="190">
        <v>2306</v>
      </c>
      <c r="DH20" s="190">
        <v>2943</v>
      </c>
      <c r="DI20" s="190">
        <v>3</v>
      </c>
      <c r="DJ20" s="190">
        <v>0</v>
      </c>
      <c r="DK20" s="190">
        <v>0</v>
      </c>
      <c r="DL20" s="190">
        <v>67</v>
      </c>
      <c r="DM20" s="190">
        <v>3</v>
      </c>
      <c r="DN20" s="190">
        <v>0</v>
      </c>
      <c r="DO20" s="190">
        <v>3</v>
      </c>
      <c r="DP20" s="190">
        <v>70</v>
      </c>
      <c r="DQ20" s="190">
        <v>73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825</v>
      </c>
      <c r="C21" s="190">
        <v>98</v>
      </c>
      <c r="D21" s="190">
        <v>786</v>
      </c>
      <c r="E21" s="190">
        <v>514</v>
      </c>
      <c r="F21" s="190">
        <v>1</v>
      </c>
      <c r="G21" s="190">
        <v>6</v>
      </c>
      <c r="H21" s="190">
        <v>7</v>
      </c>
      <c r="I21" s="190">
        <v>0</v>
      </c>
      <c r="J21" s="190">
        <v>258</v>
      </c>
      <c r="K21" s="190">
        <v>258</v>
      </c>
      <c r="L21" s="190">
        <v>0</v>
      </c>
      <c r="M21" s="190">
        <v>155</v>
      </c>
      <c r="N21" s="190">
        <v>155</v>
      </c>
      <c r="O21" s="190">
        <v>0</v>
      </c>
      <c r="P21" s="190">
        <v>103</v>
      </c>
      <c r="Q21" s="190">
        <v>103</v>
      </c>
      <c r="R21" s="190">
        <v>0</v>
      </c>
      <c r="S21" s="190">
        <v>12</v>
      </c>
      <c r="T21" s="190">
        <v>12</v>
      </c>
      <c r="U21" s="190">
        <v>0</v>
      </c>
      <c r="V21" s="190">
        <v>14</v>
      </c>
      <c r="W21" s="190">
        <v>14</v>
      </c>
      <c r="X21" s="190">
        <v>26</v>
      </c>
      <c r="Y21" s="190">
        <v>757</v>
      </c>
      <c r="Z21" s="190">
        <v>783</v>
      </c>
      <c r="AA21" s="190">
        <v>13</v>
      </c>
      <c r="AB21" s="190">
        <v>318</v>
      </c>
      <c r="AC21" s="190">
        <v>331</v>
      </c>
      <c r="AD21" s="190">
        <v>12</v>
      </c>
      <c r="AE21" s="190">
        <v>307</v>
      </c>
      <c r="AF21" s="190">
        <v>319</v>
      </c>
      <c r="AG21" s="190">
        <v>1</v>
      </c>
      <c r="AH21" s="190">
        <v>9</v>
      </c>
      <c r="AI21" s="190">
        <v>10</v>
      </c>
      <c r="AJ21" s="190">
        <v>0</v>
      </c>
      <c r="AK21" s="190">
        <v>2</v>
      </c>
      <c r="AL21" s="190">
        <v>2</v>
      </c>
      <c r="AM21" s="190">
        <v>13</v>
      </c>
      <c r="AN21" s="190">
        <v>439</v>
      </c>
      <c r="AO21" s="190">
        <v>452</v>
      </c>
      <c r="AP21" s="190">
        <v>1360</v>
      </c>
      <c r="AQ21" s="190">
        <v>8703</v>
      </c>
      <c r="AR21" s="190">
        <v>10063</v>
      </c>
      <c r="AS21" s="190">
        <v>1360</v>
      </c>
      <c r="AT21" s="190">
        <v>8703</v>
      </c>
      <c r="AU21" s="190">
        <v>10063</v>
      </c>
      <c r="AV21" s="190">
        <v>0</v>
      </c>
      <c r="AW21" s="190">
        <v>0</v>
      </c>
      <c r="AX21" s="190">
        <v>0</v>
      </c>
      <c r="AY21" s="190">
        <v>78</v>
      </c>
      <c r="AZ21" s="190">
        <v>753</v>
      </c>
      <c r="BA21" s="190">
        <v>831</v>
      </c>
      <c r="BB21" s="190">
        <v>29</v>
      </c>
      <c r="BC21" s="190">
        <v>1</v>
      </c>
      <c r="BD21" s="190">
        <v>1</v>
      </c>
      <c r="BE21" s="190">
        <v>479</v>
      </c>
      <c r="BF21" s="190">
        <v>4</v>
      </c>
      <c r="BG21" s="190">
        <v>0</v>
      </c>
      <c r="BH21" s="190">
        <v>31</v>
      </c>
      <c r="BI21" s="190">
        <v>483</v>
      </c>
      <c r="BJ21" s="190">
        <v>514</v>
      </c>
      <c r="BK21" s="190">
        <v>8</v>
      </c>
      <c r="BL21" s="190">
        <v>-8</v>
      </c>
      <c r="BM21" s="190">
        <v>0</v>
      </c>
      <c r="BN21" s="190">
        <v>4</v>
      </c>
      <c r="BO21" s="190">
        <v>18</v>
      </c>
      <c r="BP21" s="190">
        <v>22</v>
      </c>
      <c r="BQ21" s="190">
        <v>7</v>
      </c>
      <c r="BR21" s="190">
        <v>99</v>
      </c>
      <c r="BS21" s="190">
        <v>106</v>
      </c>
      <c r="BT21" s="190">
        <v>28</v>
      </c>
      <c r="BU21" s="190">
        <v>161</v>
      </c>
      <c r="BV21" s="190">
        <v>189</v>
      </c>
      <c r="BW21" s="190">
        <v>1438</v>
      </c>
      <c r="BX21" s="190">
        <v>9456</v>
      </c>
      <c r="BY21" s="190">
        <v>10894</v>
      </c>
      <c r="BZ21" s="190">
        <v>1420</v>
      </c>
      <c r="CA21" s="190">
        <v>9323</v>
      </c>
      <c r="CB21" s="190">
        <v>10743</v>
      </c>
      <c r="CC21" s="190">
        <v>24537</v>
      </c>
      <c r="CD21" s="190">
        <v>14</v>
      </c>
      <c r="CE21" s="190">
        <v>116</v>
      </c>
      <c r="CF21" s="190">
        <v>15</v>
      </c>
      <c r="CG21" s="190">
        <v>111</v>
      </c>
      <c r="CH21" s="190">
        <v>126</v>
      </c>
      <c r="CI21" s="190">
        <v>29</v>
      </c>
      <c r="CJ21" s="190">
        <v>2</v>
      </c>
      <c r="CK21" s="190">
        <v>3</v>
      </c>
      <c r="CL21" s="190">
        <v>22</v>
      </c>
      <c r="CM21" s="190">
        <v>25</v>
      </c>
      <c r="CN21" s="190">
        <v>67</v>
      </c>
      <c r="CO21" s="190">
        <v>781</v>
      </c>
      <c r="CP21" s="190">
        <v>848</v>
      </c>
      <c r="CQ21" s="190">
        <v>0</v>
      </c>
      <c r="CR21" s="190">
        <v>0</v>
      </c>
      <c r="CS21" s="190">
        <v>0</v>
      </c>
      <c r="CT21" s="190">
        <v>1371</v>
      </c>
      <c r="CU21" s="190">
        <v>8675</v>
      </c>
      <c r="CV21" s="190">
        <v>10046</v>
      </c>
      <c r="CW21" s="190">
        <v>91</v>
      </c>
      <c r="CX21" s="190">
        <v>411</v>
      </c>
      <c r="CY21" s="190">
        <v>502</v>
      </c>
      <c r="CZ21" s="190">
        <v>90</v>
      </c>
      <c r="DA21" s="190">
        <v>1</v>
      </c>
      <c r="DB21" s="190">
        <v>0</v>
      </c>
      <c r="DC21" s="190">
        <v>405</v>
      </c>
      <c r="DD21" s="190">
        <v>2</v>
      </c>
      <c r="DE21" s="190">
        <v>0</v>
      </c>
      <c r="DF21" s="190">
        <v>91</v>
      </c>
      <c r="DG21" s="190">
        <v>407</v>
      </c>
      <c r="DH21" s="190">
        <v>498</v>
      </c>
      <c r="DI21" s="190">
        <v>0</v>
      </c>
      <c r="DJ21" s="190">
        <v>0</v>
      </c>
      <c r="DK21" s="190">
        <v>0</v>
      </c>
      <c r="DL21" s="190">
        <v>4</v>
      </c>
      <c r="DM21" s="190">
        <v>0</v>
      </c>
      <c r="DN21" s="190">
        <v>0</v>
      </c>
      <c r="DO21" s="190">
        <v>0</v>
      </c>
      <c r="DP21" s="190">
        <v>4</v>
      </c>
      <c r="DQ21" s="190">
        <v>4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413</v>
      </c>
      <c r="C22" s="190">
        <v>35</v>
      </c>
      <c r="D22" s="190">
        <v>394</v>
      </c>
      <c r="E22" s="190">
        <v>293</v>
      </c>
      <c r="F22" s="190">
        <v>2</v>
      </c>
      <c r="G22" s="190">
        <v>10</v>
      </c>
      <c r="H22" s="190">
        <v>12</v>
      </c>
      <c r="I22" s="190">
        <v>1</v>
      </c>
      <c r="J22" s="190">
        <v>91</v>
      </c>
      <c r="K22" s="190">
        <v>92</v>
      </c>
      <c r="L22" s="190">
        <v>1</v>
      </c>
      <c r="M22" s="190">
        <v>33</v>
      </c>
      <c r="N22" s="190">
        <v>34</v>
      </c>
      <c r="O22" s="190">
        <v>0</v>
      </c>
      <c r="P22" s="190">
        <v>58</v>
      </c>
      <c r="Q22" s="190">
        <v>58</v>
      </c>
      <c r="R22" s="190">
        <v>0</v>
      </c>
      <c r="S22" s="190">
        <v>2</v>
      </c>
      <c r="T22" s="190">
        <v>2</v>
      </c>
      <c r="U22" s="190">
        <v>0</v>
      </c>
      <c r="V22" s="190">
        <v>9</v>
      </c>
      <c r="W22" s="190">
        <v>9</v>
      </c>
      <c r="X22" s="190">
        <v>11</v>
      </c>
      <c r="Y22" s="190">
        <v>383</v>
      </c>
      <c r="Z22" s="190">
        <v>394</v>
      </c>
      <c r="AA22" s="190">
        <v>10</v>
      </c>
      <c r="AB22" s="190">
        <v>199</v>
      </c>
      <c r="AC22" s="190">
        <v>209</v>
      </c>
      <c r="AD22" s="190">
        <v>8</v>
      </c>
      <c r="AE22" s="190">
        <v>189</v>
      </c>
      <c r="AF22" s="190">
        <v>197</v>
      </c>
      <c r="AG22" s="190">
        <v>2</v>
      </c>
      <c r="AH22" s="190">
        <v>6</v>
      </c>
      <c r="AI22" s="190">
        <v>8</v>
      </c>
      <c r="AJ22" s="190">
        <v>0</v>
      </c>
      <c r="AK22" s="190">
        <v>4</v>
      </c>
      <c r="AL22" s="190">
        <v>4</v>
      </c>
      <c r="AM22" s="190">
        <v>1</v>
      </c>
      <c r="AN22" s="190">
        <v>184</v>
      </c>
      <c r="AO22" s="190">
        <v>185</v>
      </c>
      <c r="AP22" s="190">
        <v>572</v>
      </c>
      <c r="AQ22" s="190">
        <v>5597</v>
      </c>
      <c r="AR22" s="190">
        <v>6169</v>
      </c>
      <c r="AS22" s="190">
        <v>572</v>
      </c>
      <c r="AT22" s="190">
        <v>5598</v>
      </c>
      <c r="AU22" s="190">
        <v>6170</v>
      </c>
      <c r="AV22" s="190">
        <v>0</v>
      </c>
      <c r="AW22" s="190">
        <v>-1</v>
      </c>
      <c r="AX22" s="190">
        <v>-1</v>
      </c>
      <c r="AY22" s="190">
        <v>35</v>
      </c>
      <c r="AZ22" s="190">
        <v>513</v>
      </c>
      <c r="BA22" s="190">
        <v>548</v>
      </c>
      <c r="BB22" s="190">
        <v>14</v>
      </c>
      <c r="BC22" s="190">
        <v>0</v>
      </c>
      <c r="BD22" s="190">
        <v>0</v>
      </c>
      <c r="BE22" s="190">
        <v>279</v>
      </c>
      <c r="BF22" s="190">
        <v>0</v>
      </c>
      <c r="BG22" s="190">
        <v>0</v>
      </c>
      <c r="BH22" s="190">
        <v>14</v>
      </c>
      <c r="BI22" s="190">
        <v>279</v>
      </c>
      <c r="BJ22" s="190">
        <v>293</v>
      </c>
      <c r="BK22" s="190">
        <v>-1</v>
      </c>
      <c r="BL22" s="190">
        <v>1</v>
      </c>
      <c r="BM22" s="190">
        <v>0</v>
      </c>
      <c r="BN22" s="190">
        <v>0</v>
      </c>
      <c r="BO22" s="190">
        <v>14</v>
      </c>
      <c r="BP22" s="190">
        <v>14</v>
      </c>
      <c r="BQ22" s="190">
        <v>3</v>
      </c>
      <c r="BR22" s="190">
        <v>10</v>
      </c>
      <c r="BS22" s="190">
        <v>13</v>
      </c>
      <c r="BT22" s="190">
        <v>19</v>
      </c>
      <c r="BU22" s="190">
        <v>209</v>
      </c>
      <c r="BV22" s="190">
        <v>228</v>
      </c>
      <c r="BW22" s="190">
        <v>607</v>
      </c>
      <c r="BX22" s="190">
        <v>6110</v>
      </c>
      <c r="BY22" s="190">
        <v>6717</v>
      </c>
      <c r="BZ22" s="190">
        <v>603</v>
      </c>
      <c r="CA22" s="190">
        <v>6078</v>
      </c>
      <c r="CB22" s="190">
        <v>6681</v>
      </c>
      <c r="CC22" s="190">
        <v>12478</v>
      </c>
      <c r="CD22" s="190">
        <v>2</v>
      </c>
      <c r="CE22" s="190">
        <v>27</v>
      </c>
      <c r="CF22" s="190">
        <v>4</v>
      </c>
      <c r="CG22" s="190">
        <v>23</v>
      </c>
      <c r="CH22" s="190">
        <v>27</v>
      </c>
      <c r="CI22" s="190">
        <v>11</v>
      </c>
      <c r="CJ22" s="190">
        <v>0</v>
      </c>
      <c r="CK22" s="190">
        <v>0</v>
      </c>
      <c r="CL22" s="190">
        <v>9</v>
      </c>
      <c r="CM22" s="190">
        <v>9</v>
      </c>
      <c r="CN22" s="190">
        <v>30</v>
      </c>
      <c r="CO22" s="190">
        <v>523</v>
      </c>
      <c r="CP22" s="190">
        <v>553</v>
      </c>
      <c r="CQ22" s="190">
        <v>0</v>
      </c>
      <c r="CR22" s="190">
        <v>0</v>
      </c>
      <c r="CS22" s="190">
        <v>0</v>
      </c>
      <c r="CT22" s="190">
        <v>577</v>
      </c>
      <c r="CU22" s="190">
        <v>5587</v>
      </c>
      <c r="CV22" s="190">
        <v>6164</v>
      </c>
      <c r="CW22" s="190">
        <v>36</v>
      </c>
      <c r="CX22" s="190">
        <v>319</v>
      </c>
      <c r="CY22" s="190">
        <v>355</v>
      </c>
      <c r="CZ22" s="190">
        <v>35</v>
      </c>
      <c r="DA22" s="190">
        <v>0</v>
      </c>
      <c r="DB22" s="190">
        <v>0</v>
      </c>
      <c r="DC22" s="190">
        <v>317</v>
      </c>
      <c r="DD22" s="190">
        <v>0</v>
      </c>
      <c r="DE22" s="190">
        <v>0</v>
      </c>
      <c r="DF22" s="190">
        <v>35</v>
      </c>
      <c r="DG22" s="190">
        <v>317</v>
      </c>
      <c r="DH22" s="190">
        <v>352</v>
      </c>
      <c r="DI22" s="190">
        <v>1</v>
      </c>
      <c r="DJ22" s="190">
        <v>0</v>
      </c>
      <c r="DK22" s="190">
        <v>0</v>
      </c>
      <c r="DL22" s="190">
        <v>2</v>
      </c>
      <c r="DM22" s="190">
        <v>0</v>
      </c>
      <c r="DN22" s="190">
        <v>0</v>
      </c>
      <c r="DO22" s="190">
        <v>1</v>
      </c>
      <c r="DP22" s="190">
        <v>2</v>
      </c>
      <c r="DQ22" s="190">
        <v>3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101</v>
      </c>
      <c r="C23" s="190">
        <v>16</v>
      </c>
      <c r="D23" s="190">
        <v>107</v>
      </c>
      <c r="E23" s="190">
        <v>71</v>
      </c>
      <c r="F23" s="190">
        <v>1</v>
      </c>
      <c r="G23" s="190">
        <v>6</v>
      </c>
      <c r="H23" s="190">
        <v>7</v>
      </c>
      <c r="I23" s="190">
        <v>0</v>
      </c>
      <c r="J23" s="190">
        <v>29</v>
      </c>
      <c r="K23" s="190">
        <v>29</v>
      </c>
      <c r="L23" s="190">
        <v>0</v>
      </c>
      <c r="M23" s="190">
        <v>20</v>
      </c>
      <c r="N23" s="190">
        <v>20</v>
      </c>
      <c r="O23" s="190">
        <v>0</v>
      </c>
      <c r="P23" s="190">
        <v>9</v>
      </c>
      <c r="Q23" s="190">
        <v>9</v>
      </c>
      <c r="R23" s="190">
        <v>0</v>
      </c>
      <c r="S23" s="190">
        <v>3</v>
      </c>
      <c r="T23" s="190">
        <v>3</v>
      </c>
      <c r="U23" s="190">
        <v>0</v>
      </c>
      <c r="V23" s="190">
        <v>7</v>
      </c>
      <c r="W23" s="190">
        <v>7</v>
      </c>
      <c r="X23" s="190">
        <v>1</v>
      </c>
      <c r="Y23" s="190">
        <v>106</v>
      </c>
      <c r="Z23" s="190">
        <v>107</v>
      </c>
      <c r="AA23" s="190">
        <v>0</v>
      </c>
      <c r="AB23" s="190">
        <v>51</v>
      </c>
      <c r="AC23" s="190">
        <v>51</v>
      </c>
      <c r="AD23" s="190">
        <v>0</v>
      </c>
      <c r="AE23" s="190">
        <v>38</v>
      </c>
      <c r="AF23" s="190">
        <v>38</v>
      </c>
      <c r="AG23" s="190">
        <v>0</v>
      </c>
      <c r="AH23" s="190">
        <v>7</v>
      </c>
      <c r="AI23" s="190">
        <v>7</v>
      </c>
      <c r="AJ23" s="190">
        <v>0</v>
      </c>
      <c r="AK23" s="190">
        <v>6</v>
      </c>
      <c r="AL23" s="190">
        <v>6</v>
      </c>
      <c r="AM23" s="190">
        <v>1</v>
      </c>
      <c r="AN23" s="190">
        <v>55</v>
      </c>
      <c r="AO23" s="190">
        <v>56</v>
      </c>
      <c r="AP23" s="190">
        <v>211</v>
      </c>
      <c r="AQ23" s="190">
        <v>1234</v>
      </c>
      <c r="AR23" s="190">
        <v>1445</v>
      </c>
      <c r="AS23" s="190">
        <v>211</v>
      </c>
      <c r="AT23" s="190">
        <v>1234</v>
      </c>
      <c r="AU23" s="190">
        <v>1445</v>
      </c>
      <c r="AV23" s="190">
        <v>0</v>
      </c>
      <c r="AW23" s="190">
        <v>0</v>
      </c>
      <c r="AX23" s="190">
        <v>0</v>
      </c>
      <c r="AY23" s="190">
        <v>9</v>
      </c>
      <c r="AZ23" s="190">
        <v>129</v>
      </c>
      <c r="BA23" s="190">
        <v>138</v>
      </c>
      <c r="BB23" s="190">
        <v>2</v>
      </c>
      <c r="BC23" s="190">
        <v>0</v>
      </c>
      <c r="BD23" s="190">
        <v>0</v>
      </c>
      <c r="BE23" s="190">
        <v>69</v>
      </c>
      <c r="BF23" s="190">
        <v>0</v>
      </c>
      <c r="BG23" s="190">
        <v>0</v>
      </c>
      <c r="BH23" s="190">
        <v>2</v>
      </c>
      <c r="BI23" s="190">
        <v>69</v>
      </c>
      <c r="BJ23" s="190">
        <v>71</v>
      </c>
      <c r="BK23" s="190">
        <v>-7</v>
      </c>
      <c r="BL23" s="190">
        <v>7</v>
      </c>
      <c r="BM23" s="190">
        <v>0</v>
      </c>
      <c r="BN23" s="190">
        <v>0</v>
      </c>
      <c r="BO23" s="190">
        <v>5</v>
      </c>
      <c r="BP23" s="190">
        <v>5</v>
      </c>
      <c r="BQ23" s="190">
        <v>3</v>
      </c>
      <c r="BR23" s="190">
        <v>12</v>
      </c>
      <c r="BS23" s="190">
        <v>15</v>
      </c>
      <c r="BT23" s="190">
        <v>11</v>
      </c>
      <c r="BU23" s="190">
        <v>36</v>
      </c>
      <c r="BV23" s="190">
        <v>47</v>
      </c>
      <c r="BW23" s="190">
        <v>220</v>
      </c>
      <c r="BX23" s="190">
        <v>1363</v>
      </c>
      <c r="BY23" s="190">
        <v>1583</v>
      </c>
      <c r="BZ23" s="190">
        <v>219</v>
      </c>
      <c r="CA23" s="190">
        <v>1361</v>
      </c>
      <c r="CB23" s="190">
        <v>1580</v>
      </c>
      <c r="CC23" s="190">
        <v>3160</v>
      </c>
      <c r="CD23" s="190">
        <v>0</v>
      </c>
      <c r="CE23" s="190">
        <v>3</v>
      </c>
      <c r="CF23" s="190">
        <v>0</v>
      </c>
      <c r="CG23" s="190">
        <v>2</v>
      </c>
      <c r="CH23" s="190">
        <v>2</v>
      </c>
      <c r="CI23" s="190">
        <v>1</v>
      </c>
      <c r="CJ23" s="190">
        <v>0</v>
      </c>
      <c r="CK23" s="190">
        <v>1</v>
      </c>
      <c r="CL23" s="190">
        <v>0</v>
      </c>
      <c r="CM23" s="190">
        <v>1</v>
      </c>
      <c r="CN23" s="190">
        <v>18</v>
      </c>
      <c r="CO23" s="190">
        <v>134</v>
      </c>
      <c r="CP23" s="190">
        <v>152</v>
      </c>
      <c r="CQ23" s="190">
        <v>0</v>
      </c>
      <c r="CR23" s="190">
        <v>0</v>
      </c>
      <c r="CS23" s="190">
        <v>0</v>
      </c>
      <c r="CT23" s="190">
        <v>202</v>
      </c>
      <c r="CU23" s="190">
        <v>1229</v>
      </c>
      <c r="CV23" s="190">
        <v>1431</v>
      </c>
      <c r="CW23" s="190">
        <v>15</v>
      </c>
      <c r="CX23" s="190">
        <v>68</v>
      </c>
      <c r="CY23" s="190">
        <v>83</v>
      </c>
      <c r="CZ23" s="190">
        <v>15</v>
      </c>
      <c r="DA23" s="190">
        <v>0</v>
      </c>
      <c r="DB23" s="190">
        <v>0</v>
      </c>
      <c r="DC23" s="190">
        <v>68</v>
      </c>
      <c r="DD23" s="190">
        <v>0</v>
      </c>
      <c r="DE23" s="190">
        <v>0</v>
      </c>
      <c r="DF23" s="190">
        <v>15</v>
      </c>
      <c r="DG23" s="190">
        <v>68</v>
      </c>
      <c r="DH23" s="190">
        <v>83</v>
      </c>
      <c r="DI23" s="190">
        <v>0</v>
      </c>
      <c r="DJ23" s="190">
        <v>0</v>
      </c>
      <c r="DK23" s="190">
        <v>0</v>
      </c>
      <c r="DL23" s="190">
        <v>0</v>
      </c>
      <c r="DM23" s="190">
        <v>0</v>
      </c>
      <c r="DN23" s="190">
        <v>0</v>
      </c>
      <c r="DO23" s="190">
        <v>0</v>
      </c>
      <c r="DP23" s="190">
        <v>0</v>
      </c>
      <c r="DQ23" s="190">
        <v>0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37337</v>
      </c>
      <c r="C24" s="190">
        <v>5197</v>
      </c>
      <c r="D24" s="190">
        <v>28803</v>
      </c>
      <c r="E24" s="190">
        <v>21267</v>
      </c>
      <c r="F24" s="190">
        <v>207</v>
      </c>
      <c r="G24" s="190">
        <v>789</v>
      </c>
      <c r="H24" s="190">
        <v>996</v>
      </c>
      <c r="I24" s="190">
        <v>11</v>
      </c>
      <c r="J24" s="190">
        <v>6487</v>
      </c>
      <c r="K24" s="190">
        <v>6498</v>
      </c>
      <c r="L24" s="190">
        <v>2</v>
      </c>
      <c r="M24" s="190">
        <v>2318</v>
      </c>
      <c r="N24" s="190">
        <v>2320</v>
      </c>
      <c r="O24" s="190">
        <v>9</v>
      </c>
      <c r="P24" s="190">
        <v>4169</v>
      </c>
      <c r="Q24" s="190">
        <v>4178</v>
      </c>
      <c r="R24" s="190">
        <v>0</v>
      </c>
      <c r="S24" s="190">
        <v>227</v>
      </c>
      <c r="T24" s="190">
        <v>227</v>
      </c>
      <c r="U24" s="190">
        <v>0</v>
      </c>
      <c r="V24" s="190">
        <v>1038</v>
      </c>
      <c r="W24" s="190">
        <v>1038</v>
      </c>
      <c r="X24" s="190">
        <v>2501</v>
      </c>
      <c r="Y24" s="190">
        <v>26277</v>
      </c>
      <c r="Z24" s="190">
        <v>28778</v>
      </c>
      <c r="AA24" s="190">
        <v>1890</v>
      </c>
      <c r="AB24" s="190">
        <v>12888</v>
      </c>
      <c r="AC24" s="190">
        <v>14778</v>
      </c>
      <c r="AD24" s="190">
        <v>1357</v>
      </c>
      <c r="AE24" s="190">
        <v>10830</v>
      </c>
      <c r="AF24" s="190">
        <v>12187</v>
      </c>
      <c r="AG24" s="190">
        <v>160</v>
      </c>
      <c r="AH24" s="190">
        <v>730</v>
      </c>
      <c r="AI24" s="190">
        <v>890</v>
      </c>
      <c r="AJ24" s="190">
        <v>373</v>
      </c>
      <c r="AK24" s="190">
        <v>1328</v>
      </c>
      <c r="AL24" s="190">
        <v>1701</v>
      </c>
      <c r="AM24" s="190">
        <v>611</v>
      </c>
      <c r="AN24" s="190">
        <v>13389</v>
      </c>
      <c r="AO24" s="190">
        <v>14000</v>
      </c>
      <c r="AP24" s="190">
        <v>80471</v>
      </c>
      <c r="AQ24" s="190">
        <v>446398</v>
      </c>
      <c r="AR24" s="190">
        <v>526869</v>
      </c>
      <c r="AS24" s="190">
        <v>80034</v>
      </c>
      <c r="AT24" s="190">
        <v>435220</v>
      </c>
      <c r="AU24" s="190">
        <v>515254</v>
      </c>
      <c r="AV24" s="190">
        <v>437</v>
      </c>
      <c r="AW24" s="190">
        <v>11178</v>
      </c>
      <c r="AX24" s="190">
        <v>11615</v>
      </c>
      <c r="AY24" s="190">
        <v>6389</v>
      </c>
      <c r="AZ24" s="190">
        <v>32031</v>
      </c>
      <c r="BA24" s="190">
        <v>38420</v>
      </c>
      <c r="BB24" s="190">
        <v>2362</v>
      </c>
      <c r="BC24" s="190">
        <v>64</v>
      </c>
      <c r="BD24" s="190">
        <v>2</v>
      </c>
      <c r="BE24" s="190">
        <v>18322</v>
      </c>
      <c r="BF24" s="190">
        <v>280</v>
      </c>
      <c r="BG24" s="190">
        <v>237</v>
      </c>
      <c r="BH24" s="190">
        <v>2428</v>
      </c>
      <c r="BI24" s="190">
        <v>18839</v>
      </c>
      <c r="BJ24" s="190">
        <v>21267</v>
      </c>
      <c r="BK24" s="190">
        <v>480</v>
      </c>
      <c r="BL24" s="190">
        <v>-480</v>
      </c>
      <c r="BM24" s="190">
        <v>0</v>
      </c>
      <c r="BN24" s="190">
        <v>173</v>
      </c>
      <c r="BO24" s="190">
        <v>54</v>
      </c>
      <c r="BP24" s="190">
        <v>227</v>
      </c>
      <c r="BQ24" s="190">
        <v>193</v>
      </c>
      <c r="BR24" s="190">
        <v>897</v>
      </c>
      <c r="BS24" s="190">
        <v>1090</v>
      </c>
      <c r="BT24" s="190">
        <v>3115</v>
      </c>
      <c r="BU24" s="190">
        <v>12721</v>
      </c>
      <c r="BV24" s="190">
        <v>15836</v>
      </c>
      <c r="BW24" s="190">
        <v>86860</v>
      </c>
      <c r="BX24" s="190">
        <v>478429</v>
      </c>
      <c r="BY24" s="190">
        <v>565289</v>
      </c>
      <c r="BZ24" s="190">
        <v>84468</v>
      </c>
      <c r="CA24" s="190">
        <v>468846</v>
      </c>
      <c r="CB24" s="190">
        <v>553314</v>
      </c>
      <c r="CC24" s="190">
        <v>1109728</v>
      </c>
      <c r="CD24" s="190">
        <v>710</v>
      </c>
      <c r="CE24" s="190">
        <v>9654</v>
      </c>
      <c r="CF24" s="190">
        <v>2337</v>
      </c>
      <c r="CG24" s="190">
        <v>5779</v>
      </c>
      <c r="CH24" s="190">
        <v>8116</v>
      </c>
      <c r="CI24" s="190">
        <v>4478</v>
      </c>
      <c r="CJ24" s="190">
        <v>475</v>
      </c>
      <c r="CK24" s="190">
        <v>55</v>
      </c>
      <c r="CL24" s="190">
        <v>3804</v>
      </c>
      <c r="CM24" s="190">
        <v>3859</v>
      </c>
      <c r="CN24" s="190">
        <v>2661</v>
      </c>
      <c r="CO24" s="190">
        <v>23064</v>
      </c>
      <c r="CP24" s="190">
        <v>25725</v>
      </c>
      <c r="CQ24" s="190">
        <v>57</v>
      </c>
      <c r="CR24" s="190">
        <v>160</v>
      </c>
      <c r="CS24" s="190">
        <v>217</v>
      </c>
      <c r="CT24" s="190">
        <v>84199</v>
      </c>
      <c r="CU24" s="190">
        <v>455365</v>
      </c>
      <c r="CV24" s="190">
        <v>539564</v>
      </c>
      <c r="CW24" s="190">
        <v>3771</v>
      </c>
      <c r="CX24" s="190">
        <v>12579</v>
      </c>
      <c r="CY24" s="190">
        <v>16350</v>
      </c>
      <c r="CZ24" s="190">
        <v>3643</v>
      </c>
      <c r="DA24" s="190">
        <v>107</v>
      </c>
      <c r="DB24" s="190">
        <v>3</v>
      </c>
      <c r="DC24" s="190">
        <v>12123</v>
      </c>
      <c r="DD24" s="190">
        <v>203</v>
      </c>
      <c r="DE24" s="190">
        <v>71</v>
      </c>
      <c r="DF24" s="190">
        <v>3753</v>
      </c>
      <c r="DG24" s="190">
        <v>12397</v>
      </c>
      <c r="DH24" s="190">
        <v>16150</v>
      </c>
      <c r="DI24" s="190">
        <v>18</v>
      </c>
      <c r="DJ24" s="190">
        <v>0</v>
      </c>
      <c r="DK24" s="190">
        <v>0</v>
      </c>
      <c r="DL24" s="190">
        <v>173</v>
      </c>
      <c r="DM24" s="190">
        <v>9</v>
      </c>
      <c r="DN24" s="190">
        <v>0</v>
      </c>
      <c r="DO24" s="190">
        <v>18</v>
      </c>
      <c r="DP24" s="190">
        <v>182</v>
      </c>
      <c r="DQ24" s="190">
        <v>200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704</v>
      </c>
      <c r="C25" s="190">
        <v>73</v>
      </c>
      <c r="D25" s="190">
        <v>697</v>
      </c>
      <c r="E25" s="190">
        <v>463</v>
      </c>
      <c r="F25" s="190">
        <v>1</v>
      </c>
      <c r="G25" s="190">
        <v>3</v>
      </c>
      <c r="H25" s="190">
        <v>4</v>
      </c>
      <c r="I25" s="190">
        <v>0</v>
      </c>
      <c r="J25" s="190">
        <v>211</v>
      </c>
      <c r="K25" s="190">
        <v>211</v>
      </c>
      <c r="L25" s="190">
        <v>0</v>
      </c>
      <c r="M25" s="190">
        <v>94</v>
      </c>
      <c r="N25" s="190">
        <v>94</v>
      </c>
      <c r="O25" s="190">
        <v>0</v>
      </c>
      <c r="P25" s="190">
        <v>117</v>
      </c>
      <c r="Q25" s="190">
        <v>117</v>
      </c>
      <c r="R25" s="190">
        <v>0</v>
      </c>
      <c r="S25" s="190">
        <v>3</v>
      </c>
      <c r="T25" s="190">
        <v>3</v>
      </c>
      <c r="U25" s="190">
        <v>0</v>
      </c>
      <c r="V25" s="190">
        <v>23</v>
      </c>
      <c r="W25" s="190">
        <v>23</v>
      </c>
      <c r="X25" s="190">
        <v>23</v>
      </c>
      <c r="Y25" s="190">
        <v>673</v>
      </c>
      <c r="Z25" s="190">
        <v>696</v>
      </c>
      <c r="AA25" s="190">
        <v>12</v>
      </c>
      <c r="AB25" s="190">
        <v>297</v>
      </c>
      <c r="AC25" s="190">
        <v>309</v>
      </c>
      <c r="AD25" s="190">
        <v>12</v>
      </c>
      <c r="AE25" s="190">
        <v>288</v>
      </c>
      <c r="AF25" s="190">
        <v>300</v>
      </c>
      <c r="AG25" s="190">
        <v>0</v>
      </c>
      <c r="AH25" s="190">
        <v>5</v>
      </c>
      <c r="AI25" s="190">
        <v>5</v>
      </c>
      <c r="AJ25" s="190">
        <v>0</v>
      </c>
      <c r="AK25" s="190">
        <v>4</v>
      </c>
      <c r="AL25" s="190">
        <v>4</v>
      </c>
      <c r="AM25" s="190">
        <v>11</v>
      </c>
      <c r="AN25" s="190">
        <v>376</v>
      </c>
      <c r="AO25" s="190">
        <v>387</v>
      </c>
      <c r="AP25" s="190">
        <v>1713</v>
      </c>
      <c r="AQ25" s="190">
        <v>9444</v>
      </c>
      <c r="AR25" s="190">
        <v>11157</v>
      </c>
      <c r="AS25" s="190">
        <v>1713</v>
      </c>
      <c r="AT25" s="190">
        <v>9444</v>
      </c>
      <c r="AU25" s="190">
        <v>11157</v>
      </c>
      <c r="AV25" s="190">
        <v>0</v>
      </c>
      <c r="AW25" s="190">
        <v>0</v>
      </c>
      <c r="AX25" s="190">
        <v>0</v>
      </c>
      <c r="AY25" s="190">
        <v>4</v>
      </c>
      <c r="AZ25" s="190">
        <v>735</v>
      </c>
      <c r="BA25" s="190">
        <v>739</v>
      </c>
      <c r="BB25" s="190">
        <v>25</v>
      </c>
      <c r="BC25" s="190">
        <v>0</v>
      </c>
      <c r="BD25" s="190">
        <v>0</v>
      </c>
      <c r="BE25" s="190">
        <v>434</v>
      </c>
      <c r="BF25" s="190">
        <v>2</v>
      </c>
      <c r="BG25" s="190">
        <v>2</v>
      </c>
      <c r="BH25" s="190">
        <v>25</v>
      </c>
      <c r="BI25" s="190">
        <v>438</v>
      </c>
      <c r="BJ25" s="190">
        <v>463</v>
      </c>
      <c r="BK25" s="190">
        <v>-49</v>
      </c>
      <c r="BL25" s="190">
        <v>49</v>
      </c>
      <c r="BM25" s="190">
        <v>0</v>
      </c>
      <c r="BN25" s="190">
        <v>7</v>
      </c>
      <c r="BO25" s="190">
        <v>21</v>
      </c>
      <c r="BP25" s="190">
        <v>28</v>
      </c>
      <c r="BQ25" s="190">
        <v>9</v>
      </c>
      <c r="BR25" s="190">
        <v>72</v>
      </c>
      <c r="BS25" s="190">
        <v>81</v>
      </c>
      <c r="BT25" s="190">
        <v>12</v>
      </c>
      <c r="BU25" s="190">
        <v>155</v>
      </c>
      <c r="BV25" s="190">
        <v>167</v>
      </c>
      <c r="BW25" s="190">
        <v>1717</v>
      </c>
      <c r="BX25" s="190">
        <v>10179</v>
      </c>
      <c r="BY25" s="190">
        <v>11896</v>
      </c>
      <c r="BZ25" s="190">
        <v>1705</v>
      </c>
      <c r="CA25" s="190">
        <v>10118</v>
      </c>
      <c r="CB25" s="190">
        <v>11823</v>
      </c>
      <c r="CC25" s="190">
        <v>28730</v>
      </c>
      <c r="CD25" s="190">
        <v>1</v>
      </c>
      <c r="CE25" s="190">
        <v>64</v>
      </c>
      <c r="CF25" s="190">
        <v>11</v>
      </c>
      <c r="CG25" s="190">
        <v>53</v>
      </c>
      <c r="CH25" s="190">
        <v>64</v>
      </c>
      <c r="CI25" s="190">
        <v>10</v>
      </c>
      <c r="CJ25" s="190">
        <v>2</v>
      </c>
      <c r="CK25" s="190">
        <v>1</v>
      </c>
      <c r="CL25" s="190">
        <v>8</v>
      </c>
      <c r="CM25" s="190">
        <v>9</v>
      </c>
      <c r="CN25" s="190">
        <v>71</v>
      </c>
      <c r="CO25" s="190">
        <v>705</v>
      </c>
      <c r="CP25" s="190">
        <v>776</v>
      </c>
      <c r="CQ25" s="190">
        <v>0</v>
      </c>
      <c r="CR25" s="190">
        <v>0</v>
      </c>
      <c r="CS25" s="190">
        <v>0</v>
      </c>
      <c r="CT25" s="190">
        <v>1646</v>
      </c>
      <c r="CU25" s="190">
        <v>9474</v>
      </c>
      <c r="CV25" s="190">
        <v>11120</v>
      </c>
      <c r="CW25" s="190">
        <v>102</v>
      </c>
      <c r="CX25" s="190">
        <v>513</v>
      </c>
      <c r="CY25" s="190">
        <v>615</v>
      </c>
      <c r="CZ25" s="190">
        <v>101</v>
      </c>
      <c r="DA25" s="190">
        <v>1</v>
      </c>
      <c r="DB25" s="190">
        <v>0</v>
      </c>
      <c r="DC25" s="190">
        <v>508</v>
      </c>
      <c r="DD25" s="190">
        <v>1</v>
      </c>
      <c r="DE25" s="190">
        <v>0</v>
      </c>
      <c r="DF25" s="190">
        <v>102</v>
      </c>
      <c r="DG25" s="190">
        <v>509</v>
      </c>
      <c r="DH25" s="190">
        <v>611</v>
      </c>
      <c r="DI25" s="190">
        <v>0</v>
      </c>
      <c r="DJ25" s="190">
        <v>0</v>
      </c>
      <c r="DK25" s="190">
        <v>0</v>
      </c>
      <c r="DL25" s="190">
        <v>4</v>
      </c>
      <c r="DM25" s="190">
        <v>0</v>
      </c>
      <c r="DN25" s="190">
        <v>0</v>
      </c>
      <c r="DO25" s="190">
        <v>0</v>
      </c>
      <c r="DP25" s="190">
        <v>4</v>
      </c>
      <c r="DQ25" s="190">
        <v>4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453</v>
      </c>
      <c r="C26" s="190">
        <v>70</v>
      </c>
      <c r="D26" s="190">
        <v>414</v>
      </c>
      <c r="E26" s="190">
        <v>293</v>
      </c>
      <c r="F26" s="190">
        <v>0</v>
      </c>
      <c r="G26" s="190">
        <v>14</v>
      </c>
      <c r="H26" s="190">
        <v>14</v>
      </c>
      <c r="I26" s="190">
        <v>0</v>
      </c>
      <c r="J26" s="190">
        <v>99</v>
      </c>
      <c r="K26" s="190">
        <v>99</v>
      </c>
      <c r="L26" s="190">
        <v>0</v>
      </c>
      <c r="M26" s="190">
        <v>38</v>
      </c>
      <c r="N26" s="190">
        <v>38</v>
      </c>
      <c r="O26" s="190">
        <v>0</v>
      </c>
      <c r="P26" s="190">
        <v>61</v>
      </c>
      <c r="Q26" s="190">
        <v>61</v>
      </c>
      <c r="R26" s="190">
        <v>0</v>
      </c>
      <c r="S26" s="190">
        <v>3</v>
      </c>
      <c r="T26" s="190">
        <v>3</v>
      </c>
      <c r="U26" s="190">
        <v>0</v>
      </c>
      <c r="V26" s="190">
        <v>22</v>
      </c>
      <c r="W26" s="190">
        <v>22</v>
      </c>
      <c r="X26" s="190">
        <v>10</v>
      </c>
      <c r="Y26" s="190">
        <v>404</v>
      </c>
      <c r="Z26" s="190">
        <v>414</v>
      </c>
      <c r="AA26" s="190">
        <v>7</v>
      </c>
      <c r="AB26" s="190">
        <v>177</v>
      </c>
      <c r="AC26" s="190">
        <v>184</v>
      </c>
      <c r="AD26" s="190">
        <v>5</v>
      </c>
      <c r="AE26" s="190">
        <v>159</v>
      </c>
      <c r="AF26" s="190">
        <v>164</v>
      </c>
      <c r="AG26" s="190">
        <v>1</v>
      </c>
      <c r="AH26" s="190">
        <v>14</v>
      </c>
      <c r="AI26" s="190">
        <v>15</v>
      </c>
      <c r="AJ26" s="190">
        <v>1</v>
      </c>
      <c r="AK26" s="190">
        <v>4</v>
      </c>
      <c r="AL26" s="190">
        <v>5</v>
      </c>
      <c r="AM26" s="190">
        <v>3</v>
      </c>
      <c r="AN26" s="190">
        <v>227</v>
      </c>
      <c r="AO26" s="190">
        <v>230</v>
      </c>
      <c r="AP26" s="190">
        <v>575</v>
      </c>
      <c r="AQ26" s="190">
        <v>5313</v>
      </c>
      <c r="AR26" s="190">
        <v>5888</v>
      </c>
      <c r="AS26" s="190">
        <v>575</v>
      </c>
      <c r="AT26" s="190">
        <v>5313</v>
      </c>
      <c r="AU26" s="190">
        <v>5888</v>
      </c>
      <c r="AV26" s="190">
        <v>0</v>
      </c>
      <c r="AW26" s="190">
        <v>0</v>
      </c>
      <c r="AX26" s="190">
        <v>0</v>
      </c>
      <c r="AY26" s="190">
        <v>16</v>
      </c>
      <c r="AZ26" s="190">
        <v>432</v>
      </c>
      <c r="BA26" s="190">
        <v>448</v>
      </c>
      <c r="BB26" s="190">
        <v>7</v>
      </c>
      <c r="BC26" s="190">
        <v>4</v>
      </c>
      <c r="BD26" s="190">
        <v>0</v>
      </c>
      <c r="BE26" s="190">
        <v>264</v>
      </c>
      <c r="BF26" s="190">
        <v>8</v>
      </c>
      <c r="BG26" s="190">
        <v>10</v>
      </c>
      <c r="BH26" s="190">
        <v>11</v>
      </c>
      <c r="BI26" s="190">
        <v>282</v>
      </c>
      <c r="BJ26" s="190">
        <v>293</v>
      </c>
      <c r="BK26" s="190">
        <v>-9</v>
      </c>
      <c r="BL26" s="190">
        <v>9</v>
      </c>
      <c r="BM26" s="190">
        <v>0</v>
      </c>
      <c r="BN26" s="190">
        <v>3</v>
      </c>
      <c r="BO26" s="190">
        <v>14</v>
      </c>
      <c r="BP26" s="190">
        <v>17</v>
      </c>
      <c r="BQ26" s="190">
        <v>0</v>
      </c>
      <c r="BR26" s="190">
        <v>39</v>
      </c>
      <c r="BS26" s="190">
        <v>39</v>
      </c>
      <c r="BT26" s="190">
        <v>11</v>
      </c>
      <c r="BU26" s="190">
        <v>88</v>
      </c>
      <c r="BV26" s="190">
        <v>99</v>
      </c>
      <c r="BW26" s="190">
        <v>591</v>
      </c>
      <c r="BX26" s="190">
        <v>5745</v>
      </c>
      <c r="BY26" s="190">
        <v>6336</v>
      </c>
      <c r="BZ26" s="190">
        <v>550</v>
      </c>
      <c r="CA26" s="190">
        <v>5458</v>
      </c>
      <c r="CB26" s="190">
        <v>6008</v>
      </c>
      <c r="CC26" s="190">
        <v>9994</v>
      </c>
      <c r="CD26" s="190">
        <v>5</v>
      </c>
      <c r="CE26" s="190">
        <v>297</v>
      </c>
      <c r="CF26" s="190">
        <v>39</v>
      </c>
      <c r="CG26" s="190">
        <v>210</v>
      </c>
      <c r="CH26" s="190">
        <v>249</v>
      </c>
      <c r="CI26" s="190">
        <v>71</v>
      </c>
      <c r="CJ26" s="190">
        <v>26</v>
      </c>
      <c r="CK26" s="190">
        <v>2</v>
      </c>
      <c r="CL26" s="190">
        <v>77</v>
      </c>
      <c r="CM26" s="190">
        <v>79</v>
      </c>
      <c r="CN26" s="190">
        <v>33</v>
      </c>
      <c r="CO26" s="190">
        <v>440</v>
      </c>
      <c r="CP26" s="190">
        <v>473</v>
      </c>
      <c r="CQ26" s="190">
        <v>0</v>
      </c>
      <c r="CR26" s="190">
        <v>0</v>
      </c>
      <c r="CS26" s="190">
        <v>0</v>
      </c>
      <c r="CT26" s="190">
        <v>558</v>
      </c>
      <c r="CU26" s="190">
        <v>5305</v>
      </c>
      <c r="CV26" s="190">
        <v>5863</v>
      </c>
      <c r="CW26" s="190">
        <v>29</v>
      </c>
      <c r="CX26" s="190">
        <v>198</v>
      </c>
      <c r="CY26" s="190">
        <v>227</v>
      </c>
      <c r="CZ26" s="190">
        <v>26</v>
      </c>
      <c r="DA26" s="190">
        <v>2</v>
      </c>
      <c r="DB26" s="190">
        <v>1</v>
      </c>
      <c r="DC26" s="190">
        <v>186</v>
      </c>
      <c r="DD26" s="190">
        <v>10</v>
      </c>
      <c r="DE26" s="190">
        <v>0</v>
      </c>
      <c r="DF26" s="190">
        <v>29</v>
      </c>
      <c r="DG26" s="190">
        <v>196</v>
      </c>
      <c r="DH26" s="190">
        <v>225</v>
      </c>
      <c r="DI26" s="190">
        <v>0</v>
      </c>
      <c r="DJ26" s="190">
        <v>0</v>
      </c>
      <c r="DK26" s="190">
        <v>0</v>
      </c>
      <c r="DL26" s="190">
        <v>2</v>
      </c>
      <c r="DM26" s="190">
        <v>0</v>
      </c>
      <c r="DN26" s="190">
        <v>0</v>
      </c>
      <c r="DO26" s="190">
        <v>0</v>
      </c>
      <c r="DP26" s="190">
        <v>2</v>
      </c>
      <c r="DQ26" s="190">
        <v>2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65</v>
      </c>
      <c r="C27" s="190">
        <v>9</v>
      </c>
      <c r="D27" s="190">
        <v>45</v>
      </c>
      <c r="E27" s="190">
        <v>21</v>
      </c>
      <c r="F27" s="190">
        <v>0</v>
      </c>
      <c r="G27" s="190">
        <v>0</v>
      </c>
      <c r="H27" s="190">
        <v>0</v>
      </c>
      <c r="I27" s="190">
        <v>0</v>
      </c>
      <c r="J27" s="190">
        <v>19</v>
      </c>
      <c r="K27" s="190">
        <v>19</v>
      </c>
      <c r="L27" s="190">
        <v>0</v>
      </c>
      <c r="M27" s="190">
        <v>3</v>
      </c>
      <c r="N27" s="190">
        <v>3</v>
      </c>
      <c r="O27" s="190">
        <v>0</v>
      </c>
      <c r="P27" s="190">
        <v>16</v>
      </c>
      <c r="Q27" s="190">
        <v>16</v>
      </c>
      <c r="R27" s="190">
        <v>0</v>
      </c>
      <c r="S27" s="190">
        <v>0</v>
      </c>
      <c r="T27" s="190">
        <v>0</v>
      </c>
      <c r="U27" s="190">
        <v>0</v>
      </c>
      <c r="V27" s="190">
        <v>5</v>
      </c>
      <c r="W27" s="190">
        <v>5</v>
      </c>
      <c r="X27" s="190">
        <v>1</v>
      </c>
      <c r="Y27" s="190">
        <v>44</v>
      </c>
      <c r="Z27" s="190">
        <v>45</v>
      </c>
      <c r="AA27" s="190">
        <v>1</v>
      </c>
      <c r="AB27" s="190">
        <v>16</v>
      </c>
      <c r="AC27" s="190">
        <v>17</v>
      </c>
      <c r="AD27" s="190">
        <v>1</v>
      </c>
      <c r="AE27" s="190">
        <v>15</v>
      </c>
      <c r="AF27" s="190">
        <v>16</v>
      </c>
      <c r="AG27" s="190">
        <v>0</v>
      </c>
      <c r="AH27" s="190">
        <v>1</v>
      </c>
      <c r="AI27" s="190">
        <v>1</v>
      </c>
      <c r="AJ27" s="190">
        <v>0</v>
      </c>
      <c r="AK27" s="190">
        <v>0</v>
      </c>
      <c r="AL27" s="190">
        <v>0</v>
      </c>
      <c r="AM27" s="190">
        <v>0</v>
      </c>
      <c r="AN27" s="190">
        <v>28</v>
      </c>
      <c r="AO27" s="190">
        <v>28</v>
      </c>
      <c r="AP27" s="190">
        <v>111</v>
      </c>
      <c r="AQ27" s="190">
        <v>938</v>
      </c>
      <c r="AR27" s="190">
        <v>1049</v>
      </c>
      <c r="AS27" s="190">
        <v>112</v>
      </c>
      <c r="AT27" s="190">
        <v>938</v>
      </c>
      <c r="AU27" s="190">
        <v>1050</v>
      </c>
      <c r="AV27" s="190">
        <v>-1</v>
      </c>
      <c r="AW27" s="190">
        <v>0</v>
      </c>
      <c r="AX27" s="190">
        <v>-1</v>
      </c>
      <c r="AY27" s="190">
        <v>3</v>
      </c>
      <c r="AZ27" s="190">
        <v>43</v>
      </c>
      <c r="BA27" s="190">
        <v>46</v>
      </c>
      <c r="BB27" s="190">
        <v>1</v>
      </c>
      <c r="BC27" s="190">
        <v>0</v>
      </c>
      <c r="BD27" s="190">
        <v>0</v>
      </c>
      <c r="BE27" s="190">
        <v>20</v>
      </c>
      <c r="BF27" s="190">
        <v>0</v>
      </c>
      <c r="BG27" s="190">
        <v>0</v>
      </c>
      <c r="BH27" s="190">
        <v>1</v>
      </c>
      <c r="BI27" s="190">
        <v>20</v>
      </c>
      <c r="BJ27" s="190">
        <v>21</v>
      </c>
      <c r="BK27" s="190">
        <v>-3</v>
      </c>
      <c r="BL27" s="190">
        <v>3</v>
      </c>
      <c r="BM27" s="190">
        <v>0</v>
      </c>
      <c r="BN27" s="190">
        <v>2</v>
      </c>
      <c r="BO27" s="190">
        <v>5</v>
      </c>
      <c r="BP27" s="190">
        <v>7</v>
      </c>
      <c r="BQ27" s="190">
        <v>1</v>
      </c>
      <c r="BR27" s="190">
        <v>5</v>
      </c>
      <c r="BS27" s="190">
        <v>6</v>
      </c>
      <c r="BT27" s="190">
        <v>2</v>
      </c>
      <c r="BU27" s="190">
        <v>10</v>
      </c>
      <c r="BV27" s="190">
        <v>12</v>
      </c>
      <c r="BW27" s="190">
        <v>114</v>
      </c>
      <c r="BX27" s="190">
        <v>981</v>
      </c>
      <c r="BY27" s="190">
        <v>1095</v>
      </c>
      <c r="BZ27" s="190">
        <v>113</v>
      </c>
      <c r="CA27" s="190">
        <v>977</v>
      </c>
      <c r="CB27" s="190">
        <v>1090</v>
      </c>
      <c r="CC27" s="190">
        <v>2006</v>
      </c>
      <c r="CD27" s="190">
        <v>1</v>
      </c>
      <c r="CE27" s="190">
        <v>2</v>
      </c>
      <c r="CF27" s="190">
        <v>1</v>
      </c>
      <c r="CG27" s="190">
        <v>2</v>
      </c>
      <c r="CH27" s="190">
        <v>3</v>
      </c>
      <c r="CI27" s="190">
        <v>2</v>
      </c>
      <c r="CJ27" s="190">
        <v>0</v>
      </c>
      <c r="CK27" s="190">
        <v>0</v>
      </c>
      <c r="CL27" s="190">
        <v>2</v>
      </c>
      <c r="CM27" s="190">
        <v>2</v>
      </c>
      <c r="CN27" s="190">
        <v>6</v>
      </c>
      <c r="CO27" s="190">
        <v>57</v>
      </c>
      <c r="CP27" s="190">
        <v>63</v>
      </c>
      <c r="CQ27" s="190">
        <v>0</v>
      </c>
      <c r="CR27" s="190">
        <v>0</v>
      </c>
      <c r="CS27" s="190">
        <v>0</v>
      </c>
      <c r="CT27" s="190">
        <v>108</v>
      </c>
      <c r="CU27" s="190">
        <v>924</v>
      </c>
      <c r="CV27" s="190">
        <v>1032</v>
      </c>
      <c r="CW27" s="190">
        <v>7</v>
      </c>
      <c r="CX27" s="190">
        <v>43</v>
      </c>
      <c r="CY27" s="190">
        <v>50</v>
      </c>
      <c r="CZ27" s="190">
        <v>7</v>
      </c>
      <c r="DA27" s="190">
        <v>0</v>
      </c>
      <c r="DB27" s="190">
        <v>0</v>
      </c>
      <c r="DC27" s="190">
        <v>42</v>
      </c>
      <c r="DD27" s="190">
        <v>0</v>
      </c>
      <c r="DE27" s="190">
        <v>0</v>
      </c>
      <c r="DF27" s="190">
        <v>7</v>
      </c>
      <c r="DG27" s="190">
        <v>42</v>
      </c>
      <c r="DH27" s="190">
        <v>49</v>
      </c>
      <c r="DI27" s="190">
        <v>0</v>
      </c>
      <c r="DJ27" s="190">
        <v>0</v>
      </c>
      <c r="DK27" s="190">
        <v>0</v>
      </c>
      <c r="DL27" s="190">
        <v>1</v>
      </c>
      <c r="DM27" s="190">
        <v>0</v>
      </c>
      <c r="DN27" s="190">
        <v>0</v>
      </c>
      <c r="DO27" s="190">
        <v>0</v>
      </c>
      <c r="DP27" s="190">
        <v>1</v>
      </c>
      <c r="DQ27" s="190">
        <v>1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424</v>
      </c>
      <c r="C28" s="190">
        <v>45</v>
      </c>
      <c r="D28" s="190">
        <v>411</v>
      </c>
      <c r="E28" s="190">
        <v>320</v>
      </c>
      <c r="F28" s="190">
        <v>2</v>
      </c>
      <c r="G28" s="190">
        <v>17</v>
      </c>
      <c r="H28" s="190">
        <v>19</v>
      </c>
      <c r="I28" s="190">
        <v>0</v>
      </c>
      <c r="J28" s="190">
        <v>83</v>
      </c>
      <c r="K28" s="190">
        <v>83</v>
      </c>
      <c r="L28" s="190">
        <v>0</v>
      </c>
      <c r="M28" s="190">
        <v>36</v>
      </c>
      <c r="N28" s="190">
        <v>36</v>
      </c>
      <c r="O28" s="190">
        <v>0</v>
      </c>
      <c r="P28" s="190">
        <v>47</v>
      </c>
      <c r="Q28" s="190">
        <v>47</v>
      </c>
      <c r="R28" s="190">
        <v>0</v>
      </c>
      <c r="S28" s="190">
        <v>2</v>
      </c>
      <c r="T28" s="190">
        <v>2</v>
      </c>
      <c r="U28" s="190">
        <v>0</v>
      </c>
      <c r="V28" s="190">
        <v>8</v>
      </c>
      <c r="W28" s="190">
        <v>8</v>
      </c>
      <c r="X28" s="190">
        <v>16</v>
      </c>
      <c r="Y28" s="190">
        <v>392</v>
      </c>
      <c r="Z28" s="190">
        <v>408</v>
      </c>
      <c r="AA28" s="190">
        <v>10</v>
      </c>
      <c r="AB28" s="190">
        <v>209</v>
      </c>
      <c r="AC28" s="190">
        <v>219</v>
      </c>
      <c r="AD28" s="190">
        <v>10</v>
      </c>
      <c r="AE28" s="190">
        <v>207</v>
      </c>
      <c r="AF28" s="190">
        <v>217</v>
      </c>
      <c r="AG28" s="190">
        <v>0</v>
      </c>
      <c r="AH28" s="190">
        <v>2</v>
      </c>
      <c r="AI28" s="190">
        <v>2</v>
      </c>
      <c r="AJ28" s="190">
        <v>0</v>
      </c>
      <c r="AK28" s="190">
        <v>0</v>
      </c>
      <c r="AL28" s="190">
        <v>0</v>
      </c>
      <c r="AM28" s="190">
        <v>6</v>
      </c>
      <c r="AN28" s="190">
        <v>183</v>
      </c>
      <c r="AO28" s="190">
        <v>189</v>
      </c>
      <c r="AP28" s="190">
        <v>581</v>
      </c>
      <c r="AQ28" s="190">
        <v>5722</v>
      </c>
      <c r="AR28" s="190">
        <v>6303</v>
      </c>
      <c r="AS28" s="190">
        <v>581</v>
      </c>
      <c r="AT28" s="190">
        <v>5722</v>
      </c>
      <c r="AU28" s="190">
        <v>6303</v>
      </c>
      <c r="AV28" s="190">
        <v>0</v>
      </c>
      <c r="AW28" s="190">
        <v>0</v>
      </c>
      <c r="AX28" s="190">
        <v>0</v>
      </c>
      <c r="AY28" s="190">
        <v>29</v>
      </c>
      <c r="AZ28" s="190">
        <v>460</v>
      </c>
      <c r="BA28" s="190">
        <v>489</v>
      </c>
      <c r="BB28" s="190">
        <v>17</v>
      </c>
      <c r="BC28" s="190">
        <v>0</v>
      </c>
      <c r="BD28" s="190">
        <v>0</v>
      </c>
      <c r="BE28" s="190">
        <v>301</v>
      </c>
      <c r="BF28" s="190">
        <v>1</v>
      </c>
      <c r="BG28" s="190">
        <v>1</v>
      </c>
      <c r="BH28" s="190">
        <v>17</v>
      </c>
      <c r="BI28" s="190">
        <v>303</v>
      </c>
      <c r="BJ28" s="190">
        <v>320</v>
      </c>
      <c r="BK28" s="190">
        <v>-9</v>
      </c>
      <c r="BL28" s="190">
        <v>9</v>
      </c>
      <c r="BM28" s="190">
        <v>0</v>
      </c>
      <c r="BN28" s="190">
        <v>4</v>
      </c>
      <c r="BO28" s="190">
        <v>9</v>
      </c>
      <c r="BP28" s="190">
        <v>13</v>
      </c>
      <c r="BQ28" s="190">
        <v>4</v>
      </c>
      <c r="BR28" s="190">
        <v>45</v>
      </c>
      <c r="BS28" s="190">
        <v>49</v>
      </c>
      <c r="BT28" s="190">
        <v>13</v>
      </c>
      <c r="BU28" s="190">
        <v>94</v>
      </c>
      <c r="BV28" s="190">
        <v>107</v>
      </c>
      <c r="BW28" s="190">
        <v>610</v>
      </c>
      <c r="BX28" s="190">
        <v>6182</v>
      </c>
      <c r="BY28" s="190">
        <v>6792</v>
      </c>
      <c r="BZ28" s="190">
        <v>608</v>
      </c>
      <c r="CA28" s="190">
        <v>6133</v>
      </c>
      <c r="CB28" s="190">
        <v>6741</v>
      </c>
      <c r="CC28" s="190">
        <v>12588</v>
      </c>
      <c r="CD28" s="190">
        <v>4</v>
      </c>
      <c r="CE28" s="190">
        <v>39</v>
      </c>
      <c r="CF28" s="190">
        <v>2</v>
      </c>
      <c r="CG28" s="190">
        <v>40</v>
      </c>
      <c r="CH28" s="190">
        <v>42</v>
      </c>
      <c r="CI28" s="190">
        <v>10</v>
      </c>
      <c r="CJ28" s="190">
        <v>1</v>
      </c>
      <c r="CK28" s="190">
        <v>0</v>
      </c>
      <c r="CL28" s="190">
        <v>9</v>
      </c>
      <c r="CM28" s="190">
        <v>9</v>
      </c>
      <c r="CN28" s="190">
        <v>49</v>
      </c>
      <c r="CO28" s="190">
        <v>534</v>
      </c>
      <c r="CP28" s="190">
        <v>583</v>
      </c>
      <c r="CQ28" s="190">
        <v>0</v>
      </c>
      <c r="CR28" s="190">
        <v>0</v>
      </c>
      <c r="CS28" s="190">
        <v>0</v>
      </c>
      <c r="CT28" s="190">
        <v>561</v>
      </c>
      <c r="CU28" s="190">
        <v>5648</v>
      </c>
      <c r="CV28" s="190">
        <v>6209</v>
      </c>
      <c r="CW28" s="190">
        <v>28</v>
      </c>
      <c r="CX28" s="190">
        <v>176</v>
      </c>
      <c r="CY28" s="190">
        <v>204</v>
      </c>
      <c r="CZ28" s="190">
        <v>28</v>
      </c>
      <c r="DA28" s="190">
        <v>0</v>
      </c>
      <c r="DB28" s="190">
        <v>0</v>
      </c>
      <c r="DC28" s="190">
        <v>170</v>
      </c>
      <c r="DD28" s="190">
        <v>1</v>
      </c>
      <c r="DE28" s="190">
        <v>0</v>
      </c>
      <c r="DF28" s="190">
        <v>28</v>
      </c>
      <c r="DG28" s="190">
        <v>171</v>
      </c>
      <c r="DH28" s="190">
        <v>199</v>
      </c>
      <c r="DI28" s="190">
        <v>0</v>
      </c>
      <c r="DJ28" s="190">
        <v>0</v>
      </c>
      <c r="DK28" s="190">
        <v>0</v>
      </c>
      <c r="DL28" s="190">
        <v>5</v>
      </c>
      <c r="DM28" s="190">
        <v>0</v>
      </c>
      <c r="DN28" s="190">
        <v>0</v>
      </c>
      <c r="DO28" s="190">
        <v>0</v>
      </c>
      <c r="DP28" s="190">
        <v>5</v>
      </c>
      <c r="DQ28" s="190">
        <v>5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1433</v>
      </c>
      <c r="C29" s="190">
        <v>254</v>
      </c>
      <c r="D29" s="190">
        <v>1261</v>
      </c>
      <c r="E29" s="190">
        <v>736</v>
      </c>
      <c r="F29" s="190">
        <v>4</v>
      </c>
      <c r="G29" s="190">
        <v>17</v>
      </c>
      <c r="H29" s="190">
        <v>21</v>
      </c>
      <c r="I29" s="190">
        <v>0</v>
      </c>
      <c r="J29" s="190">
        <v>398</v>
      </c>
      <c r="K29" s="190">
        <v>398</v>
      </c>
      <c r="L29" s="190">
        <v>0</v>
      </c>
      <c r="M29" s="190">
        <v>132</v>
      </c>
      <c r="N29" s="190">
        <v>132</v>
      </c>
      <c r="O29" s="190">
        <v>0</v>
      </c>
      <c r="P29" s="190">
        <v>266</v>
      </c>
      <c r="Q29" s="190">
        <v>266</v>
      </c>
      <c r="R29" s="190">
        <v>0</v>
      </c>
      <c r="S29" s="190">
        <v>18</v>
      </c>
      <c r="T29" s="190">
        <v>18</v>
      </c>
      <c r="U29" s="190">
        <v>0</v>
      </c>
      <c r="V29" s="190">
        <v>127</v>
      </c>
      <c r="W29" s="190">
        <v>127</v>
      </c>
      <c r="X29" s="190">
        <v>60</v>
      </c>
      <c r="Y29" s="190">
        <v>1201</v>
      </c>
      <c r="Z29" s="190">
        <v>1261</v>
      </c>
      <c r="AA29" s="190">
        <v>41</v>
      </c>
      <c r="AB29" s="190">
        <v>501</v>
      </c>
      <c r="AC29" s="190">
        <v>542</v>
      </c>
      <c r="AD29" s="190">
        <v>37</v>
      </c>
      <c r="AE29" s="190">
        <v>487</v>
      </c>
      <c r="AF29" s="190">
        <v>524</v>
      </c>
      <c r="AG29" s="190">
        <v>3</v>
      </c>
      <c r="AH29" s="190">
        <v>10</v>
      </c>
      <c r="AI29" s="190">
        <v>13</v>
      </c>
      <c r="AJ29" s="190">
        <v>1</v>
      </c>
      <c r="AK29" s="190">
        <v>4</v>
      </c>
      <c r="AL29" s="190">
        <v>5</v>
      </c>
      <c r="AM29" s="190">
        <v>19</v>
      </c>
      <c r="AN29" s="190">
        <v>700</v>
      </c>
      <c r="AO29" s="190">
        <v>719</v>
      </c>
      <c r="AP29" s="190">
        <v>3919</v>
      </c>
      <c r="AQ29" s="190">
        <v>19312</v>
      </c>
      <c r="AR29" s="190">
        <v>23231</v>
      </c>
      <c r="AS29" s="190">
        <v>3919</v>
      </c>
      <c r="AT29" s="190">
        <v>19313</v>
      </c>
      <c r="AU29" s="190">
        <v>23232</v>
      </c>
      <c r="AV29" s="190">
        <v>0</v>
      </c>
      <c r="AW29" s="190">
        <v>-1</v>
      </c>
      <c r="AX29" s="190">
        <v>-1</v>
      </c>
      <c r="AY29" s="190">
        <v>86</v>
      </c>
      <c r="AZ29" s="190">
        <v>1413</v>
      </c>
      <c r="BA29" s="190">
        <v>1499</v>
      </c>
      <c r="BB29" s="190">
        <v>62</v>
      </c>
      <c r="BC29" s="190">
        <v>1</v>
      </c>
      <c r="BD29" s="190">
        <v>0</v>
      </c>
      <c r="BE29" s="190">
        <v>669</v>
      </c>
      <c r="BF29" s="190">
        <v>2</v>
      </c>
      <c r="BG29" s="190">
        <v>2</v>
      </c>
      <c r="BH29" s="190">
        <v>63</v>
      </c>
      <c r="BI29" s="190">
        <v>673</v>
      </c>
      <c r="BJ29" s="190">
        <v>736</v>
      </c>
      <c r="BK29" s="190">
        <v>-90</v>
      </c>
      <c r="BL29" s="190">
        <v>90</v>
      </c>
      <c r="BM29" s="190">
        <v>0</v>
      </c>
      <c r="BN29" s="190">
        <v>12</v>
      </c>
      <c r="BO29" s="190">
        <v>43</v>
      </c>
      <c r="BP29" s="190">
        <v>55</v>
      </c>
      <c r="BQ29" s="190">
        <v>30</v>
      </c>
      <c r="BR29" s="190">
        <v>213</v>
      </c>
      <c r="BS29" s="190">
        <v>243</v>
      </c>
      <c r="BT29" s="190">
        <v>71</v>
      </c>
      <c r="BU29" s="190">
        <v>394</v>
      </c>
      <c r="BV29" s="190">
        <v>465</v>
      </c>
      <c r="BW29" s="190">
        <v>4005</v>
      </c>
      <c r="BX29" s="190">
        <v>20725</v>
      </c>
      <c r="BY29" s="190">
        <v>24730</v>
      </c>
      <c r="BZ29" s="190">
        <v>3977</v>
      </c>
      <c r="CA29" s="190">
        <v>20626</v>
      </c>
      <c r="CB29" s="190">
        <v>24603</v>
      </c>
      <c r="CC29" s="190">
        <v>56703</v>
      </c>
      <c r="CD29" s="190">
        <v>6</v>
      </c>
      <c r="CE29" s="190">
        <v>116</v>
      </c>
      <c r="CF29" s="190">
        <v>28</v>
      </c>
      <c r="CG29" s="190">
        <v>84</v>
      </c>
      <c r="CH29" s="190">
        <v>112</v>
      </c>
      <c r="CI29" s="190">
        <v>11</v>
      </c>
      <c r="CJ29" s="190">
        <v>5</v>
      </c>
      <c r="CK29" s="190">
        <v>0</v>
      </c>
      <c r="CL29" s="190">
        <v>15</v>
      </c>
      <c r="CM29" s="190">
        <v>15</v>
      </c>
      <c r="CN29" s="190">
        <v>200</v>
      </c>
      <c r="CO29" s="190">
        <v>1472</v>
      </c>
      <c r="CP29" s="190">
        <v>1672</v>
      </c>
      <c r="CQ29" s="190">
        <v>0</v>
      </c>
      <c r="CR29" s="190">
        <v>0</v>
      </c>
      <c r="CS29" s="190">
        <v>0</v>
      </c>
      <c r="CT29" s="190">
        <v>3805</v>
      </c>
      <c r="CU29" s="190">
        <v>19253</v>
      </c>
      <c r="CV29" s="190">
        <v>23058</v>
      </c>
      <c r="CW29" s="190">
        <v>233</v>
      </c>
      <c r="CX29" s="190">
        <v>1017</v>
      </c>
      <c r="CY29" s="190">
        <v>1250</v>
      </c>
      <c r="CZ29" s="190">
        <v>231</v>
      </c>
      <c r="DA29" s="190">
        <v>2</v>
      </c>
      <c r="DB29" s="190">
        <v>0</v>
      </c>
      <c r="DC29" s="190">
        <v>998</v>
      </c>
      <c r="DD29" s="190">
        <v>3</v>
      </c>
      <c r="DE29" s="190">
        <v>0</v>
      </c>
      <c r="DF29" s="190">
        <v>233</v>
      </c>
      <c r="DG29" s="190">
        <v>1001</v>
      </c>
      <c r="DH29" s="190">
        <v>1234</v>
      </c>
      <c r="DI29" s="190">
        <v>0</v>
      </c>
      <c r="DJ29" s="190">
        <v>0</v>
      </c>
      <c r="DK29" s="190">
        <v>0</v>
      </c>
      <c r="DL29" s="190">
        <v>16</v>
      </c>
      <c r="DM29" s="190">
        <v>0</v>
      </c>
      <c r="DN29" s="190">
        <v>0</v>
      </c>
      <c r="DO29" s="190">
        <v>0</v>
      </c>
      <c r="DP29" s="190">
        <v>16</v>
      </c>
      <c r="DQ29" s="190">
        <v>16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39</v>
      </c>
      <c r="C30" s="190">
        <v>2</v>
      </c>
      <c r="D30" s="190">
        <v>37</v>
      </c>
      <c r="E30" s="190">
        <v>26</v>
      </c>
      <c r="F30" s="190">
        <v>0</v>
      </c>
      <c r="G30" s="190">
        <v>0</v>
      </c>
      <c r="H30" s="190">
        <v>0</v>
      </c>
      <c r="I30" s="190">
        <v>0</v>
      </c>
      <c r="J30" s="190">
        <v>11</v>
      </c>
      <c r="K30" s="190">
        <v>11</v>
      </c>
      <c r="L30" s="190">
        <v>0</v>
      </c>
      <c r="M30" s="190">
        <v>4</v>
      </c>
      <c r="N30" s="190">
        <v>4</v>
      </c>
      <c r="O30" s="190">
        <v>0</v>
      </c>
      <c r="P30" s="190">
        <v>7</v>
      </c>
      <c r="Q30" s="190">
        <v>7</v>
      </c>
      <c r="R30" s="190">
        <v>0</v>
      </c>
      <c r="S30" s="190">
        <v>2</v>
      </c>
      <c r="T30" s="190">
        <v>2</v>
      </c>
      <c r="U30" s="190">
        <v>0</v>
      </c>
      <c r="V30" s="190">
        <v>0</v>
      </c>
      <c r="W30" s="190">
        <v>0</v>
      </c>
      <c r="X30" s="190">
        <v>1</v>
      </c>
      <c r="Y30" s="190">
        <v>36</v>
      </c>
      <c r="Z30" s="190">
        <v>37</v>
      </c>
      <c r="AA30" s="190">
        <v>0</v>
      </c>
      <c r="AB30" s="190">
        <v>18</v>
      </c>
      <c r="AC30" s="190">
        <v>18</v>
      </c>
      <c r="AD30" s="190">
        <v>0</v>
      </c>
      <c r="AE30" s="190">
        <v>17</v>
      </c>
      <c r="AF30" s="190">
        <v>17</v>
      </c>
      <c r="AG30" s="190">
        <v>0</v>
      </c>
      <c r="AH30" s="190">
        <v>0</v>
      </c>
      <c r="AI30" s="190">
        <v>0</v>
      </c>
      <c r="AJ30" s="190">
        <v>0</v>
      </c>
      <c r="AK30" s="190">
        <v>1</v>
      </c>
      <c r="AL30" s="190">
        <v>1</v>
      </c>
      <c r="AM30" s="190">
        <v>1</v>
      </c>
      <c r="AN30" s="190">
        <v>18</v>
      </c>
      <c r="AO30" s="190">
        <v>19</v>
      </c>
      <c r="AP30" s="190">
        <v>65</v>
      </c>
      <c r="AQ30" s="190">
        <v>428</v>
      </c>
      <c r="AR30" s="190">
        <v>493</v>
      </c>
      <c r="AS30" s="190">
        <v>65</v>
      </c>
      <c r="AT30" s="190">
        <v>428</v>
      </c>
      <c r="AU30" s="190">
        <v>493</v>
      </c>
      <c r="AV30" s="190">
        <v>0</v>
      </c>
      <c r="AW30" s="190">
        <v>0</v>
      </c>
      <c r="AX30" s="190">
        <v>0</v>
      </c>
      <c r="AY30" s="190">
        <v>9</v>
      </c>
      <c r="AZ30" s="190">
        <v>33</v>
      </c>
      <c r="BA30" s="190">
        <v>42</v>
      </c>
      <c r="BB30" s="190">
        <v>2</v>
      </c>
      <c r="BC30" s="190">
        <v>0</v>
      </c>
      <c r="BD30" s="190">
        <v>0</v>
      </c>
      <c r="BE30" s="190">
        <v>24</v>
      </c>
      <c r="BF30" s="190">
        <v>0</v>
      </c>
      <c r="BG30" s="190">
        <v>0</v>
      </c>
      <c r="BH30" s="190">
        <v>2</v>
      </c>
      <c r="BI30" s="190">
        <v>24</v>
      </c>
      <c r="BJ30" s="190">
        <v>26</v>
      </c>
      <c r="BK30" s="190">
        <v>6</v>
      </c>
      <c r="BL30" s="190">
        <v>-6</v>
      </c>
      <c r="BM30" s="190">
        <v>0</v>
      </c>
      <c r="BN30" s="190">
        <v>0</v>
      </c>
      <c r="BO30" s="190">
        <v>1</v>
      </c>
      <c r="BP30" s="190">
        <v>1</v>
      </c>
      <c r="BQ30" s="190">
        <v>0</v>
      </c>
      <c r="BR30" s="190">
        <v>5</v>
      </c>
      <c r="BS30" s="190">
        <v>5</v>
      </c>
      <c r="BT30" s="190">
        <v>1</v>
      </c>
      <c r="BU30" s="190">
        <v>9</v>
      </c>
      <c r="BV30" s="190">
        <v>10</v>
      </c>
      <c r="BW30" s="190">
        <v>74</v>
      </c>
      <c r="BX30" s="190">
        <v>461</v>
      </c>
      <c r="BY30" s="190">
        <v>535</v>
      </c>
      <c r="BZ30" s="190">
        <v>73</v>
      </c>
      <c r="CA30" s="190">
        <v>460</v>
      </c>
      <c r="CB30" s="190">
        <v>533</v>
      </c>
      <c r="CC30" s="190">
        <v>1119</v>
      </c>
      <c r="CD30" s="190">
        <v>0</v>
      </c>
      <c r="CE30" s="190">
        <v>2</v>
      </c>
      <c r="CF30" s="190">
        <v>1</v>
      </c>
      <c r="CG30" s="190">
        <v>1</v>
      </c>
      <c r="CH30" s="190">
        <v>2</v>
      </c>
      <c r="CI30" s="190">
        <v>0</v>
      </c>
      <c r="CJ30" s="190">
        <v>0</v>
      </c>
      <c r="CK30" s="190">
        <v>0</v>
      </c>
      <c r="CL30" s="190">
        <v>0</v>
      </c>
      <c r="CM30" s="190">
        <v>0</v>
      </c>
      <c r="CN30" s="190">
        <v>7</v>
      </c>
      <c r="CO30" s="190">
        <v>37</v>
      </c>
      <c r="CP30" s="190">
        <v>44</v>
      </c>
      <c r="CQ30" s="190">
        <v>0</v>
      </c>
      <c r="CR30" s="190">
        <v>0</v>
      </c>
      <c r="CS30" s="190">
        <v>0</v>
      </c>
      <c r="CT30" s="190">
        <v>67</v>
      </c>
      <c r="CU30" s="190">
        <v>424</v>
      </c>
      <c r="CV30" s="190">
        <v>491</v>
      </c>
      <c r="CW30" s="190">
        <v>0</v>
      </c>
      <c r="CX30" s="190">
        <v>16</v>
      </c>
      <c r="CY30" s="190">
        <v>16</v>
      </c>
      <c r="CZ30" s="190">
        <v>0</v>
      </c>
      <c r="DA30" s="190">
        <v>0</v>
      </c>
      <c r="DB30" s="190">
        <v>0</v>
      </c>
      <c r="DC30" s="190">
        <v>16</v>
      </c>
      <c r="DD30" s="190">
        <v>0</v>
      </c>
      <c r="DE30" s="190">
        <v>0</v>
      </c>
      <c r="DF30" s="190">
        <v>0</v>
      </c>
      <c r="DG30" s="190">
        <v>16</v>
      </c>
      <c r="DH30" s="190">
        <v>16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44</v>
      </c>
      <c r="C31" s="190">
        <v>5</v>
      </c>
      <c r="D31" s="190">
        <v>29</v>
      </c>
      <c r="E31" s="190">
        <v>20</v>
      </c>
      <c r="F31" s="190">
        <v>0</v>
      </c>
      <c r="G31" s="190">
        <v>1</v>
      </c>
      <c r="H31" s="190">
        <v>1</v>
      </c>
      <c r="I31" s="190">
        <v>0</v>
      </c>
      <c r="J31" s="190">
        <v>6</v>
      </c>
      <c r="K31" s="190">
        <v>6</v>
      </c>
      <c r="L31" s="190">
        <v>0</v>
      </c>
      <c r="M31" s="190">
        <v>1</v>
      </c>
      <c r="N31" s="190">
        <v>1</v>
      </c>
      <c r="O31" s="190">
        <v>0</v>
      </c>
      <c r="P31" s="190">
        <v>5</v>
      </c>
      <c r="Q31" s="190">
        <v>5</v>
      </c>
      <c r="R31" s="190">
        <v>0</v>
      </c>
      <c r="S31" s="190">
        <v>0</v>
      </c>
      <c r="T31" s="190">
        <v>0</v>
      </c>
      <c r="U31" s="190">
        <v>0</v>
      </c>
      <c r="V31" s="190">
        <v>3</v>
      </c>
      <c r="W31" s="190">
        <v>3</v>
      </c>
      <c r="X31" s="190">
        <v>0</v>
      </c>
      <c r="Y31" s="190">
        <v>29</v>
      </c>
      <c r="Z31" s="190">
        <v>29</v>
      </c>
      <c r="AA31" s="190">
        <v>0</v>
      </c>
      <c r="AB31" s="190">
        <v>13</v>
      </c>
      <c r="AC31" s="190">
        <v>13</v>
      </c>
      <c r="AD31" s="190">
        <v>0</v>
      </c>
      <c r="AE31" s="190">
        <v>12</v>
      </c>
      <c r="AF31" s="190">
        <v>12</v>
      </c>
      <c r="AG31" s="190">
        <v>0</v>
      </c>
      <c r="AH31" s="190">
        <v>1</v>
      </c>
      <c r="AI31" s="190">
        <v>1</v>
      </c>
      <c r="AJ31" s="190">
        <v>0</v>
      </c>
      <c r="AK31" s="190">
        <v>0</v>
      </c>
      <c r="AL31" s="190">
        <v>0</v>
      </c>
      <c r="AM31" s="190">
        <v>0</v>
      </c>
      <c r="AN31" s="190">
        <v>16</v>
      </c>
      <c r="AO31" s="190">
        <v>16</v>
      </c>
      <c r="AP31" s="190">
        <v>15</v>
      </c>
      <c r="AQ31" s="190">
        <v>414</v>
      </c>
      <c r="AR31" s="190">
        <v>429</v>
      </c>
      <c r="AS31" s="190">
        <v>15</v>
      </c>
      <c r="AT31" s="190">
        <v>414</v>
      </c>
      <c r="AU31" s="190">
        <v>429</v>
      </c>
      <c r="AV31" s="190">
        <v>0</v>
      </c>
      <c r="AW31" s="190">
        <v>0</v>
      </c>
      <c r="AX31" s="190">
        <v>0</v>
      </c>
      <c r="AY31" s="190">
        <v>0</v>
      </c>
      <c r="AZ31" s="190">
        <v>33</v>
      </c>
      <c r="BA31" s="190">
        <v>33</v>
      </c>
      <c r="BB31" s="190">
        <v>0</v>
      </c>
      <c r="BC31" s="190">
        <v>0</v>
      </c>
      <c r="BD31" s="190">
        <v>0</v>
      </c>
      <c r="BE31" s="190">
        <v>20</v>
      </c>
      <c r="BF31" s="190">
        <v>0</v>
      </c>
      <c r="BG31" s="190">
        <v>0</v>
      </c>
      <c r="BH31" s="190">
        <v>0</v>
      </c>
      <c r="BI31" s="190">
        <v>20</v>
      </c>
      <c r="BJ31" s="190">
        <v>20</v>
      </c>
      <c r="BK31" s="190">
        <v>-1</v>
      </c>
      <c r="BL31" s="190">
        <v>1</v>
      </c>
      <c r="BM31" s="190">
        <v>0</v>
      </c>
      <c r="BN31" s="190">
        <v>0</v>
      </c>
      <c r="BO31" s="190">
        <v>3</v>
      </c>
      <c r="BP31" s="190">
        <v>3</v>
      </c>
      <c r="BQ31" s="190">
        <v>0</v>
      </c>
      <c r="BR31" s="190">
        <v>2</v>
      </c>
      <c r="BS31" s="190">
        <v>2</v>
      </c>
      <c r="BT31" s="190">
        <v>1</v>
      </c>
      <c r="BU31" s="190">
        <v>7</v>
      </c>
      <c r="BV31" s="190">
        <v>8</v>
      </c>
      <c r="BW31" s="190">
        <v>15</v>
      </c>
      <c r="BX31" s="190">
        <v>447</v>
      </c>
      <c r="BY31" s="190">
        <v>462</v>
      </c>
      <c r="BZ31" s="190">
        <v>15</v>
      </c>
      <c r="CA31" s="190">
        <v>444</v>
      </c>
      <c r="CB31" s="190">
        <v>459</v>
      </c>
      <c r="CC31" s="190">
        <v>805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2</v>
      </c>
      <c r="CO31" s="190">
        <v>38</v>
      </c>
      <c r="CP31" s="190">
        <v>40</v>
      </c>
      <c r="CQ31" s="190">
        <v>0</v>
      </c>
      <c r="CR31" s="190">
        <v>0</v>
      </c>
      <c r="CS31" s="190">
        <v>0</v>
      </c>
      <c r="CT31" s="190">
        <v>13</v>
      </c>
      <c r="CU31" s="190">
        <v>409</v>
      </c>
      <c r="CV31" s="190">
        <v>422</v>
      </c>
      <c r="CW31" s="190">
        <v>1</v>
      </c>
      <c r="CX31" s="190">
        <v>18</v>
      </c>
      <c r="CY31" s="190">
        <v>19</v>
      </c>
      <c r="CZ31" s="190">
        <v>1</v>
      </c>
      <c r="DA31" s="190">
        <v>0</v>
      </c>
      <c r="DB31" s="190">
        <v>0</v>
      </c>
      <c r="DC31" s="190">
        <v>18</v>
      </c>
      <c r="DD31" s="190">
        <v>0</v>
      </c>
      <c r="DE31" s="190">
        <v>0</v>
      </c>
      <c r="DF31" s="190">
        <v>1</v>
      </c>
      <c r="DG31" s="190">
        <v>18</v>
      </c>
      <c r="DH31" s="190">
        <v>19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1523</v>
      </c>
      <c r="C32" s="190">
        <v>249</v>
      </c>
      <c r="D32" s="190">
        <v>1537</v>
      </c>
      <c r="E32" s="190">
        <v>913</v>
      </c>
      <c r="F32" s="190">
        <v>0</v>
      </c>
      <c r="G32" s="190">
        <v>8</v>
      </c>
      <c r="H32" s="190">
        <v>8</v>
      </c>
      <c r="I32" s="190">
        <v>1</v>
      </c>
      <c r="J32" s="190">
        <v>548</v>
      </c>
      <c r="K32" s="190">
        <v>549</v>
      </c>
      <c r="L32" s="190">
        <v>1</v>
      </c>
      <c r="M32" s="190">
        <v>376</v>
      </c>
      <c r="N32" s="190">
        <v>377</v>
      </c>
      <c r="O32" s="190">
        <v>0</v>
      </c>
      <c r="P32" s="190">
        <v>172</v>
      </c>
      <c r="Q32" s="190">
        <v>172</v>
      </c>
      <c r="R32" s="190">
        <v>0</v>
      </c>
      <c r="S32" s="190">
        <v>4</v>
      </c>
      <c r="T32" s="190">
        <v>4</v>
      </c>
      <c r="U32" s="190">
        <v>0</v>
      </c>
      <c r="V32" s="190">
        <v>75</v>
      </c>
      <c r="W32" s="190">
        <v>75</v>
      </c>
      <c r="X32" s="190">
        <v>31</v>
      </c>
      <c r="Y32" s="190">
        <v>1506</v>
      </c>
      <c r="Z32" s="190">
        <v>1537</v>
      </c>
      <c r="AA32" s="190">
        <v>16</v>
      </c>
      <c r="AB32" s="190">
        <v>498</v>
      </c>
      <c r="AC32" s="190">
        <v>514</v>
      </c>
      <c r="AD32" s="190">
        <v>15</v>
      </c>
      <c r="AE32" s="190">
        <v>472</v>
      </c>
      <c r="AF32" s="190">
        <v>487</v>
      </c>
      <c r="AG32" s="190">
        <v>1</v>
      </c>
      <c r="AH32" s="190">
        <v>9</v>
      </c>
      <c r="AI32" s="190">
        <v>10</v>
      </c>
      <c r="AJ32" s="190">
        <v>0</v>
      </c>
      <c r="AK32" s="190">
        <v>17</v>
      </c>
      <c r="AL32" s="190">
        <v>17</v>
      </c>
      <c r="AM32" s="190">
        <v>15</v>
      </c>
      <c r="AN32" s="190">
        <v>1008</v>
      </c>
      <c r="AO32" s="190">
        <v>1023</v>
      </c>
      <c r="AP32" s="190">
        <v>2482</v>
      </c>
      <c r="AQ32" s="190">
        <v>18017</v>
      </c>
      <c r="AR32" s="190">
        <v>20499</v>
      </c>
      <c r="AS32" s="190">
        <v>2482</v>
      </c>
      <c r="AT32" s="190">
        <v>18018</v>
      </c>
      <c r="AU32" s="190">
        <v>20500</v>
      </c>
      <c r="AV32" s="190">
        <v>0</v>
      </c>
      <c r="AW32" s="190">
        <v>-1</v>
      </c>
      <c r="AX32" s="190">
        <v>-1</v>
      </c>
      <c r="AY32" s="190">
        <v>-90</v>
      </c>
      <c r="AZ32" s="190">
        <v>1713</v>
      </c>
      <c r="BA32" s="190">
        <v>1623</v>
      </c>
      <c r="BB32" s="190">
        <v>42</v>
      </c>
      <c r="BC32" s="190">
        <v>0</v>
      </c>
      <c r="BD32" s="190">
        <v>0</v>
      </c>
      <c r="BE32" s="190">
        <v>856</v>
      </c>
      <c r="BF32" s="190">
        <v>11</v>
      </c>
      <c r="BG32" s="190">
        <v>4</v>
      </c>
      <c r="BH32" s="190">
        <v>42</v>
      </c>
      <c r="BI32" s="190">
        <v>871</v>
      </c>
      <c r="BJ32" s="190">
        <v>913</v>
      </c>
      <c r="BK32" s="190">
        <v>-219</v>
      </c>
      <c r="BL32" s="190">
        <v>219</v>
      </c>
      <c r="BM32" s="190">
        <v>0</v>
      </c>
      <c r="BN32" s="190">
        <v>4</v>
      </c>
      <c r="BO32" s="190">
        <v>30</v>
      </c>
      <c r="BP32" s="190">
        <v>34</v>
      </c>
      <c r="BQ32" s="190">
        <v>17</v>
      </c>
      <c r="BR32" s="190">
        <v>133</v>
      </c>
      <c r="BS32" s="190">
        <v>150</v>
      </c>
      <c r="BT32" s="190">
        <v>66</v>
      </c>
      <c r="BU32" s="190">
        <v>460</v>
      </c>
      <c r="BV32" s="190">
        <v>526</v>
      </c>
      <c r="BW32" s="190">
        <v>2392</v>
      </c>
      <c r="BX32" s="190">
        <v>19730</v>
      </c>
      <c r="BY32" s="190">
        <v>22122</v>
      </c>
      <c r="BZ32" s="190">
        <v>2374</v>
      </c>
      <c r="CA32" s="190">
        <v>19480</v>
      </c>
      <c r="CB32" s="190">
        <v>21854</v>
      </c>
      <c r="CC32" s="190">
        <v>48109</v>
      </c>
      <c r="CD32" s="190">
        <v>8</v>
      </c>
      <c r="CE32" s="190">
        <v>250</v>
      </c>
      <c r="CF32" s="190">
        <v>18</v>
      </c>
      <c r="CG32" s="190">
        <v>211</v>
      </c>
      <c r="CH32" s="190">
        <v>229</v>
      </c>
      <c r="CI32" s="190">
        <v>44</v>
      </c>
      <c r="CJ32" s="190">
        <v>5</v>
      </c>
      <c r="CK32" s="190">
        <v>0</v>
      </c>
      <c r="CL32" s="190">
        <v>39</v>
      </c>
      <c r="CM32" s="190">
        <v>39</v>
      </c>
      <c r="CN32" s="190">
        <v>162</v>
      </c>
      <c r="CO32" s="190">
        <v>1944</v>
      </c>
      <c r="CP32" s="190">
        <v>2106</v>
      </c>
      <c r="CQ32" s="190">
        <v>0</v>
      </c>
      <c r="CR32" s="190">
        <v>0</v>
      </c>
      <c r="CS32" s="190">
        <v>0</v>
      </c>
      <c r="CT32" s="190">
        <v>2230</v>
      </c>
      <c r="CU32" s="190">
        <v>17786</v>
      </c>
      <c r="CV32" s="190">
        <v>20016</v>
      </c>
      <c r="CW32" s="190">
        <v>211</v>
      </c>
      <c r="CX32" s="190">
        <v>666</v>
      </c>
      <c r="CY32" s="190">
        <v>877</v>
      </c>
      <c r="CZ32" s="190">
        <v>210</v>
      </c>
      <c r="DA32" s="190">
        <v>0</v>
      </c>
      <c r="DB32" s="190">
        <v>0</v>
      </c>
      <c r="DC32" s="190">
        <v>646</v>
      </c>
      <c r="DD32" s="190">
        <v>9</v>
      </c>
      <c r="DE32" s="190">
        <v>1</v>
      </c>
      <c r="DF32" s="190">
        <v>210</v>
      </c>
      <c r="DG32" s="190">
        <v>656</v>
      </c>
      <c r="DH32" s="190">
        <v>866</v>
      </c>
      <c r="DI32" s="190">
        <v>1</v>
      </c>
      <c r="DJ32" s="190">
        <v>0</v>
      </c>
      <c r="DK32" s="190">
        <v>0</v>
      </c>
      <c r="DL32" s="190">
        <v>10</v>
      </c>
      <c r="DM32" s="190">
        <v>0</v>
      </c>
      <c r="DN32" s="190">
        <v>0</v>
      </c>
      <c r="DO32" s="190">
        <v>1</v>
      </c>
      <c r="DP32" s="190">
        <v>10</v>
      </c>
      <c r="DQ32" s="190">
        <v>11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287</v>
      </c>
      <c r="C33" s="190">
        <v>56</v>
      </c>
      <c r="D33" s="190">
        <v>259</v>
      </c>
      <c r="E33" s="190">
        <v>121</v>
      </c>
      <c r="F33" s="190">
        <v>0</v>
      </c>
      <c r="G33" s="190">
        <v>4</v>
      </c>
      <c r="H33" s="190">
        <v>4</v>
      </c>
      <c r="I33" s="190">
        <v>0</v>
      </c>
      <c r="J33" s="190">
        <v>98</v>
      </c>
      <c r="K33" s="190">
        <v>98</v>
      </c>
      <c r="L33" s="190">
        <v>0</v>
      </c>
      <c r="M33" s="190">
        <v>24</v>
      </c>
      <c r="N33" s="190">
        <v>24</v>
      </c>
      <c r="O33" s="190">
        <v>0</v>
      </c>
      <c r="P33" s="190">
        <v>74</v>
      </c>
      <c r="Q33" s="190">
        <v>74</v>
      </c>
      <c r="R33" s="190">
        <v>0</v>
      </c>
      <c r="S33" s="190">
        <v>3</v>
      </c>
      <c r="T33" s="190">
        <v>3</v>
      </c>
      <c r="U33" s="190">
        <v>0</v>
      </c>
      <c r="V33" s="190">
        <v>40</v>
      </c>
      <c r="W33" s="190">
        <v>40</v>
      </c>
      <c r="X33" s="190">
        <v>5</v>
      </c>
      <c r="Y33" s="190">
        <v>254</v>
      </c>
      <c r="Z33" s="190">
        <v>259</v>
      </c>
      <c r="AA33" s="190">
        <v>3</v>
      </c>
      <c r="AB33" s="190">
        <v>70</v>
      </c>
      <c r="AC33" s="190">
        <v>73</v>
      </c>
      <c r="AD33" s="190">
        <v>3</v>
      </c>
      <c r="AE33" s="190">
        <v>63</v>
      </c>
      <c r="AF33" s="190">
        <v>66</v>
      </c>
      <c r="AG33" s="190">
        <v>0</v>
      </c>
      <c r="AH33" s="190">
        <v>3</v>
      </c>
      <c r="AI33" s="190">
        <v>3</v>
      </c>
      <c r="AJ33" s="190">
        <v>0</v>
      </c>
      <c r="AK33" s="190">
        <v>4</v>
      </c>
      <c r="AL33" s="190">
        <v>4</v>
      </c>
      <c r="AM33" s="190">
        <v>2</v>
      </c>
      <c r="AN33" s="190">
        <v>184</v>
      </c>
      <c r="AO33" s="190">
        <v>186</v>
      </c>
      <c r="AP33" s="190">
        <v>306</v>
      </c>
      <c r="AQ33" s="190">
        <v>3027</v>
      </c>
      <c r="AR33" s="190">
        <v>3333</v>
      </c>
      <c r="AS33" s="190">
        <v>306</v>
      </c>
      <c r="AT33" s="190">
        <v>3027</v>
      </c>
      <c r="AU33" s="190">
        <v>3333</v>
      </c>
      <c r="AV33" s="190">
        <v>0</v>
      </c>
      <c r="AW33" s="190">
        <v>0</v>
      </c>
      <c r="AX33" s="190">
        <v>0</v>
      </c>
      <c r="AY33" s="190">
        <v>8</v>
      </c>
      <c r="AZ33" s="190">
        <v>253</v>
      </c>
      <c r="BA33" s="190">
        <v>261</v>
      </c>
      <c r="BB33" s="190">
        <v>6</v>
      </c>
      <c r="BC33" s="190">
        <v>0</v>
      </c>
      <c r="BD33" s="190">
        <v>0</v>
      </c>
      <c r="BE33" s="190">
        <v>113</v>
      </c>
      <c r="BF33" s="190">
        <v>1</v>
      </c>
      <c r="BG33" s="190">
        <v>1</v>
      </c>
      <c r="BH33" s="190">
        <v>6</v>
      </c>
      <c r="BI33" s="190">
        <v>115</v>
      </c>
      <c r="BJ33" s="190">
        <v>121</v>
      </c>
      <c r="BK33" s="190">
        <v>-6</v>
      </c>
      <c r="BL33" s="190">
        <v>6</v>
      </c>
      <c r="BM33" s="190">
        <v>0</v>
      </c>
      <c r="BN33" s="190">
        <v>1</v>
      </c>
      <c r="BO33" s="190">
        <v>15</v>
      </c>
      <c r="BP33" s="190">
        <v>16</v>
      </c>
      <c r="BQ33" s="190">
        <v>1</v>
      </c>
      <c r="BR33" s="190">
        <v>14</v>
      </c>
      <c r="BS33" s="190">
        <v>15</v>
      </c>
      <c r="BT33" s="190">
        <v>6</v>
      </c>
      <c r="BU33" s="190">
        <v>103</v>
      </c>
      <c r="BV33" s="190">
        <v>109</v>
      </c>
      <c r="BW33" s="190">
        <v>314</v>
      </c>
      <c r="BX33" s="190">
        <v>3280</v>
      </c>
      <c r="BY33" s="190">
        <v>3594</v>
      </c>
      <c r="BZ33" s="190">
        <v>305</v>
      </c>
      <c r="CA33" s="190">
        <v>3228</v>
      </c>
      <c r="CB33" s="190">
        <v>3533</v>
      </c>
      <c r="CC33" s="190">
        <v>7298</v>
      </c>
      <c r="CD33" s="190">
        <v>2</v>
      </c>
      <c r="CE33" s="190">
        <v>54</v>
      </c>
      <c r="CF33" s="190">
        <v>9</v>
      </c>
      <c r="CG33" s="190">
        <v>42</v>
      </c>
      <c r="CH33" s="190">
        <v>51</v>
      </c>
      <c r="CI33" s="190">
        <v>9</v>
      </c>
      <c r="CJ33" s="190">
        <v>4</v>
      </c>
      <c r="CK33" s="190">
        <v>0</v>
      </c>
      <c r="CL33" s="190">
        <v>10</v>
      </c>
      <c r="CM33" s="190">
        <v>10</v>
      </c>
      <c r="CN33" s="190">
        <v>22</v>
      </c>
      <c r="CO33" s="190">
        <v>334</v>
      </c>
      <c r="CP33" s="190">
        <v>356</v>
      </c>
      <c r="CQ33" s="190">
        <v>0</v>
      </c>
      <c r="CR33" s="190">
        <v>0</v>
      </c>
      <c r="CS33" s="190">
        <v>0</v>
      </c>
      <c r="CT33" s="190">
        <v>292</v>
      </c>
      <c r="CU33" s="190">
        <v>2946</v>
      </c>
      <c r="CV33" s="190">
        <v>3238</v>
      </c>
      <c r="CW33" s="190">
        <v>27</v>
      </c>
      <c r="CX33" s="190">
        <v>155</v>
      </c>
      <c r="CY33" s="190">
        <v>182</v>
      </c>
      <c r="CZ33" s="190">
        <v>27</v>
      </c>
      <c r="DA33" s="190">
        <v>0</v>
      </c>
      <c r="DB33" s="190">
        <v>0</v>
      </c>
      <c r="DC33" s="190">
        <v>152</v>
      </c>
      <c r="DD33" s="190">
        <v>2</v>
      </c>
      <c r="DE33" s="190">
        <v>0</v>
      </c>
      <c r="DF33" s="190">
        <v>27</v>
      </c>
      <c r="DG33" s="190">
        <v>154</v>
      </c>
      <c r="DH33" s="190">
        <v>181</v>
      </c>
      <c r="DI33" s="190">
        <v>0</v>
      </c>
      <c r="DJ33" s="190">
        <v>0</v>
      </c>
      <c r="DK33" s="190">
        <v>0</v>
      </c>
      <c r="DL33" s="190">
        <v>1</v>
      </c>
      <c r="DM33" s="190">
        <v>0</v>
      </c>
      <c r="DN33" s="190">
        <v>0</v>
      </c>
      <c r="DO33" s="190">
        <v>0</v>
      </c>
      <c r="DP33" s="190">
        <v>1</v>
      </c>
      <c r="DQ33" s="190">
        <v>1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317</v>
      </c>
      <c r="C34" s="190">
        <v>56</v>
      </c>
      <c r="D34" s="190">
        <v>325</v>
      </c>
      <c r="E34" s="190">
        <v>219</v>
      </c>
      <c r="F34" s="190">
        <v>0</v>
      </c>
      <c r="G34" s="190">
        <v>14</v>
      </c>
      <c r="H34" s="190">
        <v>14</v>
      </c>
      <c r="I34" s="190">
        <v>0</v>
      </c>
      <c r="J34" s="190">
        <v>89</v>
      </c>
      <c r="K34" s="190">
        <v>89</v>
      </c>
      <c r="L34" s="190">
        <v>0</v>
      </c>
      <c r="M34" s="190">
        <v>47</v>
      </c>
      <c r="N34" s="190">
        <v>47</v>
      </c>
      <c r="O34" s="190">
        <v>0</v>
      </c>
      <c r="P34" s="190">
        <v>42</v>
      </c>
      <c r="Q34" s="190">
        <v>42</v>
      </c>
      <c r="R34" s="190">
        <v>0</v>
      </c>
      <c r="S34" s="190">
        <v>10</v>
      </c>
      <c r="T34" s="190">
        <v>10</v>
      </c>
      <c r="U34" s="190">
        <v>0</v>
      </c>
      <c r="V34" s="190">
        <v>17</v>
      </c>
      <c r="W34" s="190">
        <v>17</v>
      </c>
      <c r="X34" s="190">
        <v>3</v>
      </c>
      <c r="Y34" s="190">
        <v>322</v>
      </c>
      <c r="Z34" s="190">
        <v>325</v>
      </c>
      <c r="AA34" s="190">
        <v>3</v>
      </c>
      <c r="AB34" s="190">
        <v>150</v>
      </c>
      <c r="AC34" s="190">
        <v>153</v>
      </c>
      <c r="AD34" s="190">
        <v>1</v>
      </c>
      <c r="AE34" s="190">
        <v>125</v>
      </c>
      <c r="AF34" s="190">
        <v>126</v>
      </c>
      <c r="AG34" s="190">
        <v>1</v>
      </c>
      <c r="AH34" s="190">
        <v>7</v>
      </c>
      <c r="AI34" s="190">
        <v>8</v>
      </c>
      <c r="AJ34" s="190">
        <v>1</v>
      </c>
      <c r="AK34" s="190">
        <v>18</v>
      </c>
      <c r="AL34" s="190">
        <v>19</v>
      </c>
      <c r="AM34" s="190">
        <v>0</v>
      </c>
      <c r="AN34" s="190">
        <v>172</v>
      </c>
      <c r="AO34" s="190">
        <v>172</v>
      </c>
      <c r="AP34" s="190">
        <v>274</v>
      </c>
      <c r="AQ34" s="190">
        <v>3796</v>
      </c>
      <c r="AR34" s="190">
        <v>4070</v>
      </c>
      <c r="AS34" s="190">
        <v>274</v>
      </c>
      <c r="AT34" s="190">
        <v>3796</v>
      </c>
      <c r="AU34" s="190">
        <v>4070</v>
      </c>
      <c r="AV34" s="190">
        <v>0</v>
      </c>
      <c r="AW34" s="190">
        <v>0</v>
      </c>
      <c r="AX34" s="190">
        <v>0</v>
      </c>
      <c r="AY34" s="190">
        <v>-5</v>
      </c>
      <c r="AZ34" s="190">
        <v>379</v>
      </c>
      <c r="BA34" s="190">
        <v>374</v>
      </c>
      <c r="BB34" s="190">
        <v>3</v>
      </c>
      <c r="BC34" s="190">
        <v>0</v>
      </c>
      <c r="BD34" s="190">
        <v>0</v>
      </c>
      <c r="BE34" s="190">
        <v>216</v>
      </c>
      <c r="BF34" s="190">
        <v>0</v>
      </c>
      <c r="BG34" s="190">
        <v>0</v>
      </c>
      <c r="BH34" s="190">
        <v>3</v>
      </c>
      <c r="BI34" s="190">
        <v>216</v>
      </c>
      <c r="BJ34" s="190">
        <v>219</v>
      </c>
      <c r="BK34" s="190">
        <v>-17</v>
      </c>
      <c r="BL34" s="190">
        <v>17</v>
      </c>
      <c r="BM34" s="190">
        <v>0</v>
      </c>
      <c r="BN34" s="190">
        <v>1</v>
      </c>
      <c r="BO34" s="190">
        <v>5</v>
      </c>
      <c r="BP34" s="190">
        <v>6</v>
      </c>
      <c r="BQ34" s="190">
        <v>1</v>
      </c>
      <c r="BR34" s="190">
        <v>31</v>
      </c>
      <c r="BS34" s="190">
        <v>32</v>
      </c>
      <c r="BT34" s="190">
        <v>7</v>
      </c>
      <c r="BU34" s="190">
        <v>110</v>
      </c>
      <c r="BV34" s="190">
        <v>117</v>
      </c>
      <c r="BW34" s="190">
        <v>269</v>
      </c>
      <c r="BX34" s="190">
        <v>4175</v>
      </c>
      <c r="BY34" s="190">
        <v>4444</v>
      </c>
      <c r="BZ34" s="190">
        <v>269</v>
      </c>
      <c r="CA34" s="190">
        <v>4160</v>
      </c>
      <c r="CB34" s="190">
        <v>4429</v>
      </c>
      <c r="CC34" s="190">
        <v>7779</v>
      </c>
      <c r="CD34" s="190">
        <v>0</v>
      </c>
      <c r="CE34" s="190">
        <v>13</v>
      </c>
      <c r="CF34" s="190">
        <v>0</v>
      </c>
      <c r="CG34" s="190">
        <v>11</v>
      </c>
      <c r="CH34" s="190">
        <v>11</v>
      </c>
      <c r="CI34" s="190">
        <v>5</v>
      </c>
      <c r="CJ34" s="190">
        <v>0</v>
      </c>
      <c r="CK34" s="190">
        <v>0</v>
      </c>
      <c r="CL34" s="190">
        <v>4</v>
      </c>
      <c r="CM34" s="190">
        <v>4</v>
      </c>
      <c r="CN34" s="190">
        <v>13</v>
      </c>
      <c r="CO34" s="190">
        <v>347</v>
      </c>
      <c r="CP34" s="190">
        <v>360</v>
      </c>
      <c r="CQ34" s="190">
        <v>0</v>
      </c>
      <c r="CR34" s="190">
        <v>0</v>
      </c>
      <c r="CS34" s="190">
        <v>0</v>
      </c>
      <c r="CT34" s="190">
        <v>256</v>
      </c>
      <c r="CU34" s="190">
        <v>3828</v>
      </c>
      <c r="CV34" s="190">
        <v>4084</v>
      </c>
      <c r="CW34" s="190">
        <v>19</v>
      </c>
      <c r="CX34" s="190">
        <v>166</v>
      </c>
      <c r="CY34" s="190">
        <v>185</v>
      </c>
      <c r="CZ34" s="190">
        <v>18</v>
      </c>
      <c r="DA34" s="190">
        <v>0</v>
      </c>
      <c r="DB34" s="190">
        <v>0</v>
      </c>
      <c r="DC34" s="190">
        <v>164</v>
      </c>
      <c r="DD34" s="190">
        <v>0</v>
      </c>
      <c r="DE34" s="190">
        <v>0</v>
      </c>
      <c r="DF34" s="190">
        <v>18</v>
      </c>
      <c r="DG34" s="190">
        <v>164</v>
      </c>
      <c r="DH34" s="190">
        <v>182</v>
      </c>
      <c r="DI34" s="190">
        <v>1</v>
      </c>
      <c r="DJ34" s="190">
        <v>0</v>
      </c>
      <c r="DK34" s="190">
        <v>0</v>
      </c>
      <c r="DL34" s="190">
        <v>2</v>
      </c>
      <c r="DM34" s="190">
        <v>0</v>
      </c>
      <c r="DN34" s="190">
        <v>0</v>
      </c>
      <c r="DO34" s="190">
        <v>1</v>
      </c>
      <c r="DP34" s="190">
        <v>2</v>
      </c>
      <c r="DQ34" s="190">
        <v>3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7641</v>
      </c>
      <c r="C35" s="190">
        <v>1908</v>
      </c>
      <c r="D35" s="190">
        <v>7559</v>
      </c>
      <c r="E35" s="190">
        <v>5622</v>
      </c>
      <c r="F35" s="190">
        <v>2</v>
      </c>
      <c r="G35" s="190">
        <v>66</v>
      </c>
      <c r="H35" s="190">
        <v>68</v>
      </c>
      <c r="I35" s="190">
        <v>1</v>
      </c>
      <c r="J35" s="190">
        <v>1688</v>
      </c>
      <c r="K35" s="190">
        <v>1689</v>
      </c>
      <c r="L35" s="190">
        <v>1</v>
      </c>
      <c r="M35" s="190">
        <v>1679</v>
      </c>
      <c r="N35" s="190">
        <v>1680</v>
      </c>
      <c r="O35" s="190">
        <v>0</v>
      </c>
      <c r="P35" s="190">
        <v>9</v>
      </c>
      <c r="Q35" s="190">
        <v>9</v>
      </c>
      <c r="R35" s="190">
        <v>1</v>
      </c>
      <c r="S35" s="190">
        <v>130</v>
      </c>
      <c r="T35" s="190">
        <v>131</v>
      </c>
      <c r="U35" s="190">
        <v>0</v>
      </c>
      <c r="V35" s="190">
        <v>248</v>
      </c>
      <c r="W35" s="190">
        <v>248</v>
      </c>
      <c r="X35" s="190">
        <v>98</v>
      </c>
      <c r="Y35" s="190">
        <v>4846</v>
      </c>
      <c r="Z35" s="190">
        <v>4944</v>
      </c>
      <c r="AA35" s="190">
        <v>62</v>
      </c>
      <c r="AB35" s="190">
        <v>1777</v>
      </c>
      <c r="AC35" s="190">
        <v>1839</v>
      </c>
      <c r="AD35" s="190">
        <v>62</v>
      </c>
      <c r="AE35" s="190">
        <v>1777</v>
      </c>
      <c r="AF35" s="190">
        <v>1839</v>
      </c>
      <c r="AG35" s="190">
        <v>0</v>
      </c>
      <c r="AH35" s="190">
        <v>0</v>
      </c>
      <c r="AI35" s="190">
        <v>0</v>
      </c>
      <c r="AJ35" s="190">
        <v>0</v>
      </c>
      <c r="AK35" s="190">
        <v>0</v>
      </c>
      <c r="AL35" s="190">
        <v>0</v>
      </c>
      <c r="AM35" s="190">
        <v>36</v>
      </c>
      <c r="AN35" s="190">
        <v>3069</v>
      </c>
      <c r="AO35" s="190">
        <v>3105</v>
      </c>
      <c r="AP35" s="190">
        <v>10717</v>
      </c>
      <c r="AQ35" s="190">
        <v>105338</v>
      </c>
      <c r="AR35" s="190">
        <v>116055</v>
      </c>
      <c r="AS35" s="190">
        <v>10749</v>
      </c>
      <c r="AT35" s="190">
        <v>105698</v>
      </c>
      <c r="AU35" s="190">
        <v>116447</v>
      </c>
      <c r="AV35" s="190">
        <v>-32</v>
      </c>
      <c r="AW35" s="190">
        <v>-360</v>
      </c>
      <c r="AX35" s="190">
        <v>-392</v>
      </c>
      <c r="AY35" s="190">
        <v>297</v>
      </c>
      <c r="AZ35" s="190">
        <v>7803</v>
      </c>
      <c r="BA35" s="190">
        <v>8100</v>
      </c>
      <c r="BB35" s="190">
        <v>257</v>
      </c>
      <c r="BC35" s="190">
        <v>9</v>
      </c>
      <c r="BD35" s="190">
        <v>0</v>
      </c>
      <c r="BE35" s="190">
        <v>5205</v>
      </c>
      <c r="BF35" s="190">
        <v>88</v>
      </c>
      <c r="BG35" s="190">
        <v>63</v>
      </c>
      <c r="BH35" s="190">
        <v>266</v>
      </c>
      <c r="BI35" s="190">
        <v>5356</v>
      </c>
      <c r="BJ35" s="190">
        <v>5622</v>
      </c>
      <c r="BK35" s="190">
        <v>-224</v>
      </c>
      <c r="BL35" s="190">
        <v>224</v>
      </c>
      <c r="BM35" s="190">
        <v>0</v>
      </c>
      <c r="BN35" s="190">
        <v>5</v>
      </c>
      <c r="BO35" s="190">
        <v>55</v>
      </c>
      <c r="BP35" s="190">
        <v>60</v>
      </c>
      <c r="BQ35" s="190">
        <v>4</v>
      </c>
      <c r="BR35" s="190">
        <v>2</v>
      </c>
      <c r="BS35" s="190">
        <v>6</v>
      </c>
      <c r="BT35" s="190">
        <v>246</v>
      </c>
      <c r="BU35" s="190">
        <v>2166</v>
      </c>
      <c r="BV35" s="190">
        <v>2412</v>
      </c>
      <c r="BW35" s="190">
        <v>11014</v>
      </c>
      <c r="BX35" s="190">
        <v>113141</v>
      </c>
      <c r="BY35" s="190">
        <v>124155</v>
      </c>
      <c r="BZ35" s="190">
        <v>10786</v>
      </c>
      <c r="CA35" s="190">
        <v>109914</v>
      </c>
      <c r="CB35" s="190">
        <v>120700</v>
      </c>
      <c r="CC35" s="190">
        <v>254037</v>
      </c>
      <c r="CD35" s="190">
        <v>285</v>
      </c>
      <c r="CE35" s="190">
        <v>2940</v>
      </c>
      <c r="CF35" s="190">
        <v>223</v>
      </c>
      <c r="CG35" s="190">
        <v>2056</v>
      </c>
      <c r="CH35" s="190">
        <v>2279</v>
      </c>
      <c r="CI35" s="190">
        <v>1599</v>
      </c>
      <c r="CJ35" s="190">
        <v>21</v>
      </c>
      <c r="CK35" s="190">
        <v>5</v>
      </c>
      <c r="CL35" s="190">
        <v>1171</v>
      </c>
      <c r="CM35" s="190">
        <v>1176</v>
      </c>
      <c r="CN35" s="190">
        <v>553</v>
      </c>
      <c r="CO35" s="190">
        <v>8952</v>
      </c>
      <c r="CP35" s="190">
        <v>9505</v>
      </c>
      <c r="CQ35" s="190">
        <v>0</v>
      </c>
      <c r="CR35" s="190">
        <v>0</v>
      </c>
      <c r="CS35" s="190">
        <v>0</v>
      </c>
      <c r="CT35" s="190">
        <v>10461</v>
      </c>
      <c r="CU35" s="190">
        <v>104189</v>
      </c>
      <c r="CV35" s="190">
        <v>114650</v>
      </c>
      <c r="CW35" s="190">
        <v>830</v>
      </c>
      <c r="CX35" s="190">
        <v>7204</v>
      </c>
      <c r="CY35" s="190">
        <v>8034</v>
      </c>
      <c r="CZ35" s="190">
        <v>801</v>
      </c>
      <c r="DA35" s="190">
        <v>17</v>
      </c>
      <c r="DB35" s="190">
        <v>0</v>
      </c>
      <c r="DC35" s="190">
        <v>5878</v>
      </c>
      <c r="DD35" s="190">
        <v>147</v>
      </c>
      <c r="DE35" s="190">
        <v>34</v>
      </c>
      <c r="DF35" s="190">
        <v>818</v>
      </c>
      <c r="DG35" s="190">
        <v>6059</v>
      </c>
      <c r="DH35" s="190">
        <v>6877</v>
      </c>
      <c r="DI35" s="190">
        <v>12</v>
      </c>
      <c r="DJ35" s="190">
        <v>0</v>
      </c>
      <c r="DK35" s="190">
        <v>0</v>
      </c>
      <c r="DL35" s="190">
        <v>1107</v>
      </c>
      <c r="DM35" s="190">
        <v>24</v>
      </c>
      <c r="DN35" s="190">
        <v>14</v>
      </c>
      <c r="DO35" s="190">
        <v>12</v>
      </c>
      <c r="DP35" s="190">
        <v>1145</v>
      </c>
      <c r="DQ35" s="190">
        <v>1157</v>
      </c>
      <c r="DR35" s="190">
        <v>0</v>
      </c>
      <c r="DS35" s="190">
        <v>0</v>
      </c>
      <c r="DT35" s="191">
        <v>0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579</v>
      </c>
      <c r="C36" s="190">
        <v>219</v>
      </c>
      <c r="D36" s="190">
        <v>584</v>
      </c>
      <c r="E36" s="190">
        <v>291</v>
      </c>
      <c r="F36" s="190">
        <v>0</v>
      </c>
      <c r="G36" s="190">
        <v>8</v>
      </c>
      <c r="H36" s="190">
        <v>8</v>
      </c>
      <c r="I36" s="190">
        <v>1</v>
      </c>
      <c r="J36" s="190">
        <v>276</v>
      </c>
      <c r="K36" s="190">
        <v>277</v>
      </c>
      <c r="L36" s="190">
        <v>1</v>
      </c>
      <c r="M36" s="190">
        <v>69</v>
      </c>
      <c r="N36" s="190">
        <v>70</v>
      </c>
      <c r="O36" s="190">
        <v>0</v>
      </c>
      <c r="P36" s="190">
        <v>207</v>
      </c>
      <c r="Q36" s="190">
        <v>207</v>
      </c>
      <c r="R36" s="190">
        <v>0</v>
      </c>
      <c r="S36" s="190">
        <v>13</v>
      </c>
      <c r="T36" s="190">
        <v>13</v>
      </c>
      <c r="U36" s="190">
        <v>0</v>
      </c>
      <c r="V36" s="190">
        <v>16</v>
      </c>
      <c r="W36" s="190">
        <v>16</v>
      </c>
      <c r="X36" s="190">
        <v>2</v>
      </c>
      <c r="Y36" s="190">
        <v>296</v>
      </c>
      <c r="Z36" s="190">
        <v>298</v>
      </c>
      <c r="AA36" s="190">
        <v>0</v>
      </c>
      <c r="AB36" s="190">
        <v>142</v>
      </c>
      <c r="AC36" s="190">
        <v>142</v>
      </c>
      <c r="AD36" s="190">
        <v>0</v>
      </c>
      <c r="AE36" s="190">
        <v>133</v>
      </c>
      <c r="AF36" s="190">
        <v>133</v>
      </c>
      <c r="AG36" s="190">
        <v>0</v>
      </c>
      <c r="AH36" s="190">
        <v>6</v>
      </c>
      <c r="AI36" s="190">
        <v>6</v>
      </c>
      <c r="AJ36" s="190">
        <v>0</v>
      </c>
      <c r="AK36" s="190">
        <v>3</v>
      </c>
      <c r="AL36" s="190">
        <v>3</v>
      </c>
      <c r="AM36" s="190">
        <v>2</v>
      </c>
      <c r="AN36" s="190">
        <v>154</v>
      </c>
      <c r="AO36" s="190">
        <v>156</v>
      </c>
      <c r="AP36" s="190">
        <v>687</v>
      </c>
      <c r="AQ36" s="190">
        <v>8171</v>
      </c>
      <c r="AR36" s="190">
        <v>8858</v>
      </c>
      <c r="AS36" s="190">
        <v>701</v>
      </c>
      <c r="AT36" s="190">
        <v>7980</v>
      </c>
      <c r="AU36" s="190">
        <v>8681</v>
      </c>
      <c r="AV36" s="190">
        <v>-14</v>
      </c>
      <c r="AW36" s="190">
        <v>191</v>
      </c>
      <c r="AX36" s="190">
        <v>177</v>
      </c>
      <c r="AY36" s="190">
        <v>10</v>
      </c>
      <c r="AZ36" s="190">
        <v>601</v>
      </c>
      <c r="BA36" s="190">
        <v>611</v>
      </c>
      <c r="BB36" s="190">
        <v>18</v>
      </c>
      <c r="BC36" s="190">
        <v>0</v>
      </c>
      <c r="BD36" s="190">
        <v>0</v>
      </c>
      <c r="BE36" s="190">
        <v>271</v>
      </c>
      <c r="BF36" s="190">
        <v>1</v>
      </c>
      <c r="BG36" s="190">
        <v>1</v>
      </c>
      <c r="BH36" s="190">
        <v>18</v>
      </c>
      <c r="BI36" s="190">
        <v>273</v>
      </c>
      <c r="BJ36" s="190">
        <v>291</v>
      </c>
      <c r="BK36" s="190">
        <v>-38</v>
      </c>
      <c r="BL36" s="190">
        <v>38</v>
      </c>
      <c r="BM36" s="190">
        <v>0</v>
      </c>
      <c r="BN36" s="190">
        <v>3</v>
      </c>
      <c r="BO36" s="190">
        <v>46</v>
      </c>
      <c r="BP36" s="190">
        <v>49</v>
      </c>
      <c r="BQ36" s="190">
        <v>4</v>
      </c>
      <c r="BR36" s="190">
        <v>76</v>
      </c>
      <c r="BS36" s="190">
        <v>80</v>
      </c>
      <c r="BT36" s="190">
        <v>23</v>
      </c>
      <c r="BU36" s="190">
        <v>168</v>
      </c>
      <c r="BV36" s="190">
        <v>191</v>
      </c>
      <c r="BW36" s="190">
        <v>697</v>
      </c>
      <c r="BX36" s="190">
        <v>8772</v>
      </c>
      <c r="BY36" s="190">
        <v>9469</v>
      </c>
      <c r="BZ36" s="190">
        <v>687</v>
      </c>
      <c r="CA36" s="190">
        <v>8705</v>
      </c>
      <c r="CB36" s="190">
        <v>9392</v>
      </c>
      <c r="CC36" s="190">
        <v>17489</v>
      </c>
      <c r="CD36" s="190">
        <v>5</v>
      </c>
      <c r="CE36" s="190">
        <v>61</v>
      </c>
      <c r="CF36" s="190">
        <v>10</v>
      </c>
      <c r="CG36" s="190">
        <v>39</v>
      </c>
      <c r="CH36" s="190">
        <v>49</v>
      </c>
      <c r="CI36" s="190">
        <v>43</v>
      </c>
      <c r="CJ36" s="190">
        <v>2</v>
      </c>
      <c r="CK36" s="190">
        <v>0</v>
      </c>
      <c r="CL36" s="190">
        <v>28</v>
      </c>
      <c r="CM36" s="190">
        <v>28</v>
      </c>
      <c r="CN36" s="190">
        <v>54</v>
      </c>
      <c r="CO36" s="190">
        <v>896</v>
      </c>
      <c r="CP36" s="190">
        <v>950</v>
      </c>
      <c r="CQ36" s="190">
        <v>0</v>
      </c>
      <c r="CR36" s="190">
        <v>8</v>
      </c>
      <c r="CS36" s="190">
        <v>8</v>
      </c>
      <c r="CT36" s="190">
        <v>643</v>
      </c>
      <c r="CU36" s="190">
        <v>7876</v>
      </c>
      <c r="CV36" s="190">
        <v>8519</v>
      </c>
      <c r="CW36" s="190">
        <v>39</v>
      </c>
      <c r="CX36" s="190">
        <v>316</v>
      </c>
      <c r="CY36" s="190">
        <v>355</v>
      </c>
      <c r="CZ36" s="190">
        <v>37</v>
      </c>
      <c r="DA36" s="190">
        <v>0</v>
      </c>
      <c r="DB36" s="190">
        <v>0</v>
      </c>
      <c r="DC36" s="190">
        <v>296</v>
      </c>
      <c r="DD36" s="190">
        <v>3</v>
      </c>
      <c r="DE36" s="190">
        <v>0</v>
      </c>
      <c r="DF36" s="190">
        <v>37</v>
      </c>
      <c r="DG36" s="190">
        <v>299</v>
      </c>
      <c r="DH36" s="190">
        <v>336</v>
      </c>
      <c r="DI36" s="190">
        <v>2</v>
      </c>
      <c r="DJ36" s="190">
        <v>0</v>
      </c>
      <c r="DK36" s="190">
        <v>0</v>
      </c>
      <c r="DL36" s="190">
        <v>16</v>
      </c>
      <c r="DM36" s="190">
        <v>1</v>
      </c>
      <c r="DN36" s="190">
        <v>0</v>
      </c>
      <c r="DO36" s="190">
        <v>2</v>
      </c>
      <c r="DP36" s="190">
        <v>17</v>
      </c>
      <c r="DQ36" s="190">
        <v>19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 ht="15.75">
      <c r="A37" s="189" t="s">
        <v>365</v>
      </c>
      <c r="B37" s="190">
        <v>66</v>
      </c>
      <c r="C37" s="190">
        <v>11</v>
      </c>
      <c r="D37" s="190">
        <v>53</v>
      </c>
      <c r="E37" s="190">
        <v>29</v>
      </c>
      <c r="F37" s="190">
        <v>0</v>
      </c>
      <c r="G37" s="190">
        <v>0</v>
      </c>
      <c r="H37" s="190">
        <v>0</v>
      </c>
      <c r="I37" s="190">
        <v>0</v>
      </c>
      <c r="J37" s="190">
        <v>21</v>
      </c>
      <c r="K37" s="190">
        <v>21</v>
      </c>
      <c r="L37" s="190">
        <v>0</v>
      </c>
      <c r="M37" s="190">
        <v>5</v>
      </c>
      <c r="N37" s="190">
        <v>5</v>
      </c>
      <c r="O37" s="190">
        <v>0</v>
      </c>
      <c r="P37" s="190">
        <v>16</v>
      </c>
      <c r="Q37" s="190">
        <v>16</v>
      </c>
      <c r="R37" s="190">
        <v>0</v>
      </c>
      <c r="S37" s="190">
        <v>0</v>
      </c>
      <c r="T37" s="190">
        <v>0</v>
      </c>
      <c r="U37" s="190">
        <v>0</v>
      </c>
      <c r="V37" s="190">
        <v>3</v>
      </c>
      <c r="W37" s="190">
        <v>3</v>
      </c>
      <c r="X37" s="190">
        <v>1</v>
      </c>
      <c r="Y37" s="190">
        <v>50</v>
      </c>
      <c r="Z37" s="190">
        <v>51</v>
      </c>
      <c r="AA37" s="190">
        <v>0</v>
      </c>
      <c r="AB37" s="190">
        <v>16</v>
      </c>
      <c r="AC37" s="190">
        <v>16</v>
      </c>
      <c r="AD37" s="190">
        <v>0</v>
      </c>
      <c r="AE37" s="190">
        <v>15</v>
      </c>
      <c r="AF37" s="190">
        <v>15</v>
      </c>
      <c r="AG37" s="190">
        <v>0</v>
      </c>
      <c r="AH37" s="190">
        <v>1</v>
      </c>
      <c r="AI37" s="190">
        <v>1</v>
      </c>
      <c r="AJ37" s="190">
        <v>0</v>
      </c>
      <c r="AK37" s="190">
        <v>0</v>
      </c>
      <c r="AL37" s="190">
        <v>0</v>
      </c>
      <c r="AM37" s="190">
        <v>1</v>
      </c>
      <c r="AN37" s="190">
        <v>34</v>
      </c>
      <c r="AO37" s="190">
        <v>35</v>
      </c>
      <c r="AP37" s="190">
        <v>95</v>
      </c>
      <c r="AQ37" s="190">
        <v>961</v>
      </c>
      <c r="AR37" s="190">
        <v>1056</v>
      </c>
      <c r="AS37" s="190">
        <v>95</v>
      </c>
      <c r="AT37" s="190">
        <v>961</v>
      </c>
      <c r="AU37" s="190">
        <v>1056</v>
      </c>
      <c r="AV37" s="190">
        <v>0</v>
      </c>
      <c r="AW37" s="190">
        <v>0</v>
      </c>
      <c r="AX37" s="190">
        <v>0</v>
      </c>
      <c r="AY37" s="190">
        <v>-14</v>
      </c>
      <c r="AZ37" s="190">
        <v>70</v>
      </c>
      <c r="BA37" s="190">
        <v>56</v>
      </c>
      <c r="BB37" s="190">
        <v>1</v>
      </c>
      <c r="BC37" s="190">
        <v>0</v>
      </c>
      <c r="BD37" s="190">
        <v>0</v>
      </c>
      <c r="BE37" s="190">
        <v>28</v>
      </c>
      <c r="BF37" s="190">
        <v>0</v>
      </c>
      <c r="BG37" s="190">
        <v>0</v>
      </c>
      <c r="BH37" s="190">
        <v>1</v>
      </c>
      <c r="BI37" s="190">
        <v>28</v>
      </c>
      <c r="BJ37" s="190">
        <v>29</v>
      </c>
      <c r="BK37" s="190">
        <v>-18</v>
      </c>
      <c r="BL37" s="190">
        <v>18</v>
      </c>
      <c r="BM37" s="190">
        <v>0</v>
      </c>
      <c r="BN37" s="190">
        <v>1</v>
      </c>
      <c r="BO37" s="190">
        <v>4</v>
      </c>
      <c r="BP37" s="190">
        <v>5</v>
      </c>
      <c r="BQ37" s="190">
        <v>1</v>
      </c>
      <c r="BR37" s="190">
        <v>3</v>
      </c>
      <c r="BS37" s="190">
        <v>4</v>
      </c>
      <c r="BT37" s="190">
        <v>1</v>
      </c>
      <c r="BU37" s="190">
        <v>17</v>
      </c>
      <c r="BV37" s="190">
        <v>18</v>
      </c>
      <c r="BW37" s="190">
        <v>81</v>
      </c>
      <c r="BX37" s="190">
        <v>1031</v>
      </c>
      <c r="BY37" s="190">
        <v>1112</v>
      </c>
      <c r="BZ37" s="190">
        <v>81</v>
      </c>
      <c r="CA37" s="190">
        <v>1030</v>
      </c>
      <c r="CB37" s="190">
        <v>1111</v>
      </c>
      <c r="CC37" s="190">
        <v>2021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10</v>
      </c>
      <c r="CO37" s="190">
        <v>97</v>
      </c>
      <c r="CP37" s="190">
        <v>107</v>
      </c>
      <c r="CQ37" s="190">
        <v>0</v>
      </c>
      <c r="CR37" s="190">
        <v>0</v>
      </c>
      <c r="CS37" s="190">
        <v>0</v>
      </c>
      <c r="CT37" s="190">
        <v>71</v>
      </c>
      <c r="CU37" s="190">
        <v>934</v>
      </c>
      <c r="CV37" s="190">
        <v>1005</v>
      </c>
      <c r="CW37" s="190">
        <v>8</v>
      </c>
      <c r="CX37" s="190">
        <v>38</v>
      </c>
      <c r="CY37" s="190">
        <v>46</v>
      </c>
      <c r="CZ37" s="190">
        <v>8</v>
      </c>
      <c r="DA37" s="190">
        <v>0</v>
      </c>
      <c r="DB37" s="190">
        <v>0</v>
      </c>
      <c r="DC37" s="190">
        <v>37</v>
      </c>
      <c r="DD37" s="190">
        <v>0</v>
      </c>
      <c r="DE37" s="190">
        <v>0</v>
      </c>
      <c r="DF37" s="190">
        <v>8</v>
      </c>
      <c r="DG37" s="190">
        <v>37</v>
      </c>
      <c r="DH37" s="190">
        <v>45</v>
      </c>
      <c r="DI37" s="190">
        <v>0</v>
      </c>
      <c r="DJ37" s="190">
        <v>0</v>
      </c>
      <c r="DK37" s="190">
        <v>0</v>
      </c>
      <c r="DL37" s="190">
        <v>1</v>
      </c>
      <c r="DM37" s="190">
        <v>0</v>
      </c>
      <c r="DN37" s="190">
        <v>0</v>
      </c>
      <c r="DO37" s="190">
        <v>0</v>
      </c>
      <c r="DP37" s="190">
        <v>1</v>
      </c>
      <c r="DQ37" s="190">
        <v>1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10353</v>
      </c>
      <c r="C38" s="190">
        <v>2528</v>
      </c>
      <c r="D38" s="190">
        <v>10248</v>
      </c>
      <c r="E38" s="190">
        <v>6086</v>
      </c>
      <c r="F38" s="190">
        <v>0</v>
      </c>
      <c r="G38" s="190">
        <v>36</v>
      </c>
      <c r="H38" s="190">
        <v>36</v>
      </c>
      <c r="I38" s="190">
        <v>4</v>
      </c>
      <c r="J38" s="190">
        <v>3831</v>
      </c>
      <c r="K38" s="190">
        <v>3835</v>
      </c>
      <c r="L38" s="190">
        <v>4</v>
      </c>
      <c r="M38" s="190">
        <v>1734</v>
      </c>
      <c r="N38" s="190">
        <v>1738</v>
      </c>
      <c r="O38" s="190">
        <v>0</v>
      </c>
      <c r="P38" s="190">
        <v>2097</v>
      </c>
      <c r="Q38" s="190">
        <v>2097</v>
      </c>
      <c r="R38" s="190">
        <v>0</v>
      </c>
      <c r="S38" s="190">
        <v>56</v>
      </c>
      <c r="T38" s="190">
        <v>56</v>
      </c>
      <c r="U38" s="190">
        <v>0</v>
      </c>
      <c r="V38" s="190">
        <v>327</v>
      </c>
      <c r="W38" s="190">
        <v>327</v>
      </c>
      <c r="X38" s="190">
        <v>328</v>
      </c>
      <c r="Y38" s="190">
        <v>9920</v>
      </c>
      <c r="Z38" s="190">
        <v>10248</v>
      </c>
      <c r="AA38" s="190">
        <v>230</v>
      </c>
      <c r="AB38" s="190">
        <v>3935</v>
      </c>
      <c r="AC38" s="190">
        <v>4165</v>
      </c>
      <c r="AD38" s="190">
        <v>220</v>
      </c>
      <c r="AE38" s="190">
        <v>3669</v>
      </c>
      <c r="AF38" s="190">
        <v>3889</v>
      </c>
      <c r="AG38" s="190">
        <v>6</v>
      </c>
      <c r="AH38" s="190">
        <v>159</v>
      </c>
      <c r="AI38" s="190">
        <v>165</v>
      </c>
      <c r="AJ38" s="190">
        <v>4</v>
      </c>
      <c r="AK38" s="190">
        <v>107</v>
      </c>
      <c r="AL38" s="190">
        <v>111</v>
      </c>
      <c r="AM38" s="190">
        <v>98</v>
      </c>
      <c r="AN38" s="190">
        <v>5985</v>
      </c>
      <c r="AO38" s="190">
        <v>6083</v>
      </c>
      <c r="AP38" s="190">
        <v>14835</v>
      </c>
      <c r="AQ38" s="190">
        <v>105720</v>
      </c>
      <c r="AR38" s="190">
        <v>120555</v>
      </c>
      <c r="AS38" s="190">
        <v>14836</v>
      </c>
      <c r="AT38" s="190">
        <v>105722</v>
      </c>
      <c r="AU38" s="190">
        <v>120558</v>
      </c>
      <c r="AV38" s="190">
        <v>-1</v>
      </c>
      <c r="AW38" s="190">
        <v>-2</v>
      </c>
      <c r="AX38" s="190">
        <v>-3</v>
      </c>
      <c r="AY38" s="190">
        <v>651</v>
      </c>
      <c r="AZ38" s="190">
        <v>9524</v>
      </c>
      <c r="BA38" s="190">
        <v>10175</v>
      </c>
      <c r="BB38" s="190">
        <v>362</v>
      </c>
      <c r="BC38" s="190">
        <v>3</v>
      </c>
      <c r="BD38" s="190">
        <v>0</v>
      </c>
      <c r="BE38" s="190">
        <v>5680</v>
      </c>
      <c r="BF38" s="190">
        <v>32</v>
      </c>
      <c r="BG38" s="190">
        <v>9</v>
      </c>
      <c r="BH38" s="190">
        <v>365</v>
      </c>
      <c r="BI38" s="190">
        <v>5721</v>
      </c>
      <c r="BJ38" s="190">
        <v>6086</v>
      </c>
      <c r="BK38" s="190">
        <v>-216</v>
      </c>
      <c r="BL38" s="190">
        <v>216</v>
      </c>
      <c r="BM38" s="190">
        <v>0</v>
      </c>
      <c r="BN38" s="190">
        <v>24</v>
      </c>
      <c r="BO38" s="190">
        <v>191</v>
      </c>
      <c r="BP38" s="190">
        <v>215</v>
      </c>
      <c r="BQ38" s="190">
        <v>94</v>
      </c>
      <c r="BR38" s="190">
        <v>1102</v>
      </c>
      <c r="BS38" s="190">
        <v>1196</v>
      </c>
      <c r="BT38" s="190">
        <v>384</v>
      </c>
      <c r="BU38" s="190">
        <v>2294</v>
      </c>
      <c r="BV38" s="190">
        <v>2678</v>
      </c>
      <c r="BW38" s="190">
        <v>15486</v>
      </c>
      <c r="BX38" s="190">
        <v>115244</v>
      </c>
      <c r="BY38" s="190">
        <v>130730</v>
      </c>
      <c r="BZ38" s="190">
        <v>15364</v>
      </c>
      <c r="CA38" s="190">
        <v>114191</v>
      </c>
      <c r="CB38" s="190">
        <v>129555</v>
      </c>
      <c r="CC38" s="190">
        <v>288485</v>
      </c>
      <c r="CD38" s="190">
        <v>106</v>
      </c>
      <c r="CE38" s="190">
        <v>972</v>
      </c>
      <c r="CF38" s="190">
        <v>108</v>
      </c>
      <c r="CG38" s="190">
        <v>851</v>
      </c>
      <c r="CH38" s="190">
        <v>959</v>
      </c>
      <c r="CI38" s="190">
        <v>248</v>
      </c>
      <c r="CJ38" s="190">
        <v>23</v>
      </c>
      <c r="CK38" s="190">
        <v>14</v>
      </c>
      <c r="CL38" s="190">
        <v>202</v>
      </c>
      <c r="CM38" s="190">
        <v>216</v>
      </c>
      <c r="CN38" s="190">
        <v>870</v>
      </c>
      <c r="CO38" s="190">
        <v>9361</v>
      </c>
      <c r="CP38" s="190">
        <v>10231</v>
      </c>
      <c r="CQ38" s="190">
        <v>1</v>
      </c>
      <c r="CR38" s="190">
        <v>83</v>
      </c>
      <c r="CS38" s="190">
        <v>84</v>
      </c>
      <c r="CT38" s="190">
        <v>14616</v>
      </c>
      <c r="CU38" s="190">
        <v>105883</v>
      </c>
      <c r="CV38" s="190">
        <v>120499</v>
      </c>
      <c r="CW38" s="190">
        <v>1047</v>
      </c>
      <c r="CX38" s="190">
        <v>5336</v>
      </c>
      <c r="CY38" s="190">
        <v>6383</v>
      </c>
      <c r="CZ38" s="190">
        <v>1040</v>
      </c>
      <c r="DA38" s="190">
        <v>6</v>
      </c>
      <c r="DB38" s="190">
        <v>0</v>
      </c>
      <c r="DC38" s="190">
        <v>5227</v>
      </c>
      <c r="DD38" s="190">
        <v>42</v>
      </c>
      <c r="DE38" s="190">
        <v>13</v>
      </c>
      <c r="DF38" s="190">
        <v>1046</v>
      </c>
      <c r="DG38" s="190">
        <v>5282</v>
      </c>
      <c r="DH38" s="190">
        <v>6328</v>
      </c>
      <c r="DI38" s="190">
        <v>1</v>
      </c>
      <c r="DJ38" s="190">
        <v>0</v>
      </c>
      <c r="DK38" s="190">
        <v>0</v>
      </c>
      <c r="DL38" s="190">
        <v>53</v>
      </c>
      <c r="DM38" s="190">
        <v>1</v>
      </c>
      <c r="DN38" s="190">
        <v>0</v>
      </c>
      <c r="DO38" s="190">
        <v>1</v>
      </c>
      <c r="DP38" s="190">
        <v>54</v>
      </c>
      <c r="DQ38" s="190">
        <v>55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7606</v>
      </c>
      <c r="C39" s="190">
        <v>2105</v>
      </c>
      <c r="D39" s="190">
        <v>6325</v>
      </c>
      <c r="E39" s="190">
        <v>3748</v>
      </c>
      <c r="F39" s="190">
        <v>2</v>
      </c>
      <c r="G39" s="190">
        <v>35</v>
      </c>
      <c r="H39" s="190">
        <v>37</v>
      </c>
      <c r="I39" s="190">
        <v>6</v>
      </c>
      <c r="J39" s="190">
        <v>2393</v>
      </c>
      <c r="K39" s="190">
        <v>2399</v>
      </c>
      <c r="L39" s="190">
        <v>2</v>
      </c>
      <c r="M39" s="190">
        <v>737</v>
      </c>
      <c r="N39" s="190">
        <v>739</v>
      </c>
      <c r="O39" s="190">
        <v>4</v>
      </c>
      <c r="P39" s="190">
        <v>1656</v>
      </c>
      <c r="Q39" s="190">
        <v>1660</v>
      </c>
      <c r="R39" s="190">
        <v>0</v>
      </c>
      <c r="S39" s="190">
        <v>75</v>
      </c>
      <c r="T39" s="190">
        <v>75</v>
      </c>
      <c r="U39" s="190">
        <v>0</v>
      </c>
      <c r="V39" s="190">
        <v>178</v>
      </c>
      <c r="W39" s="190">
        <v>178</v>
      </c>
      <c r="X39" s="190">
        <v>278</v>
      </c>
      <c r="Y39" s="190">
        <v>5705</v>
      </c>
      <c r="Z39" s="190">
        <v>5983</v>
      </c>
      <c r="AA39" s="190">
        <v>145</v>
      </c>
      <c r="AB39" s="190">
        <v>1621</v>
      </c>
      <c r="AC39" s="190">
        <v>1766</v>
      </c>
      <c r="AD39" s="190">
        <v>143</v>
      </c>
      <c r="AE39" s="190">
        <v>1608</v>
      </c>
      <c r="AF39" s="190">
        <v>1751</v>
      </c>
      <c r="AG39" s="190">
        <v>2</v>
      </c>
      <c r="AH39" s="190">
        <v>13</v>
      </c>
      <c r="AI39" s="190">
        <v>15</v>
      </c>
      <c r="AJ39" s="190">
        <v>0</v>
      </c>
      <c r="AK39" s="190">
        <v>0</v>
      </c>
      <c r="AL39" s="190">
        <v>0</v>
      </c>
      <c r="AM39" s="190">
        <v>133</v>
      </c>
      <c r="AN39" s="190">
        <v>4084</v>
      </c>
      <c r="AO39" s="190">
        <v>4217</v>
      </c>
      <c r="AP39" s="190">
        <v>13790</v>
      </c>
      <c r="AQ39" s="190">
        <v>81112</v>
      </c>
      <c r="AR39" s="190">
        <v>94902</v>
      </c>
      <c r="AS39" s="190">
        <v>14007</v>
      </c>
      <c r="AT39" s="190">
        <v>80139</v>
      </c>
      <c r="AU39" s="190">
        <v>94146</v>
      </c>
      <c r="AV39" s="190">
        <v>-217</v>
      </c>
      <c r="AW39" s="190">
        <v>973</v>
      </c>
      <c r="AX39" s="190">
        <v>756</v>
      </c>
      <c r="AY39" s="190">
        <v>1188</v>
      </c>
      <c r="AZ39" s="190">
        <v>8687</v>
      </c>
      <c r="BA39" s="190">
        <v>9875</v>
      </c>
      <c r="BB39" s="190">
        <v>404</v>
      </c>
      <c r="BC39" s="190">
        <v>13</v>
      </c>
      <c r="BD39" s="190">
        <v>1</v>
      </c>
      <c r="BE39" s="190">
        <v>3264</v>
      </c>
      <c r="BF39" s="190">
        <v>30</v>
      </c>
      <c r="BG39" s="190">
        <v>36</v>
      </c>
      <c r="BH39" s="190">
        <v>418</v>
      </c>
      <c r="BI39" s="190">
        <v>3330</v>
      </c>
      <c r="BJ39" s="190">
        <v>3748</v>
      </c>
      <c r="BK39" s="190">
        <v>-317</v>
      </c>
      <c r="BL39" s="190">
        <v>317</v>
      </c>
      <c r="BM39" s="190">
        <v>0</v>
      </c>
      <c r="BN39" s="190">
        <v>19</v>
      </c>
      <c r="BO39" s="190">
        <v>117</v>
      </c>
      <c r="BP39" s="190">
        <v>136</v>
      </c>
      <c r="BQ39" s="190">
        <v>49</v>
      </c>
      <c r="BR39" s="190">
        <v>477</v>
      </c>
      <c r="BS39" s="190">
        <v>526</v>
      </c>
      <c r="BT39" s="190">
        <v>1019</v>
      </c>
      <c r="BU39" s="190">
        <v>4446</v>
      </c>
      <c r="BV39" s="190">
        <v>5465</v>
      </c>
      <c r="BW39" s="190">
        <v>14978</v>
      </c>
      <c r="BX39" s="190">
        <v>89799</v>
      </c>
      <c r="BY39" s="190">
        <v>104777</v>
      </c>
      <c r="BZ39" s="190">
        <v>14445</v>
      </c>
      <c r="CA39" s="190">
        <v>88107</v>
      </c>
      <c r="CB39" s="190">
        <v>102552</v>
      </c>
      <c r="CC39" s="190">
        <v>213197</v>
      </c>
      <c r="CD39" s="190">
        <v>128</v>
      </c>
      <c r="CE39" s="190">
        <v>2439</v>
      </c>
      <c r="CF39" s="190">
        <v>526</v>
      </c>
      <c r="CG39" s="190">
        <v>1090</v>
      </c>
      <c r="CH39" s="190">
        <v>1616</v>
      </c>
      <c r="CI39" s="190">
        <v>811</v>
      </c>
      <c r="CJ39" s="190">
        <v>18</v>
      </c>
      <c r="CK39" s="190">
        <v>7</v>
      </c>
      <c r="CL39" s="190">
        <v>602</v>
      </c>
      <c r="CM39" s="190">
        <v>609</v>
      </c>
      <c r="CN39" s="190">
        <v>956</v>
      </c>
      <c r="CO39" s="190">
        <v>8835</v>
      </c>
      <c r="CP39" s="190">
        <v>9791</v>
      </c>
      <c r="CQ39" s="190">
        <v>0</v>
      </c>
      <c r="CR39" s="190">
        <v>19</v>
      </c>
      <c r="CS39" s="190">
        <v>19</v>
      </c>
      <c r="CT39" s="190">
        <v>14022</v>
      </c>
      <c r="CU39" s="190">
        <v>80964</v>
      </c>
      <c r="CV39" s="190">
        <v>94986</v>
      </c>
      <c r="CW39" s="190">
        <v>1002</v>
      </c>
      <c r="CX39" s="190">
        <v>4150</v>
      </c>
      <c r="CY39" s="190">
        <v>5152</v>
      </c>
      <c r="CZ39" s="190">
        <v>940</v>
      </c>
      <c r="DA39" s="190">
        <v>35</v>
      </c>
      <c r="DB39" s="190">
        <v>0</v>
      </c>
      <c r="DC39" s="190">
        <v>3832</v>
      </c>
      <c r="DD39" s="190">
        <v>76</v>
      </c>
      <c r="DE39" s="190">
        <v>9</v>
      </c>
      <c r="DF39" s="190">
        <v>975</v>
      </c>
      <c r="DG39" s="190">
        <v>3917</v>
      </c>
      <c r="DH39" s="190">
        <v>4892</v>
      </c>
      <c r="DI39" s="190">
        <v>27</v>
      </c>
      <c r="DJ39" s="190">
        <v>0</v>
      </c>
      <c r="DK39" s="190">
        <v>0</v>
      </c>
      <c r="DL39" s="190">
        <v>229</v>
      </c>
      <c r="DM39" s="190">
        <v>4</v>
      </c>
      <c r="DN39" s="190">
        <v>0</v>
      </c>
      <c r="DO39" s="190">
        <v>27</v>
      </c>
      <c r="DP39" s="190">
        <v>233</v>
      </c>
      <c r="DQ39" s="190">
        <v>260</v>
      </c>
      <c r="DR39" s="190">
        <v>0</v>
      </c>
      <c r="DS39" s="190">
        <v>0</v>
      </c>
      <c r="DT39" s="191">
        <v>0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166</v>
      </c>
      <c r="C40" s="190">
        <v>29</v>
      </c>
      <c r="D40" s="190">
        <v>155</v>
      </c>
      <c r="E40" s="190">
        <v>92</v>
      </c>
      <c r="F40" s="190">
        <v>0</v>
      </c>
      <c r="G40" s="190">
        <v>1</v>
      </c>
      <c r="H40" s="190">
        <v>1</v>
      </c>
      <c r="I40" s="190">
        <v>0</v>
      </c>
      <c r="J40" s="190">
        <v>52</v>
      </c>
      <c r="K40" s="190">
        <v>52</v>
      </c>
      <c r="L40" s="190">
        <v>0</v>
      </c>
      <c r="M40" s="190">
        <v>10</v>
      </c>
      <c r="N40" s="190">
        <v>10</v>
      </c>
      <c r="O40" s="190">
        <v>0</v>
      </c>
      <c r="P40" s="190">
        <v>42</v>
      </c>
      <c r="Q40" s="190">
        <v>42</v>
      </c>
      <c r="R40" s="190">
        <v>0</v>
      </c>
      <c r="S40" s="190">
        <v>1</v>
      </c>
      <c r="T40" s="190">
        <v>1</v>
      </c>
      <c r="U40" s="190">
        <v>0</v>
      </c>
      <c r="V40" s="190">
        <v>11</v>
      </c>
      <c r="W40" s="190">
        <v>11</v>
      </c>
      <c r="X40" s="190">
        <v>7</v>
      </c>
      <c r="Y40" s="190">
        <v>148</v>
      </c>
      <c r="Z40" s="190">
        <v>155</v>
      </c>
      <c r="AA40" s="190">
        <v>4</v>
      </c>
      <c r="AB40" s="190">
        <v>62</v>
      </c>
      <c r="AC40" s="190">
        <v>66</v>
      </c>
      <c r="AD40" s="190">
        <v>4</v>
      </c>
      <c r="AE40" s="190">
        <v>58</v>
      </c>
      <c r="AF40" s="190">
        <v>62</v>
      </c>
      <c r="AG40" s="190">
        <v>0</v>
      </c>
      <c r="AH40" s="190">
        <v>3</v>
      </c>
      <c r="AI40" s="190">
        <v>3</v>
      </c>
      <c r="AJ40" s="190">
        <v>0</v>
      </c>
      <c r="AK40" s="190">
        <v>1</v>
      </c>
      <c r="AL40" s="190">
        <v>1</v>
      </c>
      <c r="AM40" s="190">
        <v>3</v>
      </c>
      <c r="AN40" s="190">
        <v>86</v>
      </c>
      <c r="AO40" s="190">
        <v>89</v>
      </c>
      <c r="AP40" s="190">
        <v>245</v>
      </c>
      <c r="AQ40" s="190">
        <v>2103</v>
      </c>
      <c r="AR40" s="190">
        <v>2348</v>
      </c>
      <c r="AS40" s="190">
        <v>245</v>
      </c>
      <c r="AT40" s="190">
        <v>2103</v>
      </c>
      <c r="AU40" s="190">
        <v>2348</v>
      </c>
      <c r="AV40" s="190">
        <v>0</v>
      </c>
      <c r="AW40" s="190">
        <v>0</v>
      </c>
      <c r="AX40" s="190">
        <v>0</v>
      </c>
      <c r="AY40" s="190">
        <v>15</v>
      </c>
      <c r="AZ40" s="190">
        <v>177</v>
      </c>
      <c r="BA40" s="190">
        <v>192</v>
      </c>
      <c r="BB40" s="190">
        <v>7</v>
      </c>
      <c r="BC40" s="190">
        <v>0</v>
      </c>
      <c r="BD40" s="190">
        <v>0</v>
      </c>
      <c r="BE40" s="190">
        <v>85</v>
      </c>
      <c r="BF40" s="190">
        <v>0</v>
      </c>
      <c r="BG40" s="190">
        <v>0</v>
      </c>
      <c r="BH40" s="190">
        <v>7</v>
      </c>
      <c r="BI40" s="190">
        <v>85</v>
      </c>
      <c r="BJ40" s="190">
        <v>92</v>
      </c>
      <c r="BK40" s="190">
        <v>-1</v>
      </c>
      <c r="BL40" s="190">
        <v>1</v>
      </c>
      <c r="BM40" s="190">
        <v>0</v>
      </c>
      <c r="BN40" s="190">
        <v>1</v>
      </c>
      <c r="BO40" s="190">
        <v>7</v>
      </c>
      <c r="BP40" s="190">
        <v>8</v>
      </c>
      <c r="BQ40" s="190">
        <v>1</v>
      </c>
      <c r="BR40" s="190">
        <v>27</v>
      </c>
      <c r="BS40" s="190">
        <v>28</v>
      </c>
      <c r="BT40" s="190">
        <v>7</v>
      </c>
      <c r="BU40" s="190">
        <v>57</v>
      </c>
      <c r="BV40" s="190">
        <v>64</v>
      </c>
      <c r="BW40" s="190">
        <v>260</v>
      </c>
      <c r="BX40" s="190">
        <v>2280</v>
      </c>
      <c r="BY40" s="190">
        <v>2540</v>
      </c>
      <c r="BZ40" s="190">
        <v>257</v>
      </c>
      <c r="CA40" s="190">
        <v>2260</v>
      </c>
      <c r="CB40" s="190">
        <v>2517</v>
      </c>
      <c r="CC40" s="190">
        <v>5547</v>
      </c>
      <c r="CD40" s="190">
        <v>2</v>
      </c>
      <c r="CE40" s="190">
        <v>21</v>
      </c>
      <c r="CF40" s="190">
        <v>3</v>
      </c>
      <c r="CG40" s="190">
        <v>18</v>
      </c>
      <c r="CH40" s="190">
        <v>21</v>
      </c>
      <c r="CI40" s="190">
        <v>2</v>
      </c>
      <c r="CJ40" s="190">
        <v>0</v>
      </c>
      <c r="CK40" s="190">
        <v>0</v>
      </c>
      <c r="CL40" s="190">
        <v>2</v>
      </c>
      <c r="CM40" s="190">
        <v>2</v>
      </c>
      <c r="CN40" s="190">
        <v>22</v>
      </c>
      <c r="CO40" s="190">
        <v>191</v>
      </c>
      <c r="CP40" s="190">
        <v>213</v>
      </c>
      <c r="CQ40" s="190">
        <v>0</v>
      </c>
      <c r="CR40" s="190">
        <v>0</v>
      </c>
      <c r="CS40" s="190">
        <v>0</v>
      </c>
      <c r="CT40" s="190">
        <v>238</v>
      </c>
      <c r="CU40" s="190">
        <v>2089</v>
      </c>
      <c r="CV40" s="190">
        <v>2327</v>
      </c>
      <c r="CW40" s="190">
        <v>25</v>
      </c>
      <c r="CX40" s="190">
        <v>91</v>
      </c>
      <c r="CY40" s="190">
        <v>116</v>
      </c>
      <c r="CZ40" s="190">
        <v>25</v>
      </c>
      <c r="DA40" s="190">
        <v>0</v>
      </c>
      <c r="DB40" s="190">
        <v>0</v>
      </c>
      <c r="DC40" s="190">
        <v>89</v>
      </c>
      <c r="DD40" s="190">
        <v>1</v>
      </c>
      <c r="DE40" s="190">
        <v>1</v>
      </c>
      <c r="DF40" s="190">
        <v>25</v>
      </c>
      <c r="DG40" s="190">
        <v>91</v>
      </c>
      <c r="DH40" s="190">
        <v>116</v>
      </c>
      <c r="DI40" s="190">
        <v>0</v>
      </c>
      <c r="DJ40" s="190">
        <v>0</v>
      </c>
      <c r="DK40" s="190">
        <v>0</v>
      </c>
      <c r="DL40" s="190">
        <v>0</v>
      </c>
      <c r="DM40" s="190">
        <v>0</v>
      </c>
      <c r="DN40" s="190">
        <v>0</v>
      </c>
      <c r="DO40" s="190">
        <v>0</v>
      </c>
      <c r="DP40" s="190">
        <v>0</v>
      </c>
      <c r="DQ40" s="190">
        <v>0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12146</v>
      </c>
      <c r="C41" s="190">
        <v>2819</v>
      </c>
      <c r="D41" s="190">
        <v>11925</v>
      </c>
      <c r="E41" s="190">
        <v>8429</v>
      </c>
      <c r="F41" s="190">
        <v>7</v>
      </c>
      <c r="G41" s="190">
        <v>39</v>
      </c>
      <c r="H41" s="190">
        <v>46</v>
      </c>
      <c r="I41" s="190">
        <v>7</v>
      </c>
      <c r="J41" s="190">
        <v>3234</v>
      </c>
      <c r="K41" s="190">
        <v>3241</v>
      </c>
      <c r="L41" s="190">
        <v>7</v>
      </c>
      <c r="M41" s="190">
        <v>1510</v>
      </c>
      <c r="N41" s="190">
        <v>1517</v>
      </c>
      <c r="O41" s="190">
        <v>0</v>
      </c>
      <c r="P41" s="190">
        <v>1724</v>
      </c>
      <c r="Q41" s="190">
        <v>1724</v>
      </c>
      <c r="R41" s="190">
        <v>0</v>
      </c>
      <c r="S41" s="190">
        <v>45</v>
      </c>
      <c r="T41" s="190">
        <v>45</v>
      </c>
      <c r="U41" s="190">
        <v>0</v>
      </c>
      <c r="V41" s="190">
        <v>255</v>
      </c>
      <c r="W41" s="190">
        <v>255</v>
      </c>
      <c r="X41" s="190">
        <v>396</v>
      </c>
      <c r="Y41" s="190">
        <v>11523</v>
      </c>
      <c r="Z41" s="190">
        <v>11919</v>
      </c>
      <c r="AA41" s="190">
        <v>261</v>
      </c>
      <c r="AB41" s="190">
        <v>5513</v>
      </c>
      <c r="AC41" s="190">
        <v>5774</v>
      </c>
      <c r="AD41" s="190">
        <v>237</v>
      </c>
      <c r="AE41" s="190">
        <v>5281</v>
      </c>
      <c r="AF41" s="190">
        <v>5518</v>
      </c>
      <c r="AG41" s="190">
        <v>18</v>
      </c>
      <c r="AH41" s="190">
        <v>134</v>
      </c>
      <c r="AI41" s="190">
        <v>152</v>
      </c>
      <c r="AJ41" s="190">
        <v>6</v>
      </c>
      <c r="AK41" s="190">
        <v>98</v>
      </c>
      <c r="AL41" s="190">
        <v>104</v>
      </c>
      <c r="AM41" s="190">
        <v>135</v>
      </c>
      <c r="AN41" s="190">
        <v>6010</v>
      </c>
      <c r="AO41" s="190">
        <v>6145</v>
      </c>
      <c r="AP41" s="190">
        <v>24079</v>
      </c>
      <c r="AQ41" s="190">
        <v>145471</v>
      </c>
      <c r="AR41" s="190">
        <v>169550</v>
      </c>
      <c r="AS41" s="190">
        <v>24079</v>
      </c>
      <c r="AT41" s="190">
        <v>145472</v>
      </c>
      <c r="AU41" s="190">
        <v>169551</v>
      </c>
      <c r="AV41" s="190">
        <v>0</v>
      </c>
      <c r="AW41" s="190">
        <v>-1</v>
      </c>
      <c r="AX41" s="190">
        <v>-1</v>
      </c>
      <c r="AY41" s="190">
        <v>1079</v>
      </c>
      <c r="AZ41" s="190">
        <v>11517</v>
      </c>
      <c r="BA41" s="190">
        <v>12596</v>
      </c>
      <c r="BB41" s="190">
        <v>453</v>
      </c>
      <c r="BC41" s="190">
        <v>3</v>
      </c>
      <c r="BD41" s="190">
        <v>2</v>
      </c>
      <c r="BE41" s="190">
        <v>7900</v>
      </c>
      <c r="BF41" s="190">
        <v>45</v>
      </c>
      <c r="BG41" s="190">
        <v>26</v>
      </c>
      <c r="BH41" s="190">
        <v>458</v>
      </c>
      <c r="BI41" s="190">
        <v>7971</v>
      </c>
      <c r="BJ41" s="190">
        <v>8429</v>
      </c>
      <c r="BK41" s="190">
        <v>-125</v>
      </c>
      <c r="BL41" s="190">
        <v>125</v>
      </c>
      <c r="BM41" s="190">
        <v>0</v>
      </c>
      <c r="BN41" s="190">
        <v>33</v>
      </c>
      <c r="BO41" s="190">
        <v>191</v>
      </c>
      <c r="BP41" s="190">
        <v>224</v>
      </c>
      <c r="BQ41" s="190">
        <v>81</v>
      </c>
      <c r="BR41" s="190">
        <v>675</v>
      </c>
      <c r="BS41" s="190">
        <v>756</v>
      </c>
      <c r="BT41" s="190">
        <v>632</v>
      </c>
      <c r="BU41" s="190">
        <v>2555</v>
      </c>
      <c r="BV41" s="190">
        <v>3187</v>
      </c>
      <c r="BW41" s="190">
        <v>25158</v>
      </c>
      <c r="BX41" s="190">
        <v>156988</v>
      </c>
      <c r="BY41" s="190">
        <v>182146</v>
      </c>
      <c r="BZ41" s="190">
        <v>24983</v>
      </c>
      <c r="CA41" s="190">
        <v>155684</v>
      </c>
      <c r="CB41" s="190">
        <v>180667</v>
      </c>
      <c r="CC41" s="190">
        <v>394507</v>
      </c>
      <c r="CD41" s="190">
        <v>118</v>
      </c>
      <c r="CE41" s="190">
        <v>1177</v>
      </c>
      <c r="CF41" s="190">
        <v>167</v>
      </c>
      <c r="CG41" s="190">
        <v>926</v>
      </c>
      <c r="CH41" s="190">
        <v>1093</v>
      </c>
      <c r="CI41" s="190">
        <v>439</v>
      </c>
      <c r="CJ41" s="190">
        <v>62</v>
      </c>
      <c r="CK41" s="190">
        <v>8</v>
      </c>
      <c r="CL41" s="190">
        <v>378</v>
      </c>
      <c r="CM41" s="190">
        <v>386</v>
      </c>
      <c r="CN41" s="190">
        <v>1611</v>
      </c>
      <c r="CO41" s="190">
        <v>11996</v>
      </c>
      <c r="CP41" s="190">
        <v>13607</v>
      </c>
      <c r="CQ41" s="190">
        <v>0</v>
      </c>
      <c r="CR41" s="190">
        <v>0</v>
      </c>
      <c r="CS41" s="190">
        <v>0</v>
      </c>
      <c r="CT41" s="190">
        <v>23547</v>
      </c>
      <c r="CU41" s="190">
        <v>144992</v>
      </c>
      <c r="CV41" s="190">
        <v>168539</v>
      </c>
      <c r="CW41" s="190">
        <v>1603</v>
      </c>
      <c r="CX41" s="190">
        <v>6461</v>
      </c>
      <c r="CY41" s="190">
        <v>8064</v>
      </c>
      <c r="CZ41" s="190">
        <v>1591</v>
      </c>
      <c r="DA41" s="190">
        <v>10</v>
      </c>
      <c r="DB41" s="190">
        <v>0</v>
      </c>
      <c r="DC41" s="190">
        <v>6344</v>
      </c>
      <c r="DD41" s="190">
        <v>56</v>
      </c>
      <c r="DE41" s="190">
        <v>11</v>
      </c>
      <c r="DF41" s="190">
        <v>1601</v>
      </c>
      <c r="DG41" s="190">
        <v>6411</v>
      </c>
      <c r="DH41" s="190">
        <v>8012</v>
      </c>
      <c r="DI41" s="190">
        <v>2</v>
      </c>
      <c r="DJ41" s="190">
        <v>0</v>
      </c>
      <c r="DK41" s="190">
        <v>0</v>
      </c>
      <c r="DL41" s="190">
        <v>50</v>
      </c>
      <c r="DM41" s="190">
        <v>0</v>
      </c>
      <c r="DN41" s="190">
        <v>0</v>
      </c>
      <c r="DO41" s="190">
        <v>2</v>
      </c>
      <c r="DP41" s="190">
        <v>50</v>
      </c>
      <c r="DQ41" s="190">
        <v>52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10308</v>
      </c>
      <c r="C42" s="190">
        <v>3324</v>
      </c>
      <c r="D42" s="190">
        <v>9994</v>
      </c>
      <c r="E42" s="190">
        <v>5811</v>
      </c>
      <c r="F42" s="190">
        <v>8</v>
      </c>
      <c r="G42" s="190">
        <v>79</v>
      </c>
      <c r="H42" s="190">
        <v>87</v>
      </c>
      <c r="I42" s="190">
        <v>7</v>
      </c>
      <c r="J42" s="190">
        <v>3860</v>
      </c>
      <c r="K42" s="190">
        <v>3867</v>
      </c>
      <c r="L42" s="190">
        <v>7</v>
      </c>
      <c r="M42" s="190">
        <v>3853</v>
      </c>
      <c r="N42" s="190">
        <v>3860</v>
      </c>
      <c r="O42" s="190">
        <v>0</v>
      </c>
      <c r="P42" s="190">
        <v>7</v>
      </c>
      <c r="Q42" s="190">
        <v>7</v>
      </c>
      <c r="R42" s="190">
        <v>1</v>
      </c>
      <c r="S42" s="190">
        <v>360</v>
      </c>
      <c r="T42" s="190">
        <v>361</v>
      </c>
      <c r="U42" s="190">
        <v>0</v>
      </c>
      <c r="V42" s="190">
        <v>316</v>
      </c>
      <c r="W42" s="190">
        <v>316</v>
      </c>
      <c r="X42" s="190">
        <v>174</v>
      </c>
      <c r="Y42" s="190">
        <v>6634</v>
      </c>
      <c r="Z42" s="190">
        <v>6808</v>
      </c>
      <c r="AA42" s="190">
        <v>95</v>
      </c>
      <c r="AB42" s="190">
        <v>2244</v>
      </c>
      <c r="AC42" s="190">
        <v>2339</v>
      </c>
      <c r="AD42" s="190">
        <v>91</v>
      </c>
      <c r="AE42" s="190">
        <v>2195</v>
      </c>
      <c r="AF42" s="190">
        <v>2286</v>
      </c>
      <c r="AG42" s="190">
        <v>4</v>
      </c>
      <c r="AH42" s="190">
        <v>38</v>
      </c>
      <c r="AI42" s="190">
        <v>42</v>
      </c>
      <c r="AJ42" s="190">
        <v>0</v>
      </c>
      <c r="AK42" s="190">
        <v>11</v>
      </c>
      <c r="AL42" s="190">
        <v>11</v>
      </c>
      <c r="AM42" s="190">
        <v>79</v>
      </c>
      <c r="AN42" s="190">
        <v>4390</v>
      </c>
      <c r="AO42" s="190">
        <v>4469</v>
      </c>
      <c r="AP42" s="190">
        <v>13093</v>
      </c>
      <c r="AQ42" s="190">
        <v>120503</v>
      </c>
      <c r="AR42" s="190">
        <v>133596</v>
      </c>
      <c r="AS42" s="190">
        <v>13062</v>
      </c>
      <c r="AT42" s="190">
        <v>119723</v>
      </c>
      <c r="AU42" s="190">
        <v>132785</v>
      </c>
      <c r="AV42" s="190">
        <v>31</v>
      </c>
      <c r="AW42" s="190">
        <v>780</v>
      </c>
      <c r="AX42" s="190">
        <v>811</v>
      </c>
      <c r="AY42" s="190">
        <v>458</v>
      </c>
      <c r="AZ42" s="190">
        <v>9184</v>
      </c>
      <c r="BA42" s="190">
        <v>9642</v>
      </c>
      <c r="BB42" s="190">
        <v>247</v>
      </c>
      <c r="BC42" s="190">
        <v>2</v>
      </c>
      <c r="BD42" s="190">
        <v>0</v>
      </c>
      <c r="BE42" s="190">
        <v>5448</v>
      </c>
      <c r="BF42" s="190">
        <v>77</v>
      </c>
      <c r="BG42" s="190">
        <v>37</v>
      </c>
      <c r="BH42" s="190">
        <v>249</v>
      </c>
      <c r="BI42" s="190">
        <v>5562</v>
      </c>
      <c r="BJ42" s="190">
        <v>5811</v>
      </c>
      <c r="BK42" s="190">
        <v>-211</v>
      </c>
      <c r="BL42" s="190">
        <v>211</v>
      </c>
      <c r="BM42" s="190">
        <v>0</v>
      </c>
      <c r="BN42" s="190">
        <v>20</v>
      </c>
      <c r="BO42" s="190">
        <v>98</v>
      </c>
      <c r="BP42" s="190">
        <v>118</v>
      </c>
      <c r="BQ42" s="190">
        <v>5</v>
      </c>
      <c r="BR42" s="190">
        <v>205</v>
      </c>
      <c r="BS42" s="190">
        <v>210</v>
      </c>
      <c r="BT42" s="190">
        <v>395</v>
      </c>
      <c r="BU42" s="190">
        <v>3108</v>
      </c>
      <c r="BV42" s="190">
        <v>3503</v>
      </c>
      <c r="BW42" s="190">
        <v>13551</v>
      </c>
      <c r="BX42" s="190">
        <v>129687</v>
      </c>
      <c r="BY42" s="190">
        <v>143238</v>
      </c>
      <c r="BZ42" s="190">
        <v>13231</v>
      </c>
      <c r="CA42" s="190">
        <v>127168</v>
      </c>
      <c r="CB42" s="190">
        <v>140399</v>
      </c>
      <c r="CC42" s="190">
        <v>288068</v>
      </c>
      <c r="CD42" s="190">
        <v>264</v>
      </c>
      <c r="CE42" s="190">
        <v>2479</v>
      </c>
      <c r="CF42" s="190">
        <v>313</v>
      </c>
      <c r="CG42" s="190">
        <v>1741</v>
      </c>
      <c r="CH42" s="190">
        <v>2054</v>
      </c>
      <c r="CI42" s="190">
        <v>964</v>
      </c>
      <c r="CJ42" s="190">
        <v>45</v>
      </c>
      <c r="CK42" s="190">
        <v>7</v>
      </c>
      <c r="CL42" s="190">
        <v>778</v>
      </c>
      <c r="CM42" s="190">
        <v>785</v>
      </c>
      <c r="CN42" s="190">
        <v>848</v>
      </c>
      <c r="CO42" s="190">
        <v>11726</v>
      </c>
      <c r="CP42" s="190">
        <v>12574</v>
      </c>
      <c r="CQ42" s="190">
        <v>1</v>
      </c>
      <c r="CR42" s="190">
        <v>13</v>
      </c>
      <c r="CS42" s="190">
        <v>14</v>
      </c>
      <c r="CT42" s="190">
        <v>12703</v>
      </c>
      <c r="CU42" s="190">
        <v>117961</v>
      </c>
      <c r="CV42" s="190">
        <v>130664</v>
      </c>
      <c r="CW42" s="190">
        <v>1158</v>
      </c>
      <c r="CX42" s="190">
        <v>6239</v>
      </c>
      <c r="CY42" s="190">
        <v>7397</v>
      </c>
      <c r="CZ42" s="190">
        <v>1065</v>
      </c>
      <c r="DA42" s="190">
        <v>29</v>
      </c>
      <c r="DB42" s="190">
        <v>1</v>
      </c>
      <c r="DC42" s="190">
        <v>5502</v>
      </c>
      <c r="DD42" s="190">
        <v>88</v>
      </c>
      <c r="DE42" s="190">
        <v>25</v>
      </c>
      <c r="DF42" s="190">
        <v>1095</v>
      </c>
      <c r="DG42" s="190">
        <v>5615</v>
      </c>
      <c r="DH42" s="190">
        <v>6710</v>
      </c>
      <c r="DI42" s="190">
        <v>63</v>
      </c>
      <c r="DJ42" s="190">
        <v>0</v>
      </c>
      <c r="DK42" s="190">
        <v>0</v>
      </c>
      <c r="DL42" s="190">
        <v>607</v>
      </c>
      <c r="DM42" s="190">
        <v>15</v>
      </c>
      <c r="DN42" s="190">
        <v>2</v>
      </c>
      <c r="DO42" s="190">
        <v>63</v>
      </c>
      <c r="DP42" s="190">
        <v>624</v>
      </c>
      <c r="DQ42" s="190">
        <v>687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2616</v>
      </c>
      <c r="C43" s="190">
        <v>684</v>
      </c>
      <c r="D43" s="190">
        <v>2203</v>
      </c>
      <c r="E43" s="190">
        <v>1543</v>
      </c>
      <c r="F43" s="190">
        <v>3</v>
      </c>
      <c r="G43" s="190">
        <v>12</v>
      </c>
      <c r="H43" s="190">
        <v>15</v>
      </c>
      <c r="I43" s="190">
        <v>1</v>
      </c>
      <c r="J43" s="190">
        <v>566</v>
      </c>
      <c r="K43" s="190">
        <v>567</v>
      </c>
      <c r="L43" s="190">
        <v>0</v>
      </c>
      <c r="M43" s="190">
        <v>200</v>
      </c>
      <c r="N43" s="190">
        <v>200</v>
      </c>
      <c r="O43" s="190">
        <v>1</v>
      </c>
      <c r="P43" s="190">
        <v>366</v>
      </c>
      <c r="Q43" s="190">
        <v>367</v>
      </c>
      <c r="R43" s="190">
        <v>0</v>
      </c>
      <c r="S43" s="190">
        <v>23</v>
      </c>
      <c r="T43" s="190">
        <v>23</v>
      </c>
      <c r="U43" s="190">
        <v>0</v>
      </c>
      <c r="V43" s="190">
        <v>93</v>
      </c>
      <c r="W43" s="190">
        <v>93</v>
      </c>
      <c r="X43" s="190">
        <v>60</v>
      </c>
      <c r="Y43" s="190">
        <v>1521</v>
      </c>
      <c r="Z43" s="190">
        <v>1581</v>
      </c>
      <c r="AA43" s="190">
        <v>47</v>
      </c>
      <c r="AB43" s="190">
        <v>668</v>
      </c>
      <c r="AC43" s="190">
        <v>715</v>
      </c>
      <c r="AD43" s="190">
        <v>41</v>
      </c>
      <c r="AE43" s="190">
        <v>620</v>
      </c>
      <c r="AF43" s="190">
        <v>661</v>
      </c>
      <c r="AG43" s="190">
        <v>3</v>
      </c>
      <c r="AH43" s="190">
        <v>41</v>
      </c>
      <c r="AI43" s="190">
        <v>44</v>
      </c>
      <c r="AJ43" s="190">
        <v>3</v>
      </c>
      <c r="AK43" s="190">
        <v>7</v>
      </c>
      <c r="AL43" s="190">
        <v>10</v>
      </c>
      <c r="AM43" s="190">
        <v>13</v>
      </c>
      <c r="AN43" s="190">
        <v>853</v>
      </c>
      <c r="AO43" s="190">
        <v>866</v>
      </c>
      <c r="AP43" s="190">
        <v>2239</v>
      </c>
      <c r="AQ43" s="190">
        <v>30426</v>
      </c>
      <c r="AR43" s="190">
        <v>32665</v>
      </c>
      <c r="AS43" s="190">
        <v>2268</v>
      </c>
      <c r="AT43" s="190">
        <v>30037</v>
      </c>
      <c r="AU43" s="190">
        <v>32305</v>
      </c>
      <c r="AV43" s="190">
        <v>-29</v>
      </c>
      <c r="AW43" s="190">
        <v>389</v>
      </c>
      <c r="AX43" s="190">
        <v>360</v>
      </c>
      <c r="AY43" s="190">
        <v>90</v>
      </c>
      <c r="AZ43" s="190">
        <v>2455</v>
      </c>
      <c r="BA43" s="190">
        <v>2545</v>
      </c>
      <c r="BB43" s="190">
        <v>57</v>
      </c>
      <c r="BC43" s="190">
        <v>0</v>
      </c>
      <c r="BD43" s="190">
        <v>0</v>
      </c>
      <c r="BE43" s="190">
        <v>1375</v>
      </c>
      <c r="BF43" s="190">
        <v>49</v>
      </c>
      <c r="BG43" s="190">
        <v>62</v>
      </c>
      <c r="BH43" s="190">
        <v>57</v>
      </c>
      <c r="BI43" s="190">
        <v>1486</v>
      </c>
      <c r="BJ43" s="190">
        <v>1543</v>
      </c>
      <c r="BK43" s="190">
        <v>-56</v>
      </c>
      <c r="BL43" s="190">
        <v>56</v>
      </c>
      <c r="BM43" s="190">
        <v>0</v>
      </c>
      <c r="BN43" s="190">
        <v>7</v>
      </c>
      <c r="BO43" s="190">
        <v>36</v>
      </c>
      <c r="BP43" s="190">
        <v>43</v>
      </c>
      <c r="BQ43" s="190">
        <v>8</v>
      </c>
      <c r="BR43" s="190">
        <v>215</v>
      </c>
      <c r="BS43" s="190">
        <v>223</v>
      </c>
      <c r="BT43" s="190">
        <v>74</v>
      </c>
      <c r="BU43" s="190">
        <v>662</v>
      </c>
      <c r="BV43" s="190">
        <v>736</v>
      </c>
      <c r="BW43" s="190">
        <v>2329</v>
      </c>
      <c r="BX43" s="190">
        <v>32881</v>
      </c>
      <c r="BY43" s="190">
        <v>35210</v>
      </c>
      <c r="BZ43" s="190">
        <v>2190</v>
      </c>
      <c r="CA43" s="190">
        <v>31187</v>
      </c>
      <c r="CB43" s="190">
        <v>33377</v>
      </c>
      <c r="CC43" s="190">
        <v>52211</v>
      </c>
      <c r="CD43" s="190">
        <v>84</v>
      </c>
      <c r="CE43" s="190">
        <v>1230</v>
      </c>
      <c r="CF43" s="190">
        <v>133</v>
      </c>
      <c r="CG43" s="190">
        <v>830</v>
      </c>
      <c r="CH43" s="190">
        <v>963</v>
      </c>
      <c r="CI43" s="190">
        <v>1179</v>
      </c>
      <c r="CJ43" s="190">
        <v>53</v>
      </c>
      <c r="CK43" s="190">
        <v>6</v>
      </c>
      <c r="CL43" s="190">
        <v>864</v>
      </c>
      <c r="CM43" s="190">
        <v>870</v>
      </c>
      <c r="CN43" s="190">
        <v>171</v>
      </c>
      <c r="CO43" s="190">
        <v>2952</v>
      </c>
      <c r="CP43" s="190">
        <v>3123</v>
      </c>
      <c r="CQ43" s="190">
        <v>0</v>
      </c>
      <c r="CR43" s="190">
        <v>3</v>
      </c>
      <c r="CS43" s="190">
        <v>3</v>
      </c>
      <c r="CT43" s="190">
        <v>2158</v>
      </c>
      <c r="CU43" s="190">
        <v>29929</v>
      </c>
      <c r="CV43" s="190">
        <v>32087</v>
      </c>
      <c r="CW43" s="190">
        <v>180</v>
      </c>
      <c r="CX43" s="190">
        <v>1293</v>
      </c>
      <c r="CY43" s="190">
        <v>1473</v>
      </c>
      <c r="CZ43" s="190">
        <v>162</v>
      </c>
      <c r="DA43" s="190">
        <v>15</v>
      </c>
      <c r="DB43" s="190">
        <v>0</v>
      </c>
      <c r="DC43" s="190">
        <v>1186</v>
      </c>
      <c r="DD43" s="190">
        <v>41</v>
      </c>
      <c r="DE43" s="190">
        <v>20</v>
      </c>
      <c r="DF43" s="190">
        <v>177</v>
      </c>
      <c r="DG43" s="190">
        <v>1247</v>
      </c>
      <c r="DH43" s="190">
        <v>1424</v>
      </c>
      <c r="DI43" s="190">
        <v>2</v>
      </c>
      <c r="DJ43" s="190">
        <v>1</v>
      </c>
      <c r="DK43" s="190">
        <v>0</v>
      </c>
      <c r="DL43" s="190">
        <v>43</v>
      </c>
      <c r="DM43" s="190">
        <v>3</v>
      </c>
      <c r="DN43" s="190">
        <v>0</v>
      </c>
      <c r="DO43" s="190">
        <v>3</v>
      </c>
      <c r="DP43" s="190">
        <v>46</v>
      </c>
      <c r="DQ43" s="190">
        <v>49</v>
      </c>
      <c r="DR43" s="190">
        <v>0</v>
      </c>
      <c r="DS43" s="190">
        <v>3</v>
      </c>
      <c r="DT43" s="191">
        <v>3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2857</v>
      </c>
      <c r="C44" s="190">
        <v>864</v>
      </c>
      <c r="D44" s="190">
        <v>2648</v>
      </c>
      <c r="E44" s="190">
        <v>1568</v>
      </c>
      <c r="F44" s="190">
        <v>5</v>
      </c>
      <c r="G44" s="190">
        <v>46</v>
      </c>
      <c r="H44" s="190">
        <v>51</v>
      </c>
      <c r="I44" s="190">
        <v>1</v>
      </c>
      <c r="J44" s="190">
        <v>959</v>
      </c>
      <c r="K44" s="190">
        <v>960</v>
      </c>
      <c r="L44" s="190">
        <v>1</v>
      </c>
      <c r="M44" s="190">
        <v>434</v>
      </c>
      <c r="N44" s="190">
        <v>435</v>
      </c>
      <c r="O44" s="190">
        <v>0</v>
      </c>
      <c r="P44" s="190">
        <v>525</v>
      </c>
      <c r="Q44" s="190">
        <v>525</v>
      </c>
      <c r="R44" s="190">
        <v>0</v>
      </c>
      <c r="S44" s="190">
        <v>31</v>
      </c>
      <c r="T44" s="190">
        <v>31</v>
      </c>
      <c r="U44" s="190">
        <v>0</v>
      </c>
      <c r="V44" s="190">
        <v>120</v>
      </c>
      <c r="W44" s="190">
        <v>120</v>
      </c>
      <c r="X44" s="190">
        <v>84</v>
      </c>
      <c r="Y44" s="190">
        <v>2557</v>
      </c>
      <c r="Z44" s="190">
        <v>2641</v>
      </c>
      <c r="AA44" s="190">
        <v>53</v>
      </c>
      <c r="AB44" s="190">
        <v>988</v>
      </c>
      <c r="AC44" s="190">
        <v>1041</v>
      </c>
      <c r="AD44" s="190">
        <v>44</v>
      </c>
      <c r="AE44" s="190">
        <v>839</v>
      </c>
      <c r="AF44" s="190">
        <v>883</v>
      </c>
      <c r="AG44" s="190">
        <v>4</v>
      </c>
      <c r="AH44" s="190">
        <v>92</v>
      </c>
      <c r="AI44" s="190">
        <v>96</v>
      </c>
      <c r="AJ44" s="190">
        <v>5</v>
      </c>
      <c r="AK44" s="190">
        <v>57</v>
      </c>
      <c r="AL44" s="190">
        <v>62</v>
      </c>
      <c r="AM44" s="190">
        <v>31</v>
      </c>
      <c r="AN44" s="190">
        <v>1569</v>
      </c>
      <c r="AO44" s="190">
        <v>1600</v>
      </c>
      <c r="AP44" s="190">
        <v>7184</v>
      </c>
      <c r="AQ44" s="190">
        <v>41835</v>
      </c>
      <c r="AR44" s="190">
        <v>49019</v>
      </c>
      <c r="AS44" s="190">
        <v>7184</v>
      </c>
      <c r="AT44" s="190">
        <v>41836</v>
      </c>
      <c r="AU44" s="190">
        <v>49020</v>
      </c>
      <c r="AV44" s="190">
        <v>0</v>
      </c>
      <c r="AW44" s="190">
        <v>-1</v>
      </c>
      <c r="AX44" s="190">
        <v>-1</v>
      </c>
      <c r="AY44" s="190">
        <v>198</v>
      </c>
      <c r="AZ44" s="190">
        <v>2925</v>
      </c>
      <c r="BA44" s="190">
        <v>3123</v>
      </c>
      <c r="BB44" s="190">
        <v>112</v>
      </c>
      <c r="BC44" s="190">
        <v>0</v>
      </c>
      <c r="BD44" s="190">
        <v>0</v>
      </c>
      <c r="BE44" s="190">
        <v>1430</v>
      </c>
      <c r="BF44" s="190">
        <v>21</v>
      </c>
      <c r="BG44" s="190">
        <v>5</v>
      </c>
      <c r="BH44" s="190">
        <v>112</v>
      </c>
      <c r="BI44" s="190">
        <v>1456</v>
      </c>
      <c r="BJ44" s="190">
        <v>1568</v>
      </c>
      <c r="BK44" s="190">
        <v>-157</v>
      </c>
      <c r="BL44" s="190">
        <v>157</v>
      </c>
      <c r="BM44" s="190">
        <v>0</v>
      </c>
      <c r="BN44" s="190">
        <v>29</v>
      </c>
      <c r="BO44" s="190">
        <v>95</v>
      </c>
      <c r="BP44" s="190">
        <v>124</v>
      </c>
      <c r="BQ44" s="190">
        <v>64</v>
      </c>
      <c r="BR44" s="190">
        <v>367</v>
      </c>
      <c r="BS44" s="190">
        <v>431</v>
      </c>
      <c r="BT44" s="190">
        <v>150</v>
      </c>
      <c r="BU44" s="190">
        <v>850</v>
      </c>
      <c r="BV44" s="190">
        <v>1000</v>
      </c>
      <c r="BW44" s="190">
        <v>7382</v>
      </c>
      <c r="BX44" s="190">
        <v>44760</v>
      </c>
      <c r="BY44" s="190">
        <v>52142</v>
      </c>
      <c r="BZ44" s="190">
        <v>7307</v>
      </c>
      <c r="CA44" s="190">
        <v>44131</v>
      </c>
      <c r="CB44" s="190">
        <v>51438</v>
      </c>
      <c r="CC44" s="190">
        <v>115802</v>
      </c>
      <c r="CD44" s="190">
        <v>48</v>
      </c>
      <c r="CE44" s="190">
        <v>623</v>
      </c>
      <c r="CF44" s="190">
        <v>75</v>
      </c>
      <c r="CG44" s="190">
        <v>476</v>
      </c>
      <c r="CH44" s="190">
        <v>551</v>
      </c>
      <c r="CI44" s="190">
        <v>200</v>
      </c>
      <c r="CJ44" s="190">
        <v>22</v>
      </c>
      <c r="CK44" s="190">
        <v>0</v>
      </c>
      <c r="CL44" s="190">
        <v>153</v>
      </c>
      <c r="CM44" s="190">
        <v>153</v>
      </c>
      <c r="CN44" s="190">
        <v>424</v>
      </c>
      <c r="CO44" s="190">
        <v>3410</v>
      </c>
      <c r="CP44" s="190">
        <v>3834</v>
      </c>
      <c r="CQ44" s="190">
        <v>0</v>
      </c>
      <c r="CR44" s="190">
        <v>0</v>
      </c>
      <c r="CS44" s="190">
        <v>0</v>
      </c>
      <c r="CT44" s="190">
        <v>6958</v>
      </c>
      <c r="CU44" s="190">
        <v>41350</v>
      </c>
      <c r="CV44" s="190">
        <v>48308</v>
      </c>
      <c r="CW44" s="190">
        <v>406</v>
      </c>
      <c r="CX44" s="190">
        <v>2077</v>
      </c>
      <c r="CY44" s="190">
        <v>2483</v>
      </c>
      <c r="CZ44" s="190">
        <v>403</v>
      </c>
      <c r="DA44" s="190">
        <v>3</v>
      </c>
      <c r="DB44" s="190">
        <v>0</v>
      </c>
      <c r="DC44" s="190">
        <v>2011</v>
      </c>
      <c r="DD44" s="190">
        <v>34</v>
      </c>
      <c r="DE44" s="190">
        <v>4</v>
      </c>
      <c r="DF44" s="190">
        <v>406</v>
      </c>
      <c r="DG44" s="190">
        <v>2049</v>
      </c>
      <c r="DH44" s="190">
        <v>2455</v>
      </c>
      <c r="DI44" s="190">
        <v>0</v>
      </c>
      <c r="DJ44" s="190">
        <v>0</v>
      </c>
      <c r="DK44" s="190">
        <v>0</v>
      </c>
      <c r="DL44" s="190">
        <v>28</v>
      </c>
      <c r="DM44" s="190">
        <v>0</v>
      </c>
      <c r="DN44" s="190">
        <v>0</v>
      </c>
      <c r="DO44" s="190">
        <v>0</v>
      </c>
      <c r="DP44" s="190">
        <v>28</v>
      </c>
      <c r="DQ44" s="190">
        <v>28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662</v>
      </c>
      <c r="C45" s="190">
        <v>160</v>
      </c>
      <c r="D45" s="190">
        <v>673</v>
      </c>
      <c r="E45" s="190">
        <v>341</v>
      </c>
      <c r="F45" s="190">
        <v>1</v>
      </c>
      <c r="G45" s="190">
        <v>14</v>
      </c>
      <c r="H45" s="190">
        <v>15</v>
      </c>
      <c r="I45" s="190">
        <v>0</v>
      </c>
      <c r="J45" s="190">
        <v>231</v>
      </c>
      <c r="K45" s="190">
        <v>231</v>
      </c>
      <c r="L45" s="190">
        <v>0</v>
      </c>
      <c r="M45" s="190">
        <v>50</v>
      </c>
      <c r="N45" s="190">
        <v>50</v>
      </c>
      <c r="O45" s="190">
        <v>0</v>
      </c>
      <c r="P45" s="190">
        <v>181</v>
      </c>
      <c r="Q45" s="190">
        <v>181</v>
      </c>
      <c r="R45" s="190">
        <v>0</v>
      </c>
      <c r="S45" s="190">
        <v>18</v>
      </c>
      <c r="T45" s="190">
        <v>18</v>
      </c>
      <c r="U45" s="190">
        <v>0</v>
      </c>
      <c r="V45" s="190">
        <v>101</v>
      </c>
      <c r="W45" s="190">
        <v>101</v>
      </c>
      <c r="X45" s="190">
        <v>9</v>
      </c>
      <c r="Y45" s="190">
        <v>290</v>
      </c>
      <c r="Z45" s="190">
        <v>299</v>
      </c>
      <c r="AA45" s="190">
        <v>6</v>
      </c>
      <c r="AB45" s="190">
        <v>183</v>
      </c>
      <c r="AC45" s="190">
        <v>189</v>
      </c>
      <c r="AD45" s="190">
        <v>4</v>
      </c>
      <c r="AE45" s="190">
        <v>178</v>
      </c>
      <c r="AF45" s="190">
        <v>182</v>
      </c>
      <c r="AG45" s="190">
        <v>2</v>
      </c>
      <c r="AH45" s="190">
        <v>3</v>
      </c>
      <c r="AI45" s="190">
        <v>5</v>
      </c>
      <c r="AJ45" s="190">
        <v>0</v>
      </c>
      <c r="AK45" s="190">
        <v>2</v>
      </c>
      <c r="AL45" s="190">
        <v>2</v>
      </c>
      <c r="AM45" s="190">
        <v>3</v>
      </c>
      <c r="AN45" s="190">
        <v>107</v>
      </c>
      <c r="AO45" s="190">
        <v>110</v>
      </c>
      <c r="AP45" s="190">
        <v>841</v>
      </c>
      <c r="AQ45" s="190">
        <v>8373</v>
      </c>
      <c r="AR45" s="190">
        <v>9214</v>
      </c>
      <c r="AS45" s="190">
        <v>841</v>
      </c>
      <c r="AT45" s="190">
        <v>8373</v>
      </c>
      <c r="AU45" s="190">
        <v>9214</v>
      </c>
      <c r="AV45" s="190">
        <v>0</v>
      </c>
      <c r="AW45" s="190">
        <v>0</v>
      </c>
      <c r="AX45" s="190">
        <v>0</v>
      </c>
      <c r="AY45" s="190">
        <v>48</v>
      </c>
      <c r="AZ45" s="190">
        <v>700</v>
      </c>
      <c r="BA45" s="190">
        <v>748</v>
      </c>
      <c r="BB45" s="190">
        <v>16</v>
      </c>
      <c r="BC45" s="190">
        <v>0</v>
      </c>
      <c r="BD45" s="190">
        <v>0</v>
      </c>
      <c r="BE45" s="190">
        <v>324</v>
      </c>
      <c r="BF45" s="190">
        <v>1</v>
      </c>
      <c r="BG45" s="190">
        <v>0</v>
      </c>
      <c r="BH45" s="190">
        <v>16</v>
      </c>
      <c r="BI45" s="190">
        <v>325</v>
      </c>
      <c r="BJ45" s="190">
        <v>341</v>
      </c>
      <c r="BK45" s="190">
        <v>-27</v>
      </c>
      <c r="BL45" s="190">
        <v>27</v>
      </c>
      <c r="BM45" s="190">
        <v>0</v>
      </c>
      <c r="BN45" s="190">
        <v>1</v>
      </c>
      <c r="BO45" s="190">
        <v>16</v>
      </c>
      <c r="BP45" s="190">
        <v>17</v>
      </c>
      <c r="BQ45" s="190">
        <v>6</v>
      </c>
      <c r="BR45" s="190">
        <v>106</v>
      </c>
      <c r="BS45" s="190">
        <v>112</v>
      </c>
      <c r="BT45" s="190">
        <v>52</v>
      </c>
      <c r="BU45" s="190">
        <v>226</v>
      </c>
      <c r="BV45" s="190">
        <v>278</v>
      </c>
      <c r="BW45" s="190">
        <v>889</v>
      </c>
      <c r="BX45" s="190">
        <v>9073</v>
      </c>
      <c r="BY45" s="190">
        <v>9962</v>
      </c>
      <c r="BZ45" s="190">
        <v>884</v>
      </c>
      <c r="CA45" s="190">
        <v>9027</v>
      </c>
      <c r="CB45" s="190">
        <v>9911</v>
      </c>
      <c r="CC45" s="190">
        <v>18041</v>
      </c>
      <c r="CD45" s="190">
        <v>0</v>
      </c>
      <c r="CE45" s="190">
        <v>55</v>
      </c>
      <c r="CF45" s="190">
        <v>5</v>
      </c>
      <c r="CG45" s="190">
        <v>40</v>
      </c>
      <c r="CH45" s="190">
        <v>45</v>
      </c>
      <c r="CI45" s="190">
        <v>4</v>
      </c>
      <c r="CJ45" s="190">
        <v>4</v>
      </c>
      <c r="CK45" s="190">
        <v>0</v>
      </c>
      <c r="CL45" s="190">
        <v>6</v>
      </c>
      <c r="CM45" s="190">
        <v>6</v>
      </c>
      <c r="CN45" s="190">
        <v>43</v>
      </c>
      <c r="CO45" s="190">
        <v>856</v>
      </c>
      <c r="CP45" s="190">
        <v>899</v>
      </c>
      <c r="CQ45" s="190">
        <v>0</v>
      </c>
      <c r="CR45" s="190">
        <v>1</v>
      </c>
      <c r="CS45" s="190">
        <v>1</v>
      </c>
      <c r="CT45" s="190">
        <v>846</v>
      </c>
      <c r="CU45" s="190">
        <v>8217</v>
      </c>
      <c r="CV45" s="190">
        <v>9063</v>
      </c>
      <c r="CW45" s="190">
        <v>87</v>
      </c>
      <c r="CX45" s="190">
        <v>442</v>
      </c>
      <c r="CY45" s="190">
        <v>529</v>
      </c>
      <c r="CZ45" s="190">
        <v>85</v>
      </c>
      <c r="DA45" s="190">
        <v>1</v>
      </c>
      <c r="DB45" s="190">
        <v>0</v>
      </c>
      <c r="DC45" s="190">
        <v>406</v>
      </c>
      <c r="DD45" s="190">
        <v>2</v>
      </c>
      <c r="DE45" s="190">
        <v>1</v>
      </c>
      <c r="DF45" s="190">
        <v>86</v>
      </c>
      <c r="DG45" s="190">
        <v>409</v>
      </c>
      <c r="DH45" s="190">
        <v>495</v>
      </c>
      <c r="DI45" s="190">
        <v>1</v>
      </c>
      <c r="DJ45" s="190">
        <v>0</v>
      </c>
      <c r="DK45" s="190">
        <v>0</v>
      </c>
      <c r="DL45" s="190">
        <v>33</v>
      </c>
      <c r="DM45" s="190">
        <v>0</v>
      </c>
      <c r="DN45" s="190">
        <v>0</v>
      </c>
      <c r="DO45" s="190">
        <v>1</v>
      </c>
      <c r="DP45" s="190">
        <v>33</v>
      </c>
      <c r="DQ45" s="190">
        <v>34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>
      <c r="A46" s="189" t="s">
        <v>311</v>
      </c>
      <c r="B46" s="190">
        <v>1292</v>
      </c>
      <c r="C46" s="190">
        <v>231</v>
      </c>
      <c r="D46" s="190">
        <v>1008</v>
      </c>
      <c r="E46" s="190">
        <v>582</v>
      </c>
      <c r="F46" s="190">
        <v>2</v>
      </c>
      <c r="G46" s="190">
        <v>26</v>
      </c>
      <c r="H46" s="190">
        <v>28</v>
      </c>
      <c r="I46" s="190">
        <v>0</v>
      </c>
      <c r="J46" s="190">
        <v>357</v>
      </c>
      <c r="K46" s="190">
        <v>357</v>
      </c>
      <c r="L46" s="190">
        <v>0</v>
      </c>
      <c r="M46" s="190">
        <v>357</v>
      </c>
      <c r="N46" s="190">
        <v>357</v>
      </c>
      <c r="O46" s="190">
        <v>0</v>
      </c>
      <c r="P46" s="190">
        <v>0</v>
      </c>
      <c r="Q46" s="190">
        <v>0</v>
      </c>
      <c r="R46" s="190">
        <v>0</v>
      </c>
      <c r="S46" s="190">
        <v>44</v>
      </c>
      <c r="T46" s="190">
        <v>44</v>
      </c>
      <c r="U46" s="190">
        <v>0</v>
      </c>
      <c r="V46" s="190">
        <v>69</v>
      </c>
      <c r="W46" s="190">
        <v>69</v>
      </c>
      <c r="X46" s="190">
        <v>16</v>
      </c>
      <c r="Y46" s="190">
        <v>990</v>
      </c>
      <c r="Z46" s="190">
        <v>1006</v>
      </c>
      <c r="AA46" s="190">
        <v>7</v>
      </c>
      <c r="AB46" s="190">
        <v>322</v>
      </c>
      <c r="AC46" s="190">
        <v>329</v>
      </c>
      <c r="AD46" s="190">
        <v>5</v>
      </c>
      <c r="AE46" s="190">
        <v>292</v>
      </c>
      <c r="AF46" s="190">
        <v>297</v>
      </c>
      <c r="AG46" s="190">
        <v>1</v>
      </c>
      <c r="AH46" s="190">
        <v>20</v>
      </c>
      <c r="AI46" s="190">
        <v>21</v>
      </c>
      <c r="AJ46" s="190">
        <v>1</v>
      </c>
      <c r="AK46" s="190">
        <v>10</v>
      </c>
      <c r="AL46" s="190">
        <v>11</v>
      </c>
      <c r="AM46" s="190">
        <v>9</v>
      </c>
      <c r="AN46" s="190">
        <v>668</v>
      </c>
      <c r="AO46" s="190">
        <v>677</v>
      </c>
      <c r="AP46" s="190">
        <v>849</v>
      </c>
      <c r="AQ46" s="190">
        <v>13093</v>
      </c>
      <c r="AR46" s="190">
        <v>13942</v>
      </c>
      <c r="AS46" s="190">
        <v>869</v>
      </c>
      <c r="AT46" s="190">
        <v>13073</v>
      </c>
      <c r="AU46" s="190">
        <v>13942</v>
      </c>
      <c r="AV46" s="190">
        <v>-20</v>
      </c>
      <c r="AW46" s="190">
        <v>20</v>
      </c>
      <c r="AX46" s="190">
        <v>0</v>
      </c>
      <c r="AY46" s="190">
        <v>36</v>
      </c>
      <c r="AZ46" s="190">
        <v>1127</v>
      </c>
      <c r="BA46" s="190">
        <v>1163</v>
      </c>
      <c r="BB46" s="190">
        <v>15</v>
      </c>
      <c r="BC46" s="190">
        <v>1</v>
      </c>
      <c r="BD46" s="190">
        <v>0</v>
      </c>
      <c r="BE46" s="190">
        <v>535</v>
      </c>
      <c r="BF46" s="190">
        <v>22</v>
      </c>
      <c r="BG46" s="190">
        <v>9</v>
      </c>
      <c r="BH46" s="190">
        <v>16</v>
      </c>
      <c r="BI46" s="190">
        <v>566</v>
      </c>
      <c r="BJ46" s="190">
        <v>582</v>
      </c>
      <c r="BK46" s="190">
        <v>-20</v>
      </c>
      <c r="BL46" s="190">
        <v>20</v>
      </c>
      <c r="BM46" s="190">
        <v>0</v>
      </c>
      <c r="BN46" s="190">
        <v>21</v>
      </c>
      <c r="BO46" s="190">
        <v>21</v>
      </c>
      <c r="BP46" s="190">
        <v>42</v>
      </c>
      <c r="BQ46" s="190">
        <v>0</v>
      </c>
      <c r="BR46" s="190">
        <v>75</v>
      </c>
      <c r="BS46" s="190">
        <v>75</v>
      </c>
      <c r="BT46" s="190">
        <v>19</v>
      </c>
      <c r="BU46" s="190">
        <v>445</v>
      </c>
      <c r="BV46" s="190">
        <v>464</v>
      </c>
      <c r="BW46" s="190">
        <v>885</v>
      </c>
      <c r="BX46" s="190">
        <v>14220</v>
      </c>
      <c r="BY46" s="190">
        <v>15105</v>
      </c>
      <c r="BZ46" s="190">
        <v>853</v>
      </c>
      <c r="CA46" s="190">
        <v>13603</v>
      </c>
      <c r="CB46" s="190">
        <v>14456</v>
      </c>
      <c r="CC46" s="190">
        <v>28604</v>
      </c>
      <c r="CD46" s="190">
        <v>44</v>
      </c>
      <c r="CE46" s="190">
        <v>608</v>
      </c>
      <c r="CF46" s="190">
        <v>31</v>
      </c>
      <c r="CG46" s="190">
        <v>438</v>
      </c>
      <c r="CH46" s="190">
        <v>469</v>
      </c>
      <c r="CI46" s="190">
        <v>228</v>
      </c>
      <c r="CJ46" s="190">
        <v>14</v>
      </c>
      <c r="CK46" s="190">
        <v>1</v>
      </c>
      <c r="CL46" s="190">
        <v>179</v>
      </c>
      <c r="CM46" s="190">
        <v>180</v>
      </c>
      <c r="CN46" s="190">
        <v>58</v>
      </c>
      <c r="CO46" s="190">
        <v>1488</v>
      </c>
      <c r="CP46" s="190">
        <v>1546</v>
      </c>
      <c r="CQ46" s="190">
        <v>0</v>
      </c>
      <c r="CR46" s="190">
        <v>4</v>
      </c>
      <c r="CS46" s="190">
        <v>4</v>
      </c>
      <c r="CT46" s="190">
        <v>827</v>
      </c>
      <c r="CU46" s="190">
        <v>12732</v>
      </c>
      <c r="CV46" s="190">
        <v>13559</v>
      </c>
      <c r="CW46" s="190">
        <v>69</v>
      </c>
      <c r="CX46" s="190">
        <v>591</v>
      </c>
      <c r="CY46" s="190">
        <v>660</v>
      </c>
      <c r="CZ46" s="190">
        <v>67</v>
      </c>
      <c r="DA46" s="190">
        <v>2</v>
      </c>
      <c r="DB46" s="190">
        <v>0</v>
      </c>
      <c r="DC46" s="190">
        <v>543</v>
      </c>
      <c r="DD46" s="190">
        <v>25</v>
      </c>
      <c r="DE46" s="190">
        <v>3</v>
      </c>
      <c r="DF46" s="190">
        <v>69</v>
      </c>
      <c r="DG46" s="190">
        <v>571</v>
      </c>
      <c r="DH46" s="190">
        <v>640</v>
      </c>
      <c r="DI46" s="190">
        <v>0</v>
      </c>
      <c r="DJ46" s="190">
        <v>0</v>
      </c>
      <c r="DK46" s="190">
        <v>0</v>
      </c>
      <c r="DL46" s="190">
        <v>19</v>
      </c>
      <c r="DM46" s="190">
        <v>1</v>
      </c>
      <c r="DN46" s="190">
        <v>0</v>
      </c>
      <c r="DO46" s="190">
        <v>0</v>
      </c>
      <c r="DP46" s="190">
        <v>20</v>
      </c>
      <c r="DQ46" s="190">
        <v>20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1433</v>
      </c>
      <c r="C47" s="190">
        <v>414</v>
      </c>
      <c r="D47" s="190">
        <v>1228</v>
      </c>
      <c r="E47" s="190">
        <v>779</v>
      </c>
      <c r="F47" s="190">
        <v>2</v>
      </c>
      <c r="G47" s="190">
        <v>24</v>
      </c>
      <c r="H47" s="190">
        <v>26</v>
      </c>
      <c r="I47" s="190">
        <v>0</v>
      </c>
      <c r="J47" s="190">
        <v>386</v>
      </c>
      <c r="K47" s="190">
        <v>386</v>
      </c>
      <c r="L47" s="190">
        <v>0</v>
      </c>
      <c r="M47" s="190">
        <v>142</v>
      </c>
      <c r="N47" s="190">
        <v>142</v>
      </c>
      <c r="O47" s="190">
        <v>0</v>
      </c>
      <c r="P47" s="190">
        <v>244</v>
      </c>
      <c r="Q47" s="190">
        <v>244</v>
      </c>
      <c r="R47" s="190">
        <v>0</v>
      </c>
      <c r="S47" s="190">
        <v>22</v>
      </c>
      <c r="T47" s="190">
        <v>22</v>
      </c>
      <c r="U47" s="190">
        <v>0</v>
      </c>
      <c r="V47" s="190">
        <v>63</v>
      </c>
      <c r="W47" s="190">
        <v>63</v>
      </c>
      <c r="X47" s="190">
        <v>25</v>
      </c>
      <c r="Y47" s="190">
        <v>455</v>
      </c>
      <c r="Z47" s="190">
        <v>480</v>
      </c>
      <c r="AA47" s="190">
        <v>14</v>
      </c>
      <c r="AB47" s="190">
        <v>282</v>
      </c>
      <c r="AC47" s="190">
        <v>296</v>
      </c>
      <c r="AD47" s="190">
        <v>12</v>
      </c>
      <c r="AE47" s="190">
        <v>251</v>
      </c>
      <c r="AF47" s="190">
        <v>263</v>
      </c>
      <c r="AG47" s="190">
        <v>0</v>
      </c>
      <c r="AH47" s="190">
        <v>26</v>
      </c>
      <c r="AI47" s="190">
        <v>26</v>
      </c>
      <c r="AJ47" s="190">
        <v>2</v>
      </c>
      <c r="AK47" s="190">
        <v>5</v>
      </c>
      <c r="AL47" s="190">
        <v>7</v>
      </c>
      <c r="AM47" s="190">
        <v>11</v>
      </c>
      <c r="AN47" s="190">
        <v>173</v>
      </c>
      <c r="AO47" s="190">
        <v>184</v>
      </c>
      <c r="AP47" s="190">
        <v>1875</v>
      </c>
      <c r="AQ47" s="190">
        <v>14863</v>
      </c>
      <c r="AR47" s="190">
        <v>16738</v>
      </c>
      <c r="AS47" s="190">
        <v>1968</v>
      </c>
      <c r="AT47" s="190">
        <v>14689</v>
      </c>
      <c r="AU47" s="190">
        <v>16657</v>
      </c>
      <c r="AV47" s="190">
        <v>-93</v>
      </c>
      <c r="AW47" s="190">
        <v>174</v>
      </c>
      <c r="AX47" s="190">
        <v>81</v>
      </c>
      <c r="AY47" s="190">
        <v>164</v>
      </c>
      <c r="AZ47" s="190">
        <v>1216</v>
      </c>
      <c r="BA47" s="190">
        <v>1380</v>
      </c>
      <c r="BB47" s="190">
        <v>59</v>
      </c>
      <c r="BC47" s="190">
        <v>0</v>
      </c>
      <c r="BD47" s="190">
        <v>0</v>
      </c>
      <c r="BE47" s="190">
        <v>711</v>
      </c>
      <c r="BF47" s="190">
        <v>4</v>
      </c>
      <c r="BG47" s="190">
        <v>5</v>
      </c>
      <c r="BH47" s="190">
        <v>59</v>
      </c>
      <c r="BI47" s="190">
        <v>720</v>
      </c>
      <c r="BJ47" s="190">
        <v>779</v>
      </c>
      <c r="BK47" s="190">
        <v>9</v>
      </c>
      <c r="BL47" s="190">
        <v>-9</v>
      </c>
      <c r="BM47" s="190">
        <v>0</v>
      </c>
      <c r="BN47" s="190">
        <v>4</v>
      </c>
      <c r="BO47" s="190">
        <v>32</v>
      </c>
      <c r="BP47" s="190">
        <v>36</v>
      </c>
      <c r="BQ47" s="190">
        <v>13</v>
      </c>
      <c r="BR47" s="190">
        <v>125</v>
      </c>
      <c r="BS47" s="190">
        <v>138</v>
      </c>
      <c r="BT47" s="190">
        <v>79</v>
      </c>
      <c r="BU47" s="190">
        <v>348</v>
      </c>
      <c r="BV47" s="190">
        <v>427</v>
      </c>
      <c r="BW47" s="190">
        <v>2039</v>
      </c>
      <c r="BX47" s="190">
        <v>16079</v>
      </c>
      <c r="BY47" s="190">
        <v>18118</v>
      </c>
      <c r="BZ47" s="190">
        <v>2021</v>
      </c>
      <c r="CA47" s="190">
        <v>15890</v>
      </c>
      <c r="CB47" s="190">
        <v>17911</v>
      </c>
      <c r="CC47" s="190">
        <v>37638</v>
      </c>
      <c r="CD47" s="190">
        <v>18</v>
      </c>
      <c r="CE47" s="190">
        <v>138</v>
      </c>
      <c r="CF47" s="190">
        <v>18</v>
      </c>
      <c r="CG47" s="190">
        <v>126</v>
      </c>
      <c r="CH47" s="190">
        <v>144</v>
      </c>
      <c r="CI47" s="190">
        <v>0</v>
      </c>
      <c r="CJ47" s="190">
        <v>80</v>
      </c>
      <c r="CK47" s="190">
        <v>0</v>
      </c>
      <c r="CL47" s="190">
        <v>63</v>
      </c>
      <c r="CM47" s="190">
        <v>63</v>
      </c>
      <c r="CN47" s="190">
        <v>117</v>
      </c>
      <c r="CO47" s="190">
        <v>1632</v>
      </c>
      <c r="CP47" s="190">
        <v>1749</v>
      </c>
      <c r="CQ47" s="190">
        <v>0</v>
      </c>
      <c r="CR47" s="190">
        <v>0</v>
      </c>
      <c r="CS47" s="190">
        <v>0</v>
      </c>
      <c r="CT47" s="190">
        <v>1922</v>
      </c>
      <c r="CU47" s="190">
        <v>14447</v>
      </c>
      <c r="CV47" s="190">
        <v>16369</v>
      </c>
      <c r="CW47" s="190">
        <v>149</v>
      </c>
      <c r="CX47" s="190">
        <v>648</v>
      </c>
      <c r="CY47" s="190">
        <v>797</v>
      </c>
      <c r="CZ47" s="190">
        <v>146</v>
      </c>
      <c r="DA47" s="190">
        <v>1</v>
      </c>
      <c r="DB47" s="190">
        <v>0</v>
      </c>
      <c r="DC47" s="190">
        <v>601</v>
      </c>
      <c r="DD47" s="190">
        <v>9</v>
      </c>
      <c r="DE47" s="190">
        <v>1</v>
      </c>
      <c r="DF47" s="190">
        <v>147</v>
      </c>
      <c r="DG47" s="190">
        <v>611</v>
      </c>
      <c r="DH47" s="190">
        <v>758</v>
      </c>
      <c r="DI47" s="190">
        <v>2</v>
      </c>
      <c r="DJ47" s="190">
        <v>0</v>
      </c>
      <c r="DK47" s="190">
        <v>0</v>
      </c>
      <c r="DL47" s="190">
        <v>35</v>
      </c>
      <c r="DM47" s="190">
        <v>1</v>
      </c>
      <c r="DN47" s="190">
        <v>1</v>
      </c>
      <c r="DO47" s="190">
        <v>2</v>
      </c>
      <c r="DP47" s="190">
        <v>37</v>
      </c>
      <c r="DQ47" s="190">
        <v>39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2677</v>
      </c>
      <c r="C48" s="190">
        <v>647</v>
      </c>
      <c r="D48" s="190">
        <v>2435</v>
      </c>
      <c r="E48" s="190">
        <v>1558</v>
      </c>
      <c r="F48" s="190">
        <v>3</v>
      </c>
      <c r="G48" s="190">
        <v>24</v>
      </c>
      <c r="H48" s="190">
        <v>27</v>
      </c>
      <c r="I48" s="190">
        <v>4</v>
      </c>
      <c r="J48" s="190">
        <v>626</v>
      </c>
      <c r="K48" s="190">
        <v>630</v>
      </c>
      <c r="L48" s="190">
        <v>4</v>
      </c>
      <c r="M48" s="190">
        <v>625</v>
      </c>
      <c r="N48" s="190">
        <v>629</v>
      </c>
      <c r="O48" s="190">
        <v>0</v>
      </c>
      <c r="P48" s="190">
        <v>1</v>
      </c>
      <c r="Q48" s="190">
        <v>1</v>
      </c>
      <c r="R48" s="190">
        <v>0</v>
      </c>
      <c r="S48" s="190">
        <v>45</v>
      </c>
      <c r="T48" s="190">
        <v>45</v>
      </c>
      <c r="U48" s="190">
        <v>0</v>
      </c>
      <c r="V48" s="190">
        <v>247</v>
      </c>
      <c r="W48" s="190">
        <v>247</v>
      </c>
      <c r="X48" s="190">
        <v>27</v>
      </c>
      <c r="Y48" s="190">
        <v>1180</v>
      </c>
      <c r="Z48" s="190">
        <v>1207</v>
      </c>
      <c r="AA48" s="190">
        <v>4</v>
      </c>
      <c r="AB48" s="190">
        <v>398</v>
      </c>
      <c r="AC48" s="190">
        <v>402</v>
      </c>
      <c r="AD48" s="190">
        <v>4</v>
      </c>
      <c r="AE48" s="190">
        <v>393</v>
      </c>
      <c r="AF48" s="190">
        <v>397</v>
      </c>
      <c r="AG48" s="190">
        <v>0</v>
      </c>
      <c r="AH48" s="190">
        <v>2</v>
      </c>
      <c r="AI48" s="190">
        <v>2</v>
      </c>
      <c r="AJ48" s="190">
        <v>0</v>
      </c>
      <c r="AK48" s="190">
        <v>3</v>
      </c>
      <c r="AL48" s="190">
        <v>3</v>
      </c>
      <c r="AM48" s="190">
        <v>23</v>
      </c>
      <c r="AN48" s="190">
        <v>782</v>
      </c>
      <c r="AO48" s="190">
        <v>805</v>
      </c>
      <c r="AP48" s="190">
        <v>4337</v>
      </c>
      <c r="AQ48" s="190">
        <v>45731</v>
      </c>
      <c r="AR48" s="190">
        <v>50068</v>
      </c>
      <c r="AS48" s="190">
        <v>4354</v>
      </c>
      <c r="AT48" s="190">
        <v>45485</v>
      </c>
      <c r="AU48" s="190">
        <v>49839</v>
      </c>
      <c r="AV48" s="190">
        <v>-17</v>
      </c>
      <c r="AW48" s="190">
        <v>246</v>
      </c>
      <c r="AX48" s="190">
        <v>229</v>
      </c>
      <c r="AY48" s="190">
        <v>188</v>
      </c>
      <c r="AZ48" s="190">
        <v>3018</v>
      </c>
      <c r="BA48" s="190">
        <v>3206</v>
      </c>
      <c r="BB48" s="190">
        <v>136</v>
      </c>
      <c r="BC48" s="190">
        <v>2</v>
      </c>
      <c r="BD48" s="190">
        <v>0</v>
      </c>
      <c r="BE48" s="190">
        <v>1358</v>
      </c>
      <c r="BF48" s="190">
        <v>19</v>
      </c>
      <c r="BG48" s="190">
        <v>43</v>
      </c>
      <c r="BH48" s="190">
        <v>138</v>
      </c>
      <c r="BI48" s="190">
        <v>1420</v>
      </c>
      <c r="BJ48" s="190">
        <v>1558</v>
      </c>
      <c r="BK48" s="190">
        <v>-103</v>
      </c>
      <c r="BL48" s="190">
        <v>103</v>
      </c>
      <c r="BM48" s="190">
        <v>0</v>
      </c>
      <c r="BN48" s="190">
        <v>7</v>
      </c>
      <c r="BO48" s="190">
        <v>39</v>
      </c>
      <c r="BP48" s="190">
        <v>46</v>
      </c>
      <c r="BQ48" s="190">
        <v>18</v>
      </c>
      <c r="BR48" s="190">
        <v>169</v>
      </c>
      <c r="BS48" s="190">
        <v>187</v>
      </c>
      <c r="BT48" s="190">
        <v>128</v>
      </c>
      <c r="BU48" s="190">
        <v>1287</v>
      </c>
      <c r="BV48" s="190">
        <v>1415</v>
      </c>
      <c r="BW48" s="190">
        <v>4525</v>
      </c>
      <c r="BX48" s="190">
        <v>48749</v>
      </c>
      <c r="BY48" s="190">
        <v>53274</v>
      </c>
      <c r="BZ48" s="190">
        <v>4409</v>
      </c>
      <c r="CA48" s="190">
        <v>47217</v>
      </c>
      <c r="CB48" s="190">
        <v>51626</v>
      </c>
      <c r="CC48" s="190">
        <v>101978</v>
      </c>
      <c r="CD48" s="190">
        <v>105</v>
      </c>
      <c r="CE48" s="190">
        <v>1159</v>
      </c>
      <c r="CF48" s="190">
        <v>111</v>
      </c>
      <c r="CG48" s="190">
        <v>838</v>
      </c>
      <c r="CH48" s="190">
        <v>949</v>
      </c>
      <c r="CI48" s="190">
        <v>964</v>
      </c>
      <c r="CJ48" s="190">
        <v>14</v>
      </c>
      <c r="CK48" s="190">
        <v>5</v>
      </c>
      <c r="CL48" s="190">
        <v>694</v>
      </c>
      <c r="CM48" s="190">
        <v>699</v>
      </c>
      <c r="CN48" s="190">
        <v>264</v>
      </c>
      <c r="CO48" s="190">
        <v>4050</v>
      </c>
      <c r="CP48" s="190">
        <v>4314</v>
      </c>
      <c r="CQ48" s="190">
        <v>0</v>
      </c>
      <c r="CR48" s="190">
        <v>1</v>
      </c>
      <c r="CS48" s="190">
        <v>1</v>
      </c>
      <c r="CT48" s="190">
        <v>4261</v>
      </c>
      <c r="CU48" s="190">
        <v>44699</v>
      </c>
      <c r="CV48" s="190">
        <v>48960</v>
      </c>
      <c r="CW48" s="190">
        <v>351</v>
      </c>
      <c r="CX48" s="190">
        <v>2972</v>
      </c>
      <c r="CY48" s="190">
        <v>3323</v>
      </c>
      <c r="CZ48" s="190">
        <v>319</v>
      </c>
      <c r="DA48" s="190">
        <v>8</v>
      </c>
      <c r="DB48" s="190">
        <v>0</v>
      </c>
      <c r="DC48" s="190">
        <v>2589</v>
      </c>
      <c r="DD48" s="190">
        <v>54</v>
      </c>
      <c r="DE48" s="190">
        <v>22</v>
      </c>
      <c r="DF48" s="190">
        <v>327</v>
      </c>
      <c r="DG48" s="190">
        <v>2665</v>
      </c>
      <c r="DH48" s="190">
        <v>2992</v>
      </c>
      <c r="DI48" s="190">
        <v>24</v>
      </c>
      <c r="DJ48" s="190">
        <v>0</v>
      </c>
      <c r="DK48" s="190">
        <v>0</v>
      </c>
      <c r="DL48" s="190">
        <v>294</v>
      </c>
      <c r="DM48" s="190">
        <v>7</v>
      </c>
      <c r="DN48" s="190">
        <v>6</v>
      </c>
      <c r="DO48" s="190">
        <v>24</v>
      </c>
      <c r="DP48" s="190">
        <v>307</v>
      </c>
      <c r="DQ48" s="190">
        <v>331</v>
      </c>
      <c r="DR48" s="190">
        <v>2</v>
      </c>
      <c r="DS48" s="190">
        <v>5</v>
      </c>
      <c r="DT48" s="191">
        <v>7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812</v>
      </c>
      <c r="C49" s="190">
        <v>237</v>
      </c>
      <c r="D49" s="190">
        <v>743</v>
      </c>
      <c r="E49" s="190">
        <v>410</v>
      </c>
      <c r="F49" s="190">
        <v>1</v>
      </c>
      <c r="G49" s="190">
        <v>13</v>
      </c>
      <c r="H49" s="190">
        <v>14</v>
      </c>
      <c r="I49" s="190">
        <v>0</v>
      </c>
      <c r="J49" s="190">
        <v>280</v>
      </c>
      <c r="K49" s="190">
        <v>280</v>
      </c>
      <c r="L49" s="190">
        <v>0</v>
      </c>
      <c r="M49" s="190">
        <v>74</v>
      </c>
      <c r="N49" s="190">
        <v>74</v>
      </c>
      <c r="O49" s="190">
        <v>0</v>
      </c>
      <c r="P49" s="190">
        <v>206</v>
      </c>
      <c r="Q49" s="190">
        <v>206</v>
      </c>
      <c r="R49" s="190">
        <v>0</v>
      </c>
      <c r="S49" s="190">
        <v>46</v>
      </c>
      <c r="T49" s="190">
        <v>46</v>
      </c>
      <c r="U49" s="190">
        <v>0</v>
      </c>
      <c r="V49" s="190">
        <v>53</v>
      </c>
      <c r="W49" s="190">
        <v>53</v>
      </c>
      <c r="X49" s="190">
        <v>8</v>
      </c>
      <c r="Y49" s="190">
        <v>530</v>
      </c>
      <c r="Z49" s="190">
        <v>538</v>
      </c>
      <c r="AA49" s="190">
        <v>4</v>
      </c>
      <c r="AB49" s="190">
        <v>175</v>
      </c>
      <c r="AC49" s="190">
        <v>179</v>
      </c>
      <c r="AD49" s="190">
        <v>4</v>
      </c>
      <c r="AE49" s="190">
        <v>172</v>
      </c>
      <c r="AF49" s="190">
        <v>176</v>
      </c>
      <c r="AG49" s="190">
        <v>0</v>
      </c>
      <c r="AH49" s="190">
        <v>2</v>
      </c>
      <c r="AI49" s="190">
        <v>2</v>
      </c>
      <c r="AJ49" s="190">
        <v>0</v>
      </c>
      <c r="AK49" s="190">
        <v>1</v>
      </c>
      <c r="AL49" s="190">
        <v>1</v>
      </c>
      <c r="AM49" s="190">
        <v>4</v>
      </c>
      <c r="AN49" s="190">
        <v>355</v>
      </c>
      <c r="AO49" s="190">
        <v>359</v>
      </c>
      <c r="AP49" s="190">
        <v>1049</v>
      </c>
      <c r="AQ49" s="190">
        <v>12480</v>
      </c>
      <c r="AR49" s="190">
        <v>13529</v>
      </c>
      <c r="AS49" s="190">
        <v>1050</v>
      </c>
      <c r="AT49" s="190">
        <v>12452</v>
      </c>
      <c r="AU49" s="190">
        <v>13502</v>
      </c>
      <c r="AV49" s="190">
        <v>-1</v>
      </c>
      <c r="AW49" s="190">
        <v>28</v>
      </c>
      <c r="AX49" s="190">
        <v>27</v>
      </c>
      <c r="AY49" s="190">
        <v>28</v>
      </c>
      <c r="AZ49" s="190">
        <v>943</v>
      </c>
      <c r="BA49" s="190">
        <v>971</v>
      </c>
      <c r="BB49" s="190">
        <v>13</v>
      </c>
      <c r="BC49" s="190">
        <v>0</v>
      </c>
      <c r="BD49" s="190">
        <v>0</v>
      </c>
      <c r="BE49" s="190">
        <v>397</v>
      </c>
      <c r="BF49" s="190">
        <v>0</v>
      </c>
      <c r="BG49" s="190">
        <v>0</v>
      </c>
      <c r="BH49" s="190">
        <v>13</v>
      </c>
      <c r="BI49" s="190">
        <v>397</v>
      </c>
      <c r="BJ49" s="190">
        <v>410</v>
      </c>
      <c r="BK49" s="190">
        <v>-22</v>
      </c>
      <c r="BL49" s="190">
        <v>22</v>
      </c>
      <c r="BM49" s="190">
        <v>0</v>
      </c>
      <c r="BN49" s="190">
        <v>0</v>
      </c>
      <c r="BO49" s="190">
        <v>11</v>
      </c>
      <c r="BP49" s="190">
        <v>11</v>
      </c>
      <c r="BQ49" s="190">
        <v>0</v>
      </c>
      <c r="BR49" s="190">
        <v>1</v>
      </c>
      <c r="BS49" s="190">
        <v>1</v>
      </c>
      <c r="BT49" s="190">
        <v>37</v>
      </c>
      <c r="BU49" s="190">
        <v>512</v>
      </c>
      <c r="BV49" s="190">
        <v>549</v>
      </c>
      <c r="BW49" s="190">
        <v>1077</v>
      </c>
      <c r="BX49" s="190">
        <v>13423</v>
      </c>
      <c r="BY49" s="190">
        <v>14500</v>
      </c>
      <c r="BZ49" s="190">
        <v>1073</v>
      </c>
      <c r="CA49" s="190">
        <v>13365</v>
      </c>
      <c r="CB49" s="190">
        <v>14438</v>
      </c>
      <c r="CC49" s="190">
        <v>26152</v>
      </c>
      <c r="CD49" s="190">
        <v>4</v>
      </c>
      <c r="CE49" s="190">
        <v>57</v>
      </c>
      <c r="CF49" s="190">
        <v>4</v>
      </c>
      <c r="CG49" s="190">
        <v>49</v>
      </c>
      <c r="CH49" s="190">
        <v>53</v>
      </c>
      <c r="CI49" s="190">
        <v>0</v>
      </c>
      <c r="CJ49" s="190">
        <v>13</v>
      </c>
      <c r="CK49" s="190">
        <v>0</v>
      </c>
      <c r="CL49" s="190">
        <v>9</v>
      </c>
      <c r="CM49" s="190">
        <v>9</v>
      </c>
      <c r="CN49" s="190">
        <v>63</v>
      </c>
      <c r="CO49" s="190">
        <v>1309</v>
      </c>
      <c r="CP49" s="190">
        <v>1372</v>
      </c>
      <c r="CQ49" s="190">
        <v>0</v>
      </c>
      <c r="CR49" s="190">
        <v>0</v>
      </c>
      <c r="CS49" s="190">
        <v>0</v>
      </c>
      <c r="CT49" s="190">
        <v>1014</v>
      </c>
      <c r="CU49" s="190">
        <v>12114</v>
      </c>
      <c r="CV49" s="190">
        <v>13128</v>
      </c>
      <c r="CW49" s="190">
        <v>76</v>
      </c>
      <c r="CX49" s="190">
        <v>612</v>
      </c>
      <c r="CY49" s="190">
        <v>688</v>
      </c>
      <c r="CZ49" s="190">
        <v>69</v>
      </c>
      <c r="DA49" s="190">
        <v>0</v>
      </c>
      <c r="DB49" s="190">
        <v>0</v>
      </c>
      <c r="DC49" s="190">
        <v>578</v>
      </c>
      <c r="DD49" s="190">
        <v>1</v>
      </c>
      <c r="DE49" s="190">
        <v>0</v>
      </c>
      <c r="DF49" s="190">
        <v>69</v>
      </c>
      <c r="DG49" s="190">
        <v>579</v>
      </c>
      <c r="DH49" s="190">
        <v>648</v>
      </c>
      <c r="DI49" s="190">
        <v>7</v>
      </c>
      <c r="DJ49" s="190">
        <v>0</v>
      </c>
      <c r="DK49" s="190">
        <v>0</v>
      </c>
      <c r="DL49" s="190">
        <v>33</v>
      </c>
      <c r="DM49" s="190">
        <v>0</v>
      </c>
      <c r="DN49" s="190">
        <v>0</v>
      </c>
      <c r="DO49" s="190">
        <v>7</v>
      </c>
      <c r="DP49" s="190">
        <v>33</v>
      </c>
      <c r="DQ49" s="190">
        <v>40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1026</v>
      </c>
      <c r="C50" s="190">
        <v>211</v>
      </c>
      <c r="D50" s="190">
        <v>1072</v>
      </c>
      <c r="E50" s="190">
        <v>591</v>
      </c>
      <c r="F50" s="190">
        <v>1</v>
      </c>
      <c r="G50" s="190">
        <v>54</v>
      </c>
      <c r="H50" s="190">
        <v>55</v>
      </c>
      <c r="I50" s="190">
        <v>1</v>
      </c>
      <c r="J50" s="190">
        <v>462</v>
      </c>
      <c r="K50" s="190">
        <v>463</v>
      </c>
      <c r="L50" s="190">
        <v>1</v>
      </c>
      <c r="M50" s="190">
        <v>181</v>
      </c>
      <c r="N50" s="190">
        <v>182</v>
      </c>
      <c r="O50" s="190">
        <v>0</v>
      </c>
      <c r="P50" s="190">
        <v>281</v>
      </c>
      <c r="Q50" s="190">
        <v>281</v>
      </c>
      <c r="R50" s="190">
        <v>0</v>
      </c>
      <c r="S50" s="190">
        <v>25</v>
      </c>
      <c r="T50" s="190">
        <v>25</v>
      </c>
      <c r="U50" s="190">
        <v>0</v>
      </c>
      <c r="V50" s="190">
        <v>18</v>
      </c>
      <c r="W50" s="190">
        <v>18</v>
      </c>
      <c r="X50" s="190">
        <v>22</v>
      </c>
      <c r="Y50" s="190">
        <v>1050</v>
      </c>
      <c r="Z50" s="190">
        <v>1072</v>
      </c>
      <c r="AA50" s="190">
        <v>14</v>
      </c>
      <c r="AB50" s="190">
        <v>401</v>
      </c>
      <c r="AC50" s="190">
        <v>415</v>
      </c>
      <c r="AD50" s="190">
        <v>13</v>
      </c>
      <c r="AE50" s="190">
        <v>385</v>
      </c>
      <c r="AF50" s="190">
        <v>398</v>
      </c>
      <c r="AG50" s="190">
        <v>1</v>
      </c>
      <c r="AH50" s="190">
        <v>11</v>
      </c>
      <c r="AI50" s="190">
        <v>12</v>
      </c>
      <c r="AJ50" s="190">
        <v>0</v>
      </c>
      <c r="AK50" s="190">
        <v>5</v>
      </c>
      <c r="AL50" s="190">
        <v>5</v>
      </c>
      <c r="AM50" s="190">
        <v>8</v>
      </c>
      <c r="AN50" s="190">
        <v>649</v>
      </c>
      <c r="AO50" s="190">
        <v>657</v>
      </c>
      <c r="AP50" s="190">
        <v>1257</v>
      </c>
      <c r="AQ50" s="190">
        <v>10799</v>
      </c>
      <c r="AR50" s="190">
        <v>12056</v>
      </c>
      <c r="AS50" s="190">
        <v>1257</v>
      </c>
      <c r="AT50" s="190">
        <v>10799</v>
      </c>
      <c r="AU50" s="190">
        <v>12056</v>
      </c>
      <c r="AV50" s="190">
        <v>0</v>
      </c>
      <c r="AW50" s="190">
        <v>0</v>
      </c>
      <c r="AX50" s="190">
        <v>0</v>
      </c>
      <c r="AY50" s="190">
        <v>36</v>
      </c>
      <c r="AZ50" s="190">
        <v>1061</v>
      </c>
      <c r="BA50" s="190">
        <v>1097</v>
      </c>
      <c r="BB50" s="190">
        <v>24</v>
      </c>
      <c r="BC50" s="190">
        <v>0</v>
      </c>
      <c r="BD50" s="190">
        <v>0</v>
      </c>
      <c r="BE50" s="190">
        <v>565</v>
      </c>
      <c r="BF50" s="190">
        <v>2</v>
      </c>
      <c r="BG50" s="190">
        <v>0</v>
      </c>
      <c r="BH50" s="190">
        <v>24</v>
      </c>
      <c r="BI50" s="190">
        <v>567</v>
      </c>
      <c r="BJ50" s="190">
        <v>591</v>
      </c>
      <c r="BK50" s="190">
        <v>-25</v>
      </c>
      <c r="BL50" s="190">
        <v>25</v>
      </c>
      <c r="BM50" s="190">
        <v>0</v>
      </c>
      <c r="BN50" s="190">
        <v>3</v>
      </c>
      <c r="BO50" s="190">
        <v>19</v>
      </c>
      <c r="BP50" s="190">
        <v>22</v>
      </c>
      <c r="BQ50" s="190">
        <v>5</v>
      </c>
      <c r="BR50" s="190">
        <v>134</v>
      </c>
      <c r="BS50" s="190">
        <v>139</v>
      </c>
      <c r="BT50" s="190">
        <v>29</v>
      </c>
      <c r="BU50" s="190">
        <v>316</v>
      </c>
      <c r="BV50" s="190">
        <v>345</v>
      </c>
      <c r="BW50" s="190">
        <v>1293</v>
      </c>
      <c r="BX50" s="190">
        <v>11860</v>
      </c>
      <c r="BY50" s="190">
        <v>13153</v>
      </c>
      <c r="BZ50" s="190">
        <v>1291</v>
      </c>
      <c r="CA50" s="190">
        <v>11814</v>
      </c>
      <c r="CB50" s="190">
        <v>13105</v>
      </c>
      <c r="CC50" s="190">
        <v>24446</v>
      </c>
      <c r="CD50" s="190">
        <v>4</v>
      </c>
      <c r="CE50" s="190">
        <v>32</v>
      </c>
      <c r="CF50" s="190">
        <v>2</v>
      </c>
      <c r="CG50" s="190">
        <v>29</v>
      </c>
      <c r="CH50" s="190">
        <v>31</v>
      </c>
      <c r="CI50" s="190">
        <v>18</v>
      </c>
      <c r="CJ50" s="190">
        <v>0</v>
      </c>
      <c r="CK50" s="190">
        <v>0</v>
      </c>
      <c r="CL50" s="190">
        <v>17</v>
      </c>
      <c r="CM50" s="190">
        <v>17</v>
      </c>
      <c r="CN50" s="190">
        <v>76</v>
      </c>
      <c r="CO50" s="190">
        <v>1065</v>
      </c>
      <c r="CP50" s="190">
        <v>1141</v>
      </c>
      <c r="CQ50" s="190">
        <v>0</v>
      </c>
      <c r="CR50" s="190">
        <v>0</v>
      </c>
      <c r="CS50" s="190">
        <v>0</v>
      </c>
      <c r="CT50" s="190">
        <v>1217</v>
      </c>
      <c r="CU50" s="190">
        <v>10795</v>
      </c>
      <c r="CV50" s="190">
        <v>12012</v>
      </c>
      <c r="CW50" s="190">
        <v>92</v>
      </c>
      <c r="CX50" s="190">
        <v>437</v>
      </c>
      <c r="CY50" s="190">
        <v>529</v>
      </c>
      <c r="CZ50" s="190">
        <v>92</v>
      </c>
      <c r="DA50" s="190">
        <v>0</v>
      </c>
      <c r="DB50" s="190">
        <v>0</v>
      </c>
      <c r="DC50" s="190">
        <v>418</v>
      </c>
      <c r="DD50" s="190">
        <v>1</v>
      </c>
      <c r="DE50" s="190">
        <v>1</v>
      </c>
      <c r="DF50" s="190">
        <v>92</v>
      </c>
      <c r="DG50" s="190">
        <v>420</v>
      </c>
      <c r="DH50" s="190">
        <v>512</v>
      </c>
      <c r="DI50" s="190">
        <v>0</v>
      </c>
      <c r="DJ50" s="190">
        <v>0</v>
      </c>
      <c r="DK50" s="190">
        <v>0</v>
      </c>
      <c r="DL50" s="190">
        <v>17</v>
      </c>
      <c r="DM50" s="190">
        <v>0</v>
      </c>
      <c r="DN50" s="190">
        <v>0</v>
      </c>
      <c r="DO50" s="190">
        <v>0</v>
      </c>
      <c r="DP50" s="190">
        <v>17</v>
      </c>
      <c r="DQ50" s="190">
        <v>17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6</v>
      </c>
      <c r="C51" s="190">
        <v>0</v>
      </c>
      <c r="D51" s="190">
        <v>5</v>
      </c>
      <c r="E51" s="190">
        <v>4</v>
      </c>
      <c r="F51" s="190">
        <v>0</v>
      </c>
      <c r="G51" s="190">
        <v>0</v>
      </c>
      <c r="H51" s="190">
        <v>0</v>
      </c>
      <c r="I51" s="190">
        <v>0</v>
      </c>
      <c r="J51" s="190">
        <v>1</v>
      </c>
      <c r="K51" s="190">
        <v>1</v>
      </c>
      <c r="L51" s="190">
        <v>0</v>
      </c>
      <c r="M51" s="190">
        <v>0</v>
      </c>
      <c r="N51" s="190">
        <v>0</v>
      </c>
      <c r="O51" s="190">
        <v>0</v>
      </c>
      <c r="P51" s="190">
        <v>1</v>
      </c>
      <c r="Q51" s="190">
        <v>1</v>
      </c>
      <c r="R51" s="190">
        <v>0</v>
      </c>
      <c r="S51" s="190">
        <v>0</v>
      </c>
      <c r="T51" s="190">
        <v>0</v>
      </c>
      <c r="U51" s="190">
        <v>0</v>
      </c>
      <c r="V51" s="190">
        <v>0</v>
      </c>
      <c r="W51" s="190">
        <v>0</v>
      </c>
      <c r="X51" s="190">
        <v>1</v>
      </c>
      <c r="Y51" s="190">
        <v>4</v>
      </c>
      <c r="Z51" s="190">
        <v>5</v>
      </c>
      <c r="AA51" s="190">
        <v>0</v>
      </c>
      <c r="AB51" s="190">
        <v>1</v>
      </c>
      <c r="AC51" s="190">
        <v>1</v>
      </c>
      <c r="AD51" s="190">
        <v>0</v>
      </c>
      <c r="AE51" s="190">
        <v>1</v>
      </c>
      <c r="AF51" s="190">
        <v>1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1</v>
      </c>
      <c r="AN51" s="190">
        <v>3</v>
      </c>
      <c r="AO51" s="190">
        <v>4</v>
      </c>
      <c r="AP51" s="190">
        <v>8</v>
      </c>
      <c r="AQ51" s="190">
        <v>144</v>
      </c>
      <c r="AR51" s="190">
        <v>152</v>
      </c>
      <c r="AS51" s="190">
        <v>8</v>
      </c>
      <c r="AT51" s="190">
        <v>144</v>
      </c>
      <c r="AU51" s="190">
        <v>152</v>
      </c>
      <c r="AV51" s="190">
        <v>0</v>
      </c>
      <c r="AW51" s="190">
        <v>0</v>
      </c>
      <c r="AX51" s="190">
        <v>0</v>
      </c>
      <c r="AY51" s="190">
        <v>1</v>
      </c>
      <c r="AZ51" s="190">
        <v>6</v>
      </c>
      <c r="BA51" s="190">
        <v>7</v>
      </c>
      <c r="BB51" s="190">
        <v>0</v>
      </c>
      <c r="BC51" s="190">
        <v>1</v>
      </c>
      <c r="BD51" s="190">
        <v>0</v>
      </c>
      <c r="BE51" s="190">
        <v>3</v>
      </c>
      <c r="BF51" s="190">
        <v>0</v>
      </c>
      <c r="BG51" s="190">
        <v>0</v>
      </c>
      <c r="BH51" s="190">
        <v>1</v>
      </c>
      <c r="BI51" s="190">
        <v>3</v>
      </c>
      <c r="BJ51" s="190">
        <v>4</v>
      </c>
      <c r="BK51" s="190">
        <v>-1</v>
      </c>
      <c r="BL51" s="190">
        <v>1</v>
      </c>
      <c r="BM51" s="190">
        <v>0</v>
      </c>
      <c r="BN51" s="190">
        <v>0</v>
      </c>
      <c r="BO51" s="190">
        <v>0</v>
      </c>
      <c r="BP51" s="190">
        <v>0</v>
      </c>
      <c r="BQ51" s="190">
        <v>0</v>
      </c>
      <c r="BR51" s="190">
        <v>1</v>
      </c>
      <c r="BS51" s="190">
        <v>1</v>
      </c>
      <c r="BT51" s="190">
        <v>1</v>
      </c>
      <c r="BU51" s="190">
        <v>1</v>
      </c>
      <c r="BV51" s="190">
        <v>2</v>
      </c>
      <c r="BW51" s="190">
        <v>9</v>
      </c>
      <c r="BX51" s="190">
        <v>150</v>
      </c>
      <c r="BY51" s="190">
        <v>159</v>
      </c>
      <c r="BZ51" s="190">
        <v>8</v>
      </c>
      <c r="CA51" s="190">
        <v>150</v>
      </c>
      <c r="CB51" s="190">
        <v>158</v>
      </c>
      <c r="CC51" s="190">
        <v>267</v>
      </c>
      <c r="CD51" s="190">
        <v>0</v>
      </c>
      <c r="CE51" s="190">
        <v>1</v>
      </c>
      <c r="CF51" s="190">
        <v>1</v>
      </c>
      <c r="CG51" s="190">
        <v>0</v>
      </c>
      <c r="CH51" s="190">
        <v>1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0</v>
      </c>
      <c r="CO51" s="190">
        <v>11</v>
      </c>
      <c r="CP51" s="190">
        <v>11</v>
      </c>
      <c r="CQ51" s="190">
        <v>0</v>
      </c>
      <c r="CR51" s="190">
        <v>0</v>
      </c>
      <c r="CS51" s="190">
        <v>0</v>
      </c>
      <c r="CT51" s="190">
        <v>9</v>
      </c>
      <c r="CU51" s="190">
        <v>139</v>
      </c>
      <c r="CV51" s="190">
        <v>148</v>
      </c>
      <c r="CW51" s="190">
        <v>1</v>
      </c>
      <c r="CX51" s="190">
        <v>7</v>
      </c>
      <c r="CY51" s="190">
        <v>8</v>
      </c>
      <c r="CZ51" s="190">
        <v>1</v>
      </c>
      <c r="DA51" s="190">
        <v>0</v>
      </c>
      <c r="DB51" s="190">
        <v>0</v>
      </c>
      <c r="DC51" s="190">
        <v>7</v>
      </c>
      <c r="DD51" s="190">
        <v>0</v>
      </c>
      <c r="DE51" s="190">
        <v>0</v>
      </c>
      <c r="DF51" s="190">
        <v>1</v>
      </c>
      <c r="DG51" s="190">
        <v>7</v>
      </c>
      <c r="DH51" s="190">
        <v>8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230</v>
      </c>
      <c r="C52" s="190">
        <v>51</v>
      </c>
      <c r="D52" s="190">
        <v>216</v>
      </c>
      <c r="E52" s="190">
        <v>115</v>
      </c>
      <c r="F52" s="190">
        <v>0</v>
      </c>
      <c r="G52" s="190">
        <v>9</v>
      </c>
      <c r="H52" s="190">
        <v>9</v>
      </c>
      <c r="I52" s="190">
        <v>0</v>
      </c>
      <c r="J52" s="190">
        <v>95</v>
      </c>
      <c r="K52" s="190">
        <v>95</v>
      </c>
      <c r="L52" s="190">
        <v>0</v>
      </c>
      <c r="M52" s="190">
        <v>38</v>
      </c>
      <c r="N52" s="190">
        <v>38</v>
      </c>
      <c r="O52" s="190">
        <v>0</v>
      </c>
      <c r="P52" s="190">
        <v>57</v>
      </c>
      <c r="Q52" s="190">
        <v>57</v>
      </c>
      <c r="R52" s="190">
        <v>0</v>
      </c>
      <c r="S52" s="190">
        <v>0</v>
      </c>
      <c r="T52" s="190">
        <v>0</v>
      </c>
      <c r="U52" s="190">
        <v>0</v>
      </c>
      <c r="V52" s="190">
        <v>6</v>
      </c>
      <c r="W52" s="190">
        <v>6</v>
      </c>
      <c r="X52" s="190">
        <v>9</v>
      </c>
      <c r="Y52" s="190">
        <v>207</v>
      </c>
      <c r="Z52" s="190">
        <v>216</v>
      </c>
      <c r="AA52" s="190">
        <v>7</v>
      </c>
      <c r="AB52" s="190">
        <v>70</v>
      </c>
      <c r="AC52" s="190">
        <v>77</v>
      </c>
      <c r="AD52" s="190">
        <v>6</v>
      </c>
      <c r="AE52" s="190">
        <v>62</v>
      </c>
      <c r="AF52" s="190">
        <v>68</v>
      </c>
      <c r="AG52" s="190">
        <v>1</v>
      </c>
      <c r="AH52" s="190">
        <v>0</v>
      </c>
      <c r="AI52" s="190">
        <v>1</v>
      </c>
      <c r="AJ52" s="190">
        <v>0</v>
      </c>
      <c r="AK52" s="190">
        <v>8</v>
      </c>
      <c r="AL52" s="190">
        <v>8</v>
      </c>
      <c r="AM52" s="190">
        <v>2</v>
      </c>
      <c r="AN52" s="190">
        <v>137</v>
      </c>
      <c r="AO52" s="190">
        <v>139</v>
      </c>
      <c r="AP52" s="190">
        <v>351</v>
      </c>
      <c r="AQ52" s="190">
        <v>2583</v>
      </c>
      <c r="AR52" s="190">
        <v>2934</v>
      </c>
      <c r="AS52" s="190">
        <v>351</v>
      </c>
      <c r="AT52" s="190">
        <v>2583</v>
      </c>
      <c r="AU52" s="190">
        <v>2934</v>
      </c>
      <c r="AV52" s="190">
        <v>0</v>
      </c>
      <c r="AW52" s="190">
        <v>0</v>
      </c>
      <c r="AX52" s="190">
        <v>0</v>
      </c>
      <c r="AY52" s="190">
        <v>26</v>
      </c>
      <c r="AZ52" s="190">
        <v>248</v>
      </c>
      <c r="BA52" s="190">
        <v>274</v>
      </c>
      <c r="BB52" s="190">
        <v>11</v>
      </c>
      <c r="BC52" s="190">
        <v>0</v>
      </c>
      <c r="BD52" s="190">
        <v>0</v>
      </c>
      <c r="BE52" s="190">
        <v>104</v>
      </c>
      <c r="BF52" s="190">
        <v>0</v>
      </c>
      <c r="BG52" s="190">
        <v>0</v>
      </c>
      <c r="BH52" s="190">
        <v>11</v>
      </c>
      <c r="BI52" s="190">
        <v>104</v>
      </c>
      <c r="BJ52" s="190">
        <v>115</v>
      </c>
      <c r="BK52" s="190">
        <v>-8</v>
      </c>
      <c r="BL52" s="190">
        <v>8</v>
      </c>
      <c r="BM52" s="190">
        <v>0</v>
      </c>
      <c r="BN52" s="190">
        <v>3</v>
      </c>
      <c r="BO52" s="190">
        <v>6</v>
      </c>
      <c r="BP52" s="190">
        <v>9</v>
      </c>
      <c r="BQ52" s="190">
        <v>0</v>
      </c>
      <c r="BR52" s="190">
        <v>23</v>
      </c>
      <c r="BS52" s="190">
        <v>23</v>
      </c>
      <c r="BT52" s="190">
        <v>20</v>
      </c>
      <c r="BU52" s="190">
        <v>107</v>
      </c>
      <c r="BV52" s="190">
        <v>127</v>
      </c>
      <c r="BW52" s="190">
        <v>377</v>
      </c>
      <c r="BX52" s="190">
        <v>2831</v>
      </c>
      <c r="BY52" s="190">
        <v>3208</v>
      </c>
      <c r="BZ52" s="190">
        <v>375</v>
      </c>
      <c r="CA52" s="190">
        <v>2824</v>
      </c>
      <c r="CB52" s="190">
        <v>3199</v>
      </c>
      <c r="CC52" s="190">
        <v>6763</v>
      </c>
      <c r="CD52" s="190">
        <v>0</v>
      </c>
      <c r="CE52" s="190">
        <v>10</v>
      </c>
      <c r="CF52" s="190">
        <v>2</v>
      </c>
      <c r="CG52" s="190">
        <v>6</v>
      </c>
      <c r="CH52" s="190">
        <v>8</v>
      </c>
      <c r="CI52" s="190">
        <v>2</v>
      </c>
      <c r="CJ52" s="190">
        <v>0</v>
      </c>
      <c r="CK52" s="190">
        <v>0</v>
      </c>
      <c r="CL52" s="190">
        <v>1</v>
      </c>
      <c r="CM52" s="190">
        <v>1</v>
      </c>
      <c r="CN52" s="190">
        <v>38</v>
      </c>
      <c r="CO52" s="190">
        <v>285</v>
      </c>
      <c r="CP52" s="190">
        <v>323</v>
      </c>
      <c r="CQ52" s="190">
        <v>0</v>
      </c>
      <c r="CR52" s="190">
        <v>0</v>
      </c>
      <c r="CS52" s="190">
        <v>0</v>
      </c>
      <c r="CT52" s="190">
        <v>339</v>
      </c>
      <c r="CU52" s="190">
        <v>2546</v>
      </c>
      <c r="CV52" s="190">
        <v>2885</v>
      </c>
      <c r="CW52" s="190">
        <v>32</v>
      </c>
      <c r="CX52" s="190">
        <v>113</v>
      </c>
      <c r="CY52" s="190">
        <v>145</v>
      </c>
      <c r="CZ52" s="190">
        <v>31</v>
      </c>
      <c r="DA52" s="190">
        <v>0</v>
      </c>
      <c r="DB52" s="190">
        <v>0</v>
      </c>
      <c r="DC52" s="190">
        <v>110</v>
      </c>
      <c r="DD52" s="190">
        <v>1</v>
      </c>
      <c r="DE52" s="190">
        <v>0</v>
      </c>
      <c r="DF52" s="190">
        <v>31</v>
      </c>
      <c r="DG52" s="190">
        <v>111</v>
      </c>
      <c r="DH52" s="190">
        <v>142</v>
      </c>
      <c r="DI52" s="190">
        <v>1</v>
      </c>
      <c r="DJ52" s="190">
        <v>0</v>
      </c>
      <c r="DK52" s="190">
        <v>0</v>
      </c>
      <c r="DL52" s="190">
        <v>2</v>
      </c>
      <c r="DM52" s="190">
        <v>0</v>
      </c>
      <c r="DN52" s="190">
        <v>0</v>
      </c>
      <c r="DO52" s="190">
        <v>1</v>
      </c>
      <c r="DP52" s="190">
        <v>2</v>
      </c>
      <c r="DQ52" s="190">
        <v>3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1435</v>
      </c>
      <c r="C53" s="190">
        <v>334</v>
      </c>
      <c r="D53" s="190">
        <v>1216</v>
      </c>
      <c r="E53" s="190">
        <v>733</v>
      </c>
      <c r="F53" s="190">
        <v>1</v>
      </c>
      <c r="G53" s="190">
        <v>20</v>
      </c>
      <c r="H53" s="190">
        <v>21</v>
      </c>
      <c r="I53" s="190">
        <v>0</v>
      </c>
      <c r="J53" s="190">
        <v>374</v>
      </c>
      <c r="K53" s="190">
        <v>374</v>
      </c>
      <c r="L53" s="190">
        <v>0</v>
      </c>
      <c r="M53" s="190">
        <v>99</v>
      </c>
      <c r="N53" s="190">
        <v>99</v>
      </c>
      <c r="O53" s="190">
        <v>0</v>
      </c>
      <c r="P53" s="190">
        <v>275</v>
      </c>
      <c r="Q53" s="190">
        <v>275</v>
      </c>
      <c r="R53" s="190">
        <v>0</v>
      </c>
      <c r="S53" s="190">
        <v>52</v>
      </c>
      <c r="T53" s="190">
        <v>52</v>
      </c>
      <c r="U53" s="190">
        <v>0</v>
      </c>
      <c r="V53" s="190">
        <v>109</v>
      </c>
      <c r="W53" s="190">
        <v>109</v>
      </c>
      <c r="X53" s="190">
        <v>13</v>
      </c>
      <c r="Y53" s="190">
        <v>733</v>
      </c>
      <c r="Z53" s="190">
        <v>746</v>
      </c>
      <c r="AA53" s="190">
        <v>10</v>
      </c>
      <c r="AB53" s="190">
        <v>377</v>
      </c>
      <c r="AC53" s="190">
        <v>387</v>
      </c>
      <c r="AD53" s="190">
        <v>8</v>
      </c>
      <c r="AE53" s="190">
        <v>365</v>
      </c>
      <c r="AF53" s="190">
        <v>373</v>
      </c>
      <c r="AG53" s="190">
        <v>2</v>
      </c>
      <c r="AH53" s="190">
        <v>10</v>
      </c>
      <c r="AI53" s="190">
        <v>12</v>
      </c>
      <c r="AJ53" s="190">
        <v>0</v>
      </c>
      <c r="AK53" s="190">
        <v>2</v>
      </c>
      <c r="AL53" s="190">
        <v>2</v>
      </c>
      <c r="AM53" s="190">
        <v>3</v>
      </c>
      <c r="AN53" s="190">
        <v>356</v>
      </c>
      <c r="AO53" s="190">
        <v>359</v>
      </c>
      <c r="AP53" s="190">
        <v>2705</v>
      </c>
      <c r="AQ53" s="190">
        <v>18172</v>
      </c>
      <c r="AR53" s="190">
        <v>20877</v>
      </c>
      <c r="AS53" s="190">
        <v>2512</v>
      </c>
      <c r="AT53" s="190">
        <v>18199</v>
      </c>
      <c r="AU53" s="190">
        <v>20711</v>
      </c>
      <c r="AV53" s="190">
        <v>193</v>
      </c>
      <c r="AW53" s="190">
        <v>-27</v>
      </c>
      <c r="AX53" s="190">
        <v>166</v>
      </c>
      <c r="AY53" s="190">
        <v>-125</v>
      </c>
      <c r="AZ53" s="190">
        <v>1727</v>
      </c>
      <c r="BA53" s="190">
        <v>1602</v>
      </c>
      <c r="BB53" s="190">
        <v>57</v>
      </c>
      <c r="BC53" s="190">
        <v>1</v>
      </c>
      <c r="BD53" s="190">
        <v>0</v>
      </c>
      <c r="BE53" s="190">
        <v>665</v>
      </c>
      <c r="BF53" s="190">
        <v>6</v>
      </c>
      <c r="BG53" s="190">
        <v>4</v>
      </c>
      <c r="BH53" s="190">
        <v>58</v>
      </c>
      <c r="BI53" s="190">
        <v>675</v>
      </c>
      <c r="BJ53" s="190">
        <v>733</v>
      </c>
      <c r="BK53" s="190">
        <v>-270</v>
      </c>
      <c r="BL53" s="190">
        <v>270</v>
      </c>
      <c r="BM53" s="190">
        <v>0</v>
      </c>
      <c r="BN53" s="190">
        <v>11</v>
      </c>
      <c r="BO53" s="190">
        <v>47</v>
      </c>
      <c r="BP53" s="190">
        <v>58</v>
      </c>
      <c r="BQ53" s="190">
        <v>4</v>
      </c>
      <c r="BR53" s="190">
        <v>79</v>
      </c>
      <c r="BS53" s="190">
        <v>83</v>
      </c>
      <c r="BT53" s="190">
        <v>72</v>
      </c>
      <c r="BU53" s="190">
        <v>656</v>
      </c>
      <c r="BV53" s="190">
        <v>728</v>
      </c>
      <c r="BW53" s="190">
        <v>2580</v>
      </c>
      <c r="BX53" s="190">
        <v>19899</v>
      </c>
      <c r="BY53" s="190">
        <v>22479</v>
      </c>
      <c r="BZ53" s="190">
        <v>2558</v>
      </c>
      <c r="CA53" s="190">
        <v>19670</v>
      </c>
      <c r="CB53" s="190">
        <v>22228</v>
      </c>
      <c r="CC53" s="190">
        <v>41996</v>
      </c>
      <c r="CD53" s="190">
        <v>223</v>
      </c>
      <c r="CE53" s="190">
        <v>191</v>
      </c>
      <c r="CF53" s="190">
        <v>22</v>
      </c>
      <c r="CG53" s="190">
        <v>167</v>
      </c>
      <c r="CH53" s="190">
        <v>189</v>
      </c>
      <c r="CI53" s="190">
        <v>84</v>
      </c>
      <c r="CJ53" s="190">
        <v>59</v>
      </c>
      <c r="CK53" s="190">
        <v>0</v>
      </c>
      <c r="CL53" s="190">
        <v>62</v>
      </c>
      <c r="CM53" s="190">
        <v>62</v>
      </c>
      <c r="CN53" s="190">
        <v>174</v>
      </c>
      <c r="CO53" s="190">
        <v>2132</v>
      </c>
      <c r="CP53" s="190">
        <v>2306</v>
      </c>
      <c r="CQ53" s="190">
        <v>0</v>
      </c>
      <c r="CR53" s="190">
        <v>9</v>
      </c>
      <c r="CS53" s="190">
        <v>9</v>
      </c>
      <c r="CT53" s="190">
        <v>2406</v>
      </c>
      <c r="CU53" s="190">
        <v>17767</v>
      </c>
      <c r="CV53" s="190">
        <v>20173</v>
      </c>
      <c r="CW53" s="190">
        <v>170</v>
      </c>
      <c r="CX53" s="190">
        <v>952</v>
      </c>
      <c r="CY53" s="190">
        <v>1122</v>
      </c>
      <c r="CZ53" s="190">
        <v>165</v>
      </c>
      <c r="DA53" s="190">
        <v>1</v>
      </c>
      <c r="DB53" s="190">
        <v>0</v>
      </c>
      <c r="DC53" s="190">
        <v>913</v>
      </c>
      <c r="DD53" s="190">
        <v>6</v>
      </c>
      <c r="DE53" s="190">
        <v>1</v>
      </c>
      <c r="DF53" s="190">
        <v>166</v>
      </c>
      <c r="DG53" s="190">
        <v>920</v>
      </c>
      <c r="DH53" s="190">
        <v>1086</v>
      </c>
      <c r="DI53" s="190">
        <v>4</v>
      </c>
      <c r="DJ53" s="190">
        <v>0</v>
      </c>
      <c r="DK53" s="190">
        <v>0</v>
      </c>
      <c r="DL53" s="190">
        <v>32</v>
      </c>
      <c r="DM53" s="190">
        <v>0</v>
      </c>
      <c r="DN53" s="190">
        <v>0</v>
      </c>
      <c r="DO53" s="190">
        <v>4</v>
      </c>
      <c r="DP53" s="190">
        <v>32</v>
      </c>
      <c r="DQ53" s="190">
        <v>36</v>
      </c>
      <c r="DR53" s="190">
        <v>0</v>
      </c>
      <c r="DS53" s="190">
        <v>2</v>
      </c>
      <c r="DT53" s="191">
        <v>2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1408</v>
      </c>
      <c r="C54" s="190">
        <v>355</v>
      </c>
      <c r="D54" s="190">
        <v>1284</v>
      </c>
      <c r="E54" s="190">
        <v>765</v>
      </c>
      <c r="F54" s="190">
        <v>1</v>
      </c>
      <c r="G54" s="190">
        <v>39</v>
      </c>
      <c r="H54" s="190">
        <v>40</v>
      </c>
      <c r="I54" s="190">
        <v>1</v>
      </c>
      <c r="J54" s="190">
        <v>464</v>
      </c>
      <c r="K54" s="190">
        <v>465</v>
      </c>
      <c r="L54" s="190">
        <v>0</v>
      </c>
      <c r="M54" s="190">
        <v>461</v>
      </c>
      <c r="N54" s="190">
        <v>461</v>
      </c>
      <c r="O54" s="190">
        <v>1</v>
      </c>
      <c r="P54" s="190">
        <v>3</v>
      </c>
      <c r="Q54" s="190">
        <v>4</v>
      </c>
      <c r="R54" s="190">
        <v>0</v>
      </c>
      <c r="S54" s="190">
        <v>54</v>
      </c>
      <c r="T54" s="190">
        <v>54</v>
      </c>
      <c r="U54" s="190">
        <v>0</v>
      </c>
      <c r="V54" s="190">
        <v>54</v>
      </c>
      <c r="W54" s="190">
        <v>54</v>
      </c>
      <c r="X54" s="190">
        <v>9</v>
      </c>
      <c r="Y54" s="190">
        <v>1016</v>
      </c>
      <c r="Z54" s="190">
        <v>1025</v>
      </c>
      <c r="AA54" s="190">
        <v>4</v>
      </c>
      <c r="AB54" s="190">
        <v>268</v>
      </c>
      <c r="AC54" s="190">
        <v>272</v>
      </c>
      <c r="AD54" s="190">
        <v>3</v>
      </c>
      <c r="AE54" s="190">
        <v>132</v>
      </c>
      <c r="AF54" s="190">
        <v>135</v>
      </c>
      <c r="AG54" s="190">
        <v>1</v>
      </c>
      <c r="AH54" s="190">
        <v>84</v>
      </c>
      <c r="AI54" s="190">
        <v>85</v>
      </c>
      <c r="AJ54" s="190">
        <v>0</v>
      </c>
      <c r="AK54" s="190">
        <v>52</v>
      </c>
      <c r="AL54" s="190">
        <v>52</v>
      </c>
      <c r="AM54" s="190">
        <v>5</v>
      </c>
      <c r="AN54" s="190">
        <v>748</v>
      </c>
      <c r="AO54" s="190">
        <v>753</v>
      </c>
      <c r="AP54" s="190">
        <v>1436</v>
      </c>
      <c r="AQ54" s="190">
        <v>16414</v>
      </c>
      <c r="AR54" s="190">
        <v>17850</v>
      </c>
      <c r="AS54" s="190">
        <v>1433</v>
      </c>
      <c r="AT54" s="190">
        <v>16323</v>
      </c>
      <c r="AU54" s="190">
        <v>17756</v>
      </c>
      <c r="AV54" s="190">
        <v>3</v>
      </c>
      <c r="AW54" s="190">
        <v>91</v>
      </c>
      <c r="AX54" s="190">
        <v>94</v>
      </c>
      <c r="AY54" s="190">
        <v>76</v>
      </c>
      <c r="AZ54" s="190">
        <v>1223</v>
      </c>
      <c r="BA54" s="190">
        <v>1299</v>
      </c>
      <c r="BB54" s="190">
        <v>37</v>
      </c>
      <c r="BC54" s="190">
        <v>3</v>
      </c>
      <c r="BD54" s="190">
        <v>1</v>
      </c>
      <c r="BE54" s="190">
        <v>709</v>
      </c>
      <c r="BF54" s="190">
        <v>10</v>
      </c>
      <c r="BG54" s="190">
        <v>5</v>
      </c>
      <c r="BH54" s="190">
        <v>41</v>
      </c>
      <c r="BI54" s="190">
        <v>724</v>
      </c>
      <c r="BJ54" s="190">
        <v>765</v>
      </c>
      <c r="BK54" s="190">
        <v>-1</v>
      </c>
      <c r="BL54" s="190">
        <v>1</v>
      </c>
      <c r="BM54" s="190">
        <v>0</v>
      </c>
      <c r="BN54" s="190">
        <v>4</v>
      </c>
      <c r="BO54" s="190">
        <v>18</v>
      </c>
      <c r="BP54" s="190">
        <v>22</v>
      </c>
      <c r="BQ54" s="190">
        <v>8</v>
      </c>
      <c r="BR54" s="190">
        <v>169</v>
      </c>
      <c r="BS54" s="190">
        <v>177</v>
      </c>
      <c r="BT54" s="190">
        <v>24</v>
      </c>
      <c r="BU54" s="190">
        <v>311</v>
      </c>
      <c r="BV54" s="190">
        <v>335</v>
      </c>
      <c r="BW54" s="190">
        <v>1512</v>
      </c>
      <c r="BX54" s="190">
        <v>17637</v>
      </c>
      <c r="BY54" s="190">
        <v>19149</v>
      </c>
      <c r="BZ54" s="190">
        <v>1469</v>
      </c>
      <c r="CA54" s="190">
        <v>17353</v>
      </c>
      <c r="CB54" s="190">
        <v>18822</v>
      </c>
      <c r="CC54" s="190">
        <v>33979</v>
      </c>
      <c r="CD54" s="190">
        <v>21</v>
      </c>
      <c r="CE54" s="190">
        <v>306</v>
      </c>
      <c r="CF54" s="190">
        <v>40</v>
      </c>
      <c r="CG54" s="190">
        <v>226</v>
      </c>
      <c r="CH54" s="190">
        <v>266</v>
      </c>
      <c r="CI54" s="190">
        <v>73</v>
      </c>
      <c r="CJ54" s="190">
        <v>6</v>
      </c>
      <c r="CK54" s="190">
        <v>3</v>
      </c>
      <c r="CL54" s="190">
        <v>58</v>
      </c>
      <c r="CM54" s="190">
        <v>61</v>
      </c>
      <c r="CN54" s="190">
        <v>92</v>
      </c>
      <c r="CO54" s="190">
        <v>1729</v>
      </c>
      <c r="CP54" s="190">
        <v>1821</v>
      </c>
      <c r="CQ54" s="190">
        <v>0</v>
      </c>
      <c r="CR54" s="190">
        <v>0</v>
      </c>
      <c r="CS54" s="190">
        <v>0</v>
      </c>
      <c r="CT54" s="190">
        <v>1420</v>
      </c>
      <c r="CU54" s="190">
        <v>15908</v>
      </c>
      <c r="CV54" s="190">
        <v>17328</v>
      </c>
      <c r="CW54" s="190">
        <v>114</v>
      </c>
      <c r="CX54" s="190">
        <v>811</v>
      </c>
      <c r="CY54" s="190">
        <v>925</v>
      </c>
      <c r="CZ54" s="190">
        <v>107</v>
      </c>
      <c r="DA54" s="190">
        <v>3</v>
      </c>
      <c r="DB54" s="190">
        <v>1</v>
      </c>
      <c r="DC54" s="190">
        <v>668</v>
      </c>
      <c r="DD54" s="190">
        <v>12</v>
      </c>
      <c r="DE54" s="190">
        <v>2</v>
      </c>
      <c r="DF54" s="190">
        <v>111</v>
      </c>
      <c r="DG54" s="190">
        <v>682</v>
      </c>
      <c r="DH54" s="190">
        <v>793</v>
      </c>
      <c r="DI54" s="190">
        <v>3</v>
      </c>
      <c r="DJ54" s="190">
        <v>0</v>
      </c>
      <c r="DK54" s="190">
        <v>0</v>
      </c>
      <c r="DL54" s="190">
        <v>127</v>
      </c>
      <c r="DM54" s="190">
        <v>2</v>
      </c>
      <c r="DN54" s="190">
        <v>0</v>
      </c>
      <c r="DO54" s="190">
        <v>3</v>
      </c>
      <c r="DP54" s="190">
        <v>129</v>
      </c>
      <c r="DQ54" s="190">
        <v>132</v>
      </c>
      <c r="DR54" s="190">
        <v>0</v>
      </c>
      <c r="DS54" s="190">
        <v>0</v>
      </c>
      <c r="DT54" s="191">
        <v>0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2825</v>
      </c>
      <c r="C55" s="190">
        <v>571</v>
      </c>
      <c r="D55" s="190">
        <v>2805</v>
      </c>
      <c r="E55" s="190">
        <v>1792</v>
      </c>
      <c r="F55" s="190">
        <v>4</v>
      </c>
      <c r="G55" s="190">
        <v>39</v>
      </c>
      <c r="H55" s="190">
        <v>43</v>
      </c>
      <c r="I55" s="190">
        <v>0</v>
      </c>
      <c r="J55" s="190">
        <v>884</v>
      </c>
      <c r="K55" s="190">
        <v>884</v>
      </c>
      <c r="L55" s="190">
        <v>0</v>
      </c>
      <c r="M55" s="190">
        <v>474</v>
      </c>
      <c r="N55" s="190">
        <v>474</v>
      </c>
      <c r="O55" s="190">
        <v>0</v>
      </c>
      <c r="P55" s="190">
        <v>410</v>
      </c>
      <c r="Q55" s="190">
        <v>410</v>
      </c>
      <c r="R55" s="190">
        <v>0</v>
      </c>
      <c r="S55" s="190">
        <v>17</v>
      </c>
      <c r="T55" s="190">
        <v>17</v>
      </c>
      <c r="U55" s="190">
        <v>0</v>
      </c>
      <c r="V55" s="190">
        <v>129</v>
      </c>
      <c r="W55" s="190">
        <v>129</v>
      </c>
      <c r="X55" s="190">
        <v>59</v>
      </c>
      <c r="Y55" s="190">
        <v>2744</v>
      </c>
      <c r="Z55" s="190">
        <v>2803</v>
      </c>
      <c r="AA55" s="190">
        <v>41</v>
      </c>
      <c r="AB55" s="190">
        <v>1156</v>
      </c>
      <c r="AC55" s="190">
        <v>1197</v>
      </c>
      <c r="AD55" s="190">
        <v>38</v>
      </c>
      <c r="AE55" s="190">
        <v>1040</v>
      </c>
      <c r="AF55" s="190">
        <v>1078</v>
      </c>
      <c r="AG55" s="190">
        <v>3</v>
      </c>
      <c r="AH55" s="190">
        <v>67</v>
      </c>
      <c r="AI55" s="190">
        <v>70</v>
      </c>
      <c r="AJ55" s="190">
        <v>0</v>
      </c>
      <c r="AK55" s="190">
        <v>49</v>
      </c>
      <c r="AL55" s="190">
        <v>49</v>
      </c>
      <c r="AM55" s="190">
        <v>18</v>
      </c>
      <c r="AN55" s="190">
        <v>1588</v>
      </c>
      <c r="AO55" s="190">
        <v>1606</v>
      </c>
      <c r="AP55" s="190">
        <v>5353</v>
      </c>
      <c r="AQ55" s="190">
        <v>33952</v>
      </c>
      <c r="AR55" s="190">
        <v>39305</v>
      </c>
      <c r="AS55" s="190">
        <v>5353</v>
      </c>
      <c r="AT55" s="190">
        <v>33952</v>
      </c>
      <c r="AU55" s="190">
        <v>39305</v>
      </c>
      <c r="AV55" s="190">
        <v>0</v>
      </c>
      <c r="AW55" s="190">
        <v>0</v>
      </c>
      <c r="AX55" s="190">
        <v>0</v>
      </c>
      <c r="AY55" s="190">
        <v>289</v>
      </c>
      <c r="AZ55" s="190">
        <v>2856</v>
      </c>
      <c r="BA55" s="190">
        <v>3145</v>
      </c>
      <c r="BB55" s="190">
        <v>83</v>
      </c>
      <c r="BC55" s="190">
        <v>0</v>
      </c>
      <c r="BD55" s="190">
        <v>0</v>
      </c>
      <c r="BE55" s="190">
        <v>1699</v>
      </c>
      <c r="BF55" s="190">
        <v>8</v>
      </c>
      <c r="BG55" s="190">
        <v>2</v>
      </c>
      <c r="BH55" s="190">
        <v>83</v>
      </c>
      <c r="BI55" s="190">
        <v>1709</v>
      </c>
      <c r="BJ55" s="190">
        <v>1792</v>
      </c>
      <c r="BK55" s="190">
        <v>-27</v>
      </c>
      <c r="BL55" s="190">
        <v>27</v>
      </c>
      <c r="BM55" s="190">
        <v>0</v>
      </c>
      <c r="BN55" s="190">
        <v>12</v>
      </c>
      <c r="BO55" s="190">
        <v>61</v>
      </c>
      <c r="BP55" s="190">
        <v>73</v>
      </c>
      <c r="BQ55" s="190">
        <v>51</v>
      </c>
      <c r="BR55" s="190">
        <v>273</v>
      </c>
      <c r="BS55" s="190">
        <v>324</v>
      </c>
      <c r="BT55" s="190">
        <v>170</v>
      </c>
      <c r="BU55" s="190">
        <v>786</v>
      </c>
      <c r="BV55" s="190">
        <v>956</v>
      </c>
      <c r="BW55" s="190">
        <v>5642</v>
      </c>
      <c r="BX55" s="190">
        <v>36808</v>
      </c>
      <c r="BY55" s="190">
        <v>42450</v>
      </c>
      <c r="BZ55" s="190">
        <v>5612</v>
      </c>
      <c r="CA55" s="190">
        <v>36607</v>
      </c>
      <c r="CB55" s="190">
        <v>42219</v>
      </c>
      <c r="CC55" s="190">
        <v>88339</v>
      </c>
      <c r="CD55" s="190">
        <v>19</v>
      </c>
      <c r="CE55" s="190">
        <v>210</v>
      </c>
      <c r="CF55" s="190">
        <v>30</v>
      </c>
      <c r="CG55" s="190">
        <v>168</v>
      </c>
      <c r="CH55" s="190">
        <v>198</v>
      </c>
      <c r="CI55" s="190">
        <v>38</v>
      </c>
      <c r="CJ55" s="190">
        <v>5</v>
      </c>
      <c r="CK55" s="190">
        <v>0</v>
      </c>
      <c r="CL55" s="190">
        <v>33</v>
      </c>
      <c r="CM55" s="190">
        <v>33</v>
      </c>
      <c r="CN55" s="190">
        <v>339</v>
      </c>
      <c r="CO55" s="190">
        <v>3071</v>
      </c>
      <c r="CP55" s="190">
        <v>3410</v>
      </c>
      <c r="CQ55" s="190">
        <v>0</v>
      </c>
      <c r="CR55" s="190">
        <v>0</v>
      </c>
      <c r="CS55" s="190">
        <v>0</v>
      </c>
      <c r="CT55" s="190">
        <v>5303</v>
      </c>
      <c r="CU55" s="190">
        <v>33737</v>
      </c>
      <c r="CV55" s="190">
        <v>39040</v>
      </c>
      <c r="CW55" s="190">
        <v>398</v>
      </c>
      <c r="CX55" s="190">
        <v>1395</v>
      </c>
      <c r="CY55" s="190">
        <v>1793</v>
      </c>
      <c r="CZ55" s="190">
        <v>396</v>
      </c>
      <c r="DA55" s="190">
        <v>2</v>
      </c>
      <c r="DB55" s="190">
        <v>0</v>
      </c>
      <c r="DC55" s="190">
        <v>1374</v>
      </c>
      <c r="DD55" s="190">
        <v>8</v>
      </c>
      <c r="DE55" s="190">
        <v>1</v>
      </c>
      <c r="DF55" s="190">
        <v>398</v>
      </c>
      <c r="DG55" s="190">
        <v>1383</v>
      </c>
      <c r="DH55" s="190">
        <v>1781</v>
      </c>
      <c r="DI55" s="190">
        <v>0</v>
      </c>
      <c r="DJ55" s="190">
        <v>0</v>
      </c>
      <c r="DK55" s="190">
        <v>0</v>
      </c>
      <c r="DL55" s="190">
        <v>12</v>
      </c>
      <c r="DM55" s="190">
        <v>0</v>
      </c>
      <c r="DN55" s="190">
        <v>0</v>
      </c>
      <c r="DO55" s="190">
        <v>0</v>
      </c>
      <c r="DP55" s="190">
        <v>12</v>
      </c>
      <c r="DQ55" s="190">
        <v>12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372</v>
      </c>
      <c r="C56" s="190">
        <v>104</v>
      </c>
      <c r="D56" s="190">
        <v>371</v>
      </c>
      <c r="E56" s="190">
        <v>208</v>
      </c>
      <c r="F56" s="190">
        <v>0</v>
      </c>
      <c r="G56" s="190">
        <v>2</v>
      </c>
      <c r="H56" s="190">
        <v>2</v>
      </c>
      <c r="I56" s="190">
        <v>0</v>
      </c>
      <c r="J56" s="190">
        <v>141</v>
      </c>
      <c r="K56" s="190">
        <v>141</v>
      </c>
      <c r="L56" s="190">
        <v>0</v>
      </c>
      <c r="M56" s="190">
        <v>50</v>
      </c>
      <c r="N56" s="190">
        <v>50</v>
      </c>
      <c r="O56" s="190">
        <v>0</v>
      </c>
      <c r="P56" s="190">
        <v>91</v>
      </c>
      <c r="Q56" s="190">
        <v>91</v>
      </c>
      <c r="R56" s="190">
        <v>0</v>
      </c>
      <c r="S56" s="190">
        <v>3</v>
      </c>
      <c r="T56" s="190">
        <v>3</v>
      </c>
      <c r="U56" s="190">
        <v>0</v>
      </c>
      <c r="V56" s="190">
        <v>22</v>
      </c>
      <c r="W56" s="190">
        <v>22</v>
      </c>
      <c r="X56" s="190">
        <v>14</v>
      </c>
      <c r="Y56" s="190">
        <v>357</v>
      </c>
      <c r="Z56" s="190">
        <v>371</v>
      </c>
      <c r="AA56" s="190">
        <v>9</v>
      </c>
      <c r="AB56" s="190">
        <v>158</v>
      </c>
      <c r="AC56" s="190">
        <v>167</v>
      </c>
      <c r="AD56" s="190">
        <v>6</v>
      </c>
      <c r="AE56" s="190">
        <v>138</v>
      </c>
      <c r="AF56" s="190">
        <v>144</v>
      </c>
      <c r="AG56" s="190">
        <v>2</v>
      </c>
      <c r="AH56" s="190">
        <v>15</v>
      </c>
      <c r="AI56" s="190">
        <v>17</v>
      </c>
      <c r="AJ56" s="190">
        <v>1</v>
      </c>
      <c r="AK56" s="190">
        <v>5</v>
      </c>
      <c r="AL56" s="190">
        <v>6</v>
      </c>
      <c r="AM56" s="190">
        <v>5</v>
      </c>
      <c r="AN56" s="190">
        <v>199</v>
      </c>
      <c r="AO56" s="190">
        <v>204</v>
      </c>
      <c r="AP56" s="190">
        <v>698</v>
      </c>
      <c r="AQ56" s="190">
        <v>4658</v>
      </c>
      <c r="AR56" s="190">
        <v>5356</v>
      </c>
      <c r="AS56" s="190">
        <v>698</v>
      </c>
      <c r="AT56" s="190">
        <v>4658</v>
      </c>
      <c r="AU56" s="190">
        <v>5356</v>
      </c>
      <c r="AV56" s="190">
        <v>0</v>
      </c>
      <c r="AW56" s="190">
        <v>0</v>
      </c>
      <c r="AX56" s="190">
        <v>0</v>
      </c>
      <c r="AY56" s="190">
        <v>8</v>
      </c>
      <c r="AZ56" s="190">
        <v>421</v>
      </c>
      <c r="BA56" s="190">
        <v>429</v>
      </c>
      <c r="BB56" s="190">
        <v>13</v>
      </c>
      <c r="BC56" s="190">
        <v>1</v>
      </c>
      <c r="BD56" s="190">
        <v>0</v>
      </c>
      <c r="BE56" s="190">
        <v>191</v>
      </c>
      <c r="BF56" s="190">
        <v>3</v>
      </c>
      <c r="BG56" s="190">
        <v>0</v>
      </c>
      <c r="BH56" s="190">
        <v>14</v>
      </c>
      <c r="BI56" s="190">
        <v>194</v>
      </c>
      <c r="BJ56" s="190">
        <v>208</v>
      </c>
      <c r="BK56" s="190">
        <v>-34</v>
      </c>
      <c r="BL56" s="190">
        <v>34</v>
      </c>
      <c r="BM56" s="190">
        <v>0</v>
      </c>
      <c r="BN56" s="190">
        <v>6</v>
      </c>
      <c r="BO56" s="190">
        <v>12</v>
      </c>
      <c r="BP56" s="190">
        <v>18</v>
      </c>
      <c r="BQ56" s="190">
        <v>4</v>
      </c>
      <c r="BR56" s="190">
        <v>59</v>
      </c>
      <c r="BS56" s="190">
        <v>63</v>
      </c>
      <c r="BT56" s="190">
        <v>18</v>
      </c>
      <c r="BU56" s="190">
        <v>122</v>
      </c>
      <c r="BV56" s="190">
        <v>140</v>
      </c>
      <c r="BW56" s="190">
        <v>706</v>
      </c>
      <c r="BX56" s="190">
        <v>5079</v>
      </c>
      <c r="BY56" s="190">
        <v>5785</v>
      </c>
      <c r="BZ56" s="190">
        <v>690</v>
      </c>
      <c r="CA56" s="190">
        <v>5014</v>
      </c>
      <c r="CB56" s="190">
        <v>5704</v>
      </c>
      <c r="CC56" s="190">
        <v>13143</v>
      </c>
      <c r="CD56" s="190">
        <v>8</v>
      </c>
      <c r="CE56" s="190">
        <v>76</v>
      </c>
      <c r="CF56" s="190">
        <v>16</v>
      </c>
      <c r="CG56" s="190">
        <v>54</v>
      </c>
      <c r="CH56" s="190">
        <v>70</v>
      </c>
      <c r="CI56" s="190">
        <v>10</v>
      </c>
      <c r="CJ56" s="190">
        <v>3</v>
      </c>
      <c r="CK56" s="190">
        <v>0</v>
      </c>
      <c r="CL56" s="190">
        <v>11</v>
      </c>
      <c r="CM56" s="190">
        <v>11</v>
      </c>
      <c r="CN56" s="190">
        <v>49</v>
      </c>
      <c r="CO56" s="190">
        <v>457</v>
      </c>
      <c r="CP56" s="190">
        <v>506</v>
      </c>
      <c r="CQ56" s="190">
        <v>0</v>
      </c>
      <c r="CR56" s="190">
        <v>0</v>
      </c>
      <c r="CS56" s="190">
        <v>0</v>
      </c>
      <c r="CT56" s="190">
        <v>657</v>
      </c>
      <c r="CU56" s="190">
        <v>4622</v>
      </c>
      <c r="CV56" s="190">
        <v>5279</v>
      </c>
      <c r="CW56" s="190">
        <v>52</v>
      </c>
      <c r="CX56" s="190">
        <v>221</v>
      </c>
      <c r="CY56" s="190">
        <v>273</v>
      </c>
      <c r="CZ56" s="190">
        <v>48</v>
      </c>
      <c r="DA56" s="190">
        <v>3</v>
      </c>
      <c r="DB56" s="190">
        <v>0</v>
      </c>
      <c r="DC56" s="190">
        <v>212</v>
      </c>
      <c r="DD56" s="190">
        <v>2</v>
      </c>
      <c r="DE56" s="190">
        <v>1</v>
      </c>
      <c r="DF56" s="190">
        <v>51</v>
      </c>
      <c r="DG56" s="190">
        <v>215</v>
      </c>
      <c r="DH56" s="190">
        <v>266</v>
      </c>
      <c r="DI56" s="190">
        <v>1</v>
      </c>
      <c r="DJ56" s="190">
        <v>0</v>
      </c>
      <c r="DK56" s="190">
        <v>0</v>
      </c>
      <c r="DL56" s="190">
        <v>6</v>
      </c>
      <c r="DM56" s="190">
        <v>0</v>
      </c>
      <c r="DN56" s="190">
        <v>0</v>
      </c>
      <c r="DO56" s="190">
        <v>1</v>
      </c>
      <c r="DP56" s="190">
        <v>6</v>
      </c>
      <c r="DQ56" s="190">
        <v>7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369</v>
      </c>
      <c r="C57" s="190">
        <v>55</v>
      </c>
      <c r="D57" s="190">
        <v>335</v>
      </c>
      <c r="E57" s="190">
        <v>205</v>
      </c>
      <c r="F57" s="190">
        <v>0</v>
      </c>
      <c r="G57" s="190">
        <v>5</v>
      </c>
      <c r="H57" s="190">
        <v>5</v>
      </c>
      <c r="I57" s="190">
        <v>0</v>
      </c>
      <c r="J57" s="190">
        <v>111</v>
      </c>
      <c r="K57" s="190">
        <v>111</v>
      </c>
      <c r="L57" s="190">
        <v>0</v>
      </c>
      <c r="M57" s="190">
        <v>14</v>
      </c>
      <c r="N57" s="190">
        <v>14</v>
      </c>
      <c r="O57" s="190">
        <v>0</v>
      </c>
      <c r="P57" s="190">
        <v>97</v>
      </c>
      <c r="Q57" s="190">
        <v>97</v>
      </c>
      <c r="R57" s="190">
        <v>0</v>
      </c>
      <c r="S57" s="190">
        <v>0</v>
      </c>
      <c r="T57" s="190">
        <v>0</v>
      </c>
      <c r="U57" s="190">
        <v>0</v>
      </c>
      <c r="V57" s="190">
        <v>19</v>
      </c>
      <c r="W57" s="190">
        <v>19</v>
      </c>
      <c r="X57" s="190">
        <v>7</v>
      </c>
      <c r="Y57" s="190">
        <v>328</v>
      </c>
      <c r="Z57" s="190">
        <v>335</v>
      </c>
      <c r="AA57" s="190">
        <v>6</v>
      </c>
      <c r="AB57" s="190">
        <v>157</v>
      </c>
      <c r="AC57" s="190">
        <v>163</v>
      </c>
      <c r="AD57" s="190">
        <v>5</v>
      </c>
      <c r="AE57" s="190">
        <v>151</v>
      </c>
      <c r="AF57" s="190">
        <v>156</v>
      </c>
      <c r="AG57" s="190">
        <v>1</v>
      </c>
      <c r="AH57" s="190">
        <v>5</v>
      </c>
      <c r="AI57" s="190">
        <v>6</v>
      </c>
      <c r="AJ57" s="190">
        <v>0</v>
      </c>
      <c r="AK57" s="190">
        <v>1</v>
      </c>
      <c r="AL57" s="190">
        <v>1</v>
      </c>
      <c r="AM57" s="190">
        <v>1</v>
      </c>
      <c r="AN57" s="190">
        <v>171</v>
      </c>
      <c r="AO57" s="190">
        <v>172</v>
      </c>
      <c r="AP57" s="190">
        <v>525</v>
      </c>
      <c r="AQ57" s="190">
        <v>3742</v>
      </c>
      <c r="AR57" s="190">
        <v>4267</v>
      </c>
      <c r="AS57" s="190">
        <v>525</v>
      </c>
      <c r="AT57" s="190">
        <v>3743</v>
      </c>
      <c r="AU57" s="190">
        <v>4268</v>
      </c>
      <c r="AV57" s="190">
        <v>0</v>
      </c>
      <c r="AW57" s="190">
        <v>-1</v>
      </c>
      <c r="AX57" s="190">
        <v>-1</v>
      </c>
      <c r="AY57" s="190">
        <v>7</v>
      </c>
      <c r="AZ57" s="190">
        <v>376</v>
      </c>
      <c r="BA57" s="190">
        <v>383</v>
      </c>
      <c r="BB57" s="190">
        <v>4</v>
      </c>
      <c r="BC57" s="190">
        <v>0</v>
      </c>
      <c r="BD57" s="190">
        <v>0</v>
      </c>
      <c r="BE57" s="190">
        <v>200</v>
      </c>
      <c r="BF57" s="190">
        <v>1</v>
      </c>
      <c r="BG57" s="190">
        <v>0</v>
      </c>
      <c r="BH57" s="190">
        <v>4</v>
      </c>
      <c r="BI57" s="190">
        <v>201</v>
      </c>
      <c r="BJ57" s="190">
        <v>205</v>
      </c>
      <c r="BK57" s="190">
        <v>-10</v>
      </c>
      <c r="BL57" s="190">
        <v>10</v>
      </c>
      <c r="BM57" s="190">
        <v>0</v>
      </c>
      <c r="BN57" s="190">
        <v>0</v>
      </c>
      <c r="BO57" s="190">
        <v>21</v>
      </c>
      <c r="BP57" s="190">
        <v>21</v>
      </c>
      <c r="BQ57" s="190">
        <v>2</v>
      </c>
      <c r="BR57" s="190">
        <v>41</v>
      </c>
      <c r="BS57" s="190">
        <v>43</v>
      </c>
      <c r="BT57" s="190">
        <v>11</v>
      </c>
      <c r="BU57" s="190">
        <v>103</v>
      </c>
      <c r="BV57" s="190">
        <v>114</v>
      </c>
      <c r="BW57" s="190">
        <v>532</v>
      </c>
      <c r="BX57" s="190">
        <v>4118</v>
      </c>
      <c r="BY57" s="190">
        <v>4650</v>
      </c>
      <c r="BZ57" s="190">
        <v>532</v>
      </c>
      <c r="CA57" s="190">
        <v>4083</v>
      </c>
      <c r="CB57" s="190">
        <v>4615</v>
      </c>
      <c r="CC57" s="190">
        <v>10082</v>
      </c>
      <c r="CD57" s="190">
        <v>0</v>
      </c>
      <c r="CE57" s="190">
        <v>45</v>
      </c>
      <c r="CF57" s="190">
        <v>0</v>
      </c>
      <c r="CG57" s="190">
        <v>32</v>
      </c>
      <c r="CH57" s="190">
        <v>32</v>
      </c>
      <c r="CI57" s="190">
        <v>3</v>
      </c>
      <c r="CJ57" s="190">
        <v>0</v>
      </c>
      <c r="CK57" s="190">
        <v>0</v>
      </c>
      <c r="CL57" s="190">
        <v>3</v>
      </c>
      <c r="CM57" s="190">
        <v>3</v>
      </c>
      <c r="CN57" s="190">
        <v>22</v>
      </c>
      <c r="CO57" s="190">
        <v>372</v>
      </c>
      <c r="CP57" s="190">
        <v>394</v>
      </c>
      <c r="CQ57" s="190">
        <v>0</v>
      </c>
      <c r="CR57" s="190">
        <v>0</v>
      </c>
      <c r="CS57" s="190">
        <v>0</v>
      </c>
      <c r="CT57" s="190">
        <v>510</v>
      </c>
      <c r="CU57" s="190">
        <v>3746</v>
      </c>
      <c r="CV57" s="190">
        <v>4256</v>
      </c>
      <c r="CW57" s="190">
        <v>27</v>
      </c>
      <c r="CX57" s="190">
        <v>150</v>
      </c>
      <c r="CY57" s="190">
        <v>177</v>
      </c>
      <c r="CZ57" s="190">
        <v>27</v>
      </c>
      <c r="DA57" s="190">
        <v>0</v>
      </c>
      <c r="DB57" s="190">
        <v>0</v>
      </c>
      <c r="DC57" s="190">
        <v>147</v>
      </c>
      <c r="DD57" s="190">
        <v>1</v>
      </c>
      <c r="DE57" s="190">
        <v>0</v>
      </c>
      <c r="DF57" s="190">
        <v>27</v>
      </c>
      <c r="DG57" s="190">
        <v>148</v>
      </c>
      <c r="DH57" s="190">
        <v>175</v>
      </c>
      <c r="DI57" s="190">
        <v>0</v>
      </c>
      <c r="DJ57" s="190">
        <v>0</v>
      </c>
      <c r="DK57" s="190">
        <v>0</v>
      </c>
      <c r="DL57" s="190">
        <v>2</v>
      </c>
      <c r="DM57" s="190">
        <v>0</v>
      </c>
      <c r="DN57" s="190">
        <v>0</v>
      </c>
      <c r="DO57" s="190">
        <v>0</v>
      </c>
      <c r="DP57" s="190">
        <v>2</v>
      </c>
      <c r="DQ57" s="190">
        <v>2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87</v>
      </c>
      <c r="C58" s="190">
        <v>6</v>
      </c>
      <c r="D58" s="190">
        <v>58</v>
      </c>
      <c r="E58" s="190">
        <v>35</v>
      </c>
      <c r="F58" s="190">
        <v>1</v>
      </c>
      <c r="G58" s="190">
        <v>0</v>
      </c>
      <c r="H58" s="190">
        <v>1</v>
      </c>
      <c r="I58" s="190">
        <v>0</v>
      </c>
      <c r="J58" s="190">
        <v>22</v>
      </c>
      <c r="K58" s="190">
        <v>22</v>
      </c>
      <c r="L58" s="190">
        <v>0</v>
      </c>
      <c r="M58" s="190">
        <v>5</v>
      </c>
      <c r="N58" s="190">
        <v>5</v>
      </c>
      <c r="O58" s="190">
        <v>0</v>
      </c>
      <c r="P58" s="190">
        <v>17</v>
      </c>
      <c r="Q58" s="190">
        <v>17</v>
      </c>
      <c r="R58" s="190">
        <v>0</v>
      </c>
      <c r="S58" s="190">
        <v>1</v>
      </c>
      <c r="T58" s="190">
        <v>1</v>
      </c>
      <c r="U58" s="190">
        <v>0</v>
      </c>
      <c r="V58" s="190">
        <v>1</v>
      </c>
      <c r="W58" s="190">
        <v>1</v>
      </c>
      <c r="X58" s="190">
        <v>1</v>
      </c>
      <c r="Y58" s="190">
        <v>57</v>
      </c>
      <c r="Z58" s="190">
        <v>58</v>
      </c>
      <c r="AA58" s="190">
        <v>1</v>
      </c>
      <c r="AB58" s="190">
        <v>30</v>
      </c>
      <c r="AC58" s="190">
        <v>31</v>
      </c>
      <c r="AD58" s="190">
        <v>1</v>
      </c>
      <c r="AE58" s="190">
        <v>15</v>
      </c>
      <c r="AF58" s="190">
        <v>16</v>
      </c>
      <c r="AG58" s="190">
        <v>0</v>
      </c>
      <c r="AH58" s="190">
        <v>5</v>
      </c>
      <c r="AI58" s="190">
        <v>5</v>
      </c>
      <c r="AJ58" s="190">
        <v>0</v>
      </c>
      <c r="AK58" s="190">
        <v>10</v>
      </c>
      <c r="AL58" s="190">
        <v>10</v>
      </c>
      <c r="AM58" s="190">
        <v>0</v>
      </c>
      <c r="AN58" s="190">
        <v>27</v>
      </c>
      <c r="AO58" s="190">
        <v>27</v>
      </c>
      <c r="AP58" s="190">
        <v>61</v>
      </c>
      <c r="AQ58" s="190">
        <v>846</v>
      </c>
      <c r="AR58" s="190">
        <v>907</v>
      </c>
      <c r="AS58" s="190">
        <v>61</v>
      </c>
      <c r="AT58" s="190">
        <v>846</v>
      </c>
      <c r="AU58" s="190">
        <v>907</v>
      </c>
      <c r="AV58" s="190">
        <v>0</v>
      </c>
      <c r="AW58" s="190">
        <v>0</v>
      </c>
      <c r="AX58" s="190">
        <v>0</v>
      </c>
      <c r="AY58" s="190">
        <v>1</v>
      </c>
      <c r="AZ58" s="190">
        <v>80</v>
      </c>
      <c r="BA58" s="190">
        <v>81</v>
      </c>
      <c r="BB58" s="190">
        <v>3</v>
      </c>
      <c r="BC58" s="190">
        <v>0</v>
      </c>
      <c r="BD58" s="190">
        <v>0</v>
      </c>
      <c r="BE58" s="190">
        <v>32</v>
      </c>
      <c r="BF58" s="190">
        <v>0</v>
      </c>
      <c r="BG58" s="190">
        <v>0</v>
      </c>
      <c r="BH58" s="190">
        <v>3</v>
      </c>
      <c r="BI58" s="190">
        <v>32</v>
      </c>
      <c r="BJ58" s="190">
        <v>35</v>
      </c>
      <c r="BK58" s="190">
        <v>-5</v>
      </c>
      <c r="BL58" s="190">
        <v>5</v>
      </c>
      <c r="BM58" s="190">
        <v>0</v>
      </c>
      <c r="BN58" s="190">
        <v>0</v>
      </c>
      <c r="BO58" s="190">
        <v>4</v>
      </c>
      <c r="BP58" s="190">
        <v>4</v>
      </c>
      <c r="BQ58" s="190">
        <v>0</v>
      </c>
      <c r="BR58" s="190">
        <v>15</v>
      </c>
      <c r="BS58" s="190">
        <v>15</v>
      </c>
      <c r="BT58" s="190">
        <v>3</v>
      </c>
      <c r="BU58" s="190">
        <v>24</v>
      </c>
      <c r="BV58" s="190">
        <v>27</v>
      </c>
      <c r="BW58" s="190">
        <v>62</v>
      </c>
      <c r="BX58" s="190">
        <v>926</v>
      </c>
      <c r="BY58" s="190">
        <v>988</v>
      </c>
      <c r="BZ58" s="190">
        <v>62</v>
      </c>
      <c r="CA58" s="190">
        <v>926</v>
      </c>
      <c r="CB58" s="190">
        <v>988</v>
      </c>
      <c r="CC58" s="190">
        <v>1726</v>
      </c>
      <c r="CD58" s="190">
        <v>0</v>
      </c>
      <c r="CE58" s="190">
        <v>0</v>
      </c>
      <c r="CF58" s="190">
        <v>0</v>
      </c>
      <c r="CG58" s="190">
        <v>0</v>
      </c>
      <c r="CH58" s="190">
        <v>0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7</v>
      </c>
      <c r="CO58" s="190">
        <v>84</v>
      </c>
      <c r="CP58" s="190">
        <v>91</v>
      </c>
      <c r="CQ58" s="190">
        <v>0</v>
      </c>
      <c r="CR58" s="190">
        <v>0</v>
      </c>
      <c r="CS58" s="190">
        <v>0</v>
      </c>
      <c r="CT58" s="190">
        <v>55</v>
      </c>
      <c r="CU58" s="190">
        <v>842</v>
      </c>
      <c r="CV58" s="190">
        <v>897</v>
      </c>
      <c r="CW58" s="190">
        <v>5</v>
      </c>
      <c r="CX58" s="190">
        <v>30</v>
      </c>
      <c r="CY58" s="190">
        <v>35</v>
      </c>
      <c r="CZ58" s="190">
        <v>5</v>
      </c>
      <c r="DA58" s="190">
        <v>0</v>
      </c>
      <c r="DB58" s="190">
        <v>0</v>
      </c>
      <c r="DC58" s="190">
        <v>30</v>
      </c>
      <c r="DD58" s="190">
        <v>0</v>
      </c>
      <c r="DE58" s="190">
        <v>0</v>
      </c>
      <c r="DF58" s="190">
        <v>5</v>
      </c>
      <c r="DG58" s="190">
        <v>30</v>
      </c>
      <c r="DH58" s="190">
        <v>35</v>
      </c>
      <c r="DI58" s="190">
        <v>0</v>
      </c>
      <c r="DJ58" s="190">
        <v>0</v>
      </c>
      <c r="DK58" s="190">
        <v>0</v>
      </c>
      <c r="DL58" s="190">
        <v>0</v>
      </c>
      <c r="DM58" s="190">
        <v>0</v>
      </c>
      <c r="DN58" s="190">
        <v>0</v>
      </c>
      <c r="DO58" s="190">
        <v>0</v>
      </c>
      <c r="DP58" s="190">
        <v>0</v>
      </c>
      <c r="DQ58" s="190">
        <v>0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2740</v>
      </c>
      <c r="C59" s="190">
        <v>410</v>
      </c>
      <c r="D59" s="190">
        <v>2620</v>
      </c>
      <c r="E59" s="190">
        <v>2071</v>
      </c>
      <c r="F59" s="190">
        <v>2</v>
      </c>
      <c r="G59" s="190">
        <v>18</v>
      </c>
      <c r="H59" s="190">
        <v>20</v>
      </c>
      <c r="I59" s="190">
        <v>4</v>
      </c>
      <c r="J59" s="190">
        <v>484</v>
      </c>
      <c r="K59" s="190">
        <v>488</v>
      </c>
      <c r="L59" s="190">
        <v>4</v>
      </c>
      <c r="M59" s="190">
        <v>483</v>
      </c>
      <c r="N59" s="190">
        <v>487</v>
      </c>
      <c r="O59" s="190">
        <v>0</v>
      </c>
      <c r="P59" s="190">
        <v>1</v>
      </c>
      <c r="Q59" s="190">
        <v>1</v>
      </c>
      <c r="R59" s="190">
        <v>0</v>
      </c>
      <c r="S59" s="190">
        <v>39</v>
      </c>
      <c r="T59" s="190">
        <v>39</v>
      </c>
      <c r="U59" s="190">
        <v>0</v>
      </c>
      <c r="V59" s="190">
        <v>61</v>
      </c>
      <c r="W59" s="190">
        <v>61</v>
      </c>
      <c r="X59" s="190">
        <v>82</v>
      </c>
      <c r="Y59" s="190">
        <v>2197</v>
      </c>
      <c r="Z59" s="190">
        <v>2279</v>
      </c>
      <c r="AA59" s="190">
        <v>45</v>
      </c>
      <c r="AB59" s="190">
        <v>1048</v>
      </c>
      <c r="AC59" s="190">
        <v>1093</v>
      </c>
      <c r="AD59" s="190">
        <v>41</v>
      </c>
      <c r="AE59" s="190">
        <v>974</v>
      </c>
      <c r="AF59" s="190">
        <v>1015</v>
      </c>
      <c r="AG59" s="190">
        <v>4</v>
      </c>
      <c r="AH59" s="190">
        <v>63</v>
      </c>
      <c r="AI59" s="190">
        <v>67</v>
      </c>
      <c r="AJ59" s="190">
        <v>0</v>
      </c>
      <c r="AK59" s="190">
        <v>11</v>
      </c>
      <c r="AL59" s="190">
        <v>11</v>
      </c>
      <c r="AM59" s="190">
        <v>37</v>
      </c>
      <c r="AN59" s="190">
        <v>1149</v>
      </c>
      <c r="AO59" s="190">
        <v>1186</v>
      </c>
      <c r="AP59" s="190">
        <v>7540</v>
      </c>
      <c r="AQ59" s="190">
        <v>44340</v>
      </c>
      <c r="AR59" s="190">
        <v>51880</v>
      </c>
      <c r="AS59" s="190">
        <v>7365</v>
      </c>
      <c r="AT59" s="190">
        <v>43764</v>
      </c>
      <c r="AU59" s="190">
        <v>51129</v>
      </c>
      <c r="AV59" s="190">
        <v>175</v>
      </c>
      <c r="AW59" s="190">
        <v>576</v>
      </c>
      <c r="AX59" s="190">
        <v>751</v>
      </c>
      <c r="AY59" s="190">
        <v>206</v>
      </c>
      <c r="AZ59" s="190">
        <v>3537</v>
      </c>
      <c r="BA59" s="190">
        <v>3743</v>
      </c>
      <c r="BB59" s="190">
        <v>160</v>
      </c>
      <c r="BC59" s="190">
        <v>1</v>
      </c>
      <c r="BD59" s="190">
        <v>0</v>
      </c>
      <c r="BE59" s="190">
        <v>1865</v>
      </c>
      <c r="BF59" s="190">
        <v>41</v>
      </c>
      <c r="BG59" s="190">
        <v>4</v>
      </c>
      <c r="BH59" s="190">
        <v>161</v>
      </c>
      <c r="BI59" s="190">
        <v>1910</v>
      </c>
      <c r="BJ59" s="190">
        <v>2071</v>
      </c>
      <c r="BK59" s="190">
        <v>-102</v>
      </c>
      <c r="BL59" s="190">
        <v>102</v>
      </c>
      <c r="BM59" s="190">
        <v>0</v>
      </c>
      <c r="BN59" s="190">
        <v>12</v>
      </c>
      <c r="BO59" s="190">
        <v>37</v>
      </c>
      <c r="BP59" s="190">
        <v>49</v>
      </c>
      <c r="BQ59" s="190">
        <v>59</v>
      </c>
      <c r="BR59" s="190">
        <v>461</v>
      </c>
      <c r="BS59" s="190">
        <v>520</v>
      </c>
      <c r="BT59" s="190">
        <v>76</v>
      </c>
      <c r="BU59" s="190">
        <v>1027</v>
      </c>
      <c r="BV59" s="190">
        <v>1103</v>
      </c>
      <c r="BW59" s="190">
        <v>7746</v>
      </c>
      <c r="BX59" s="190">
        <v>47877</v>
      </c>
      <c r="BY59" s="190">
        <v>55623</v>
      </c>
      <c r="BZ59" s="190">
        <v>7696</v>
      </c>
      <c r="CA59" s="190">
        <v>46871</v>
      </c>
      <c r="CB59" s="190">
        <v>54567</v>
      </c>
      <c r="CC59" s="190">
        <v>122204</v>
      </c>
      <c r="CD59" s="190">
        <v>261</v>
      </c>
      <c r="CE59" s="190">
        <v>959</v>
      </c>
      <c r="CF59" s="190">
        <v>49</v>
      </c>
      <c r="CG59" s="190">
        <v>794</v>
      </c>
      <c r="CH59" s="190">
        <v>843</v>
      </c>
      <c r="CI59" s="190">
        <v>264</v>
      </c>
      <c r="CJ59" s="190">
        <v>8</v>
      </c>
      <c r="CK59" s="190">
        <v>1</v>
      </c>
      <c r="CL59" s="190">
        <v>212</v>
      </c>
      <c r="CM59" s="190">
        <v>213</v>
      </c>
      <c r="CN59" s="190">
        <v>429</v>
      </c>
      <c r="CO59" s="190">
        <v>3798</v>
      </c>
      <c r="CP59" s="190">
        <v>4227</v>
      </c>
      <c r="CQ59" s="190">
        <v>0</v>
      </c>
      <c r="CR59" s="190">
        <v>1</v>
      </c>
      <c r="CS59" s="190">
        <v>1</v>
      </c>
      <c r="CT59" s="190">
        <v>7317</v>
      </c>
      <c r="CU59" s="190">
        <v>44079</v>
      </c>
      <c r="CV59" s="190">
        <v>51396</v>
      </c>
      <c r="CW59" s="190">
        <v>513</v>
      </c>
      <c r="CX59" s="190">
        <v>2445</v>
      </c>
      <c r="CY59" s="190">
        <v>2958</v>
      </c>
      <c r="CZ59" s="190">
        <v>503</v>
      </c>
      <c r="DA59" s="190">
        <v>5</v>
      </c>
      <c r="DB59" s="190">
        <v>0</v>
      </c>
      <c r="DC59" s="190">
        <v>2318</v>
      </c>
      <c r="DD59" s="190">
        <v>33</v>
      </c>
      <c r="DE59" s="190">
        <v>0</v>
      </c>
      <c r="DF59" s="190">
        <v>508</v>
      </c>
      <c r="DG59" s="190">
        <v>2351</v>
      </c>
      <c r="DH59" s="190">
        <v>2859</v>
      </c>
      <c r="DI59" s="190">
        <v>5</v>
      </c>
      <c r="DJ59" s="190">
        <v>0</v>
      </c>
      <c r="DK59" s="190">
        <v>0</v>
      </c>
      <c r="DL59" s="190">
        <v>87</v>
      </c>
      <c r="DM59" s="190">
        <v>6</v>
      </c>
      <c r="DN59" s="190">
        <v>1</v>
      </c>
      <c r="DO59" s="190">
        <v>5</v>
      </c>
      <c r="DP59" s="190">
        <v>94</v>
      </c>
      <c r="DQ59" s="190">
        <v>99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234</v>
      </c>
      <c r="C60" s="190">
        <v>0</v>
      </c>
      <c r="D60" s="190">
        <v>219</v>
      </c>
      <c r="E60" s="190">
        <v>132</v>
      </c>
      <c r="F60" s="190">
        <v>0</v>
      </c>
      <c r="G60" s="190">
        <v>1</v>
      </c>
      <c r="H60" s="190">
        <v>1</v>
      </c>
      <c r="I60" s="190">
        <v>0</v>
      </c>
      <c r="J60" s="190">
        <v>74</v>
      </c>
      <c r="K60" s="190">
        <v>74</v>
      </c>
      <c r="L60" s="190">
        <v>0</v>
      </c>
      <c r="M60" s="190">
        <v>28</v>
      </c>
      <c r="N60" s="190">
        <v>28</v>
      </c>
      <c r="O60" s="190">
        <v>0</v>
      </c>
      <c r="P60" s="190">
        <v>46</v>
      </c>
      <c r="Q60" s="190">
        <v>46</v>
      </c>
      <c r="R60" s="190">
        <v>0</v>
      </c>
      <c r="S60" s="190">
        <v>3</v>
      </c>
      <c r="T60" s="190">
        <v>3</v>
      </c>
      <c r="U60" s="190">
        <v>0</v>
      </c>
      <c r="V60" s="190">
        <v>13</v>
      </c>
      <c r="W60" s="190">
        <v>13</v>
      </c>
      <c r="X60" s="190">
        <v>13</v>
      </c>
      <c r="Y60" s="190">
        <v>150</v>
      </c>
      <c r="Z60" s="190">
        <v>163</v>
      </c>
      <c r="AA60" s="190">
        <v>0</v>
      </c>
      <c r="AB60" s="190">
        <v>71</v>
      </c>
      <c r="AC60" s="190">
        <v>71</v>
      </c>
      <c r="AD60" s="190">
        <v>0</v>
      </c>
      <c r="AE60" s="190">
        <v>70</v>
      </c>
      <c r="AF60" s="190">
        <v>70</v>
      </c>
      <c r="AG60" s="190">
        <v>0</v>
      </c>
      <c r="AH60" s="190">
        <v>1</v>
      </c>
      <c r="AI60" s="190">
        <v>1</v>
      </c>
      <c r="AJ60" s="190">
        <v>0</v>
      </c>
      <c r="AK60" s="190">
        <v>0</v>
      </c>
      <c r="AL60" s="190">
        <v>0</v>
      </c>
      <c r="AM60" s="190">
        <v>13</v>
      </c>
      <c r="AN60" s="190">
        <v>79</v>
      </c>
      <c r="AO60" s="190">
        <v>92</v>
      </c>
      <c r="AP60" s="190">
        <v>274</v>
      </c>
      <c r="AQ60" s="190">
        <v>2640</v>
      </c>
      <c r="AR60" s="190">
        <v>2914</v>
      </c>
      <c r="AS60" s="190">
        <v>274</v>
      </c>
      <c r="AT60" s="190">
        <v>2640</v>
      </c>
      <c r="AU60" s="190">
        <v>2914</v>
      </c>
      <c r="AV60" s="190">
        <v>0</v>
      </c>
      <c r="AW60" s="190">
        <v>0</v>
      </c>
      <c r="AX60" s="190">
        <v>0</v>
      </c>
      <c r="AY60" s="190">
        <v>10</v>
      </c>
      <c r="AZ60" s="190">
        <v>253</v>
      </c>
      <c r="BA60" s="190">
        <v>263</v>
      </c>
      <c r="BB60" s="190">
        <v>1</v>
      </c>
      <c r="BC60" s="190">
        <v>0</v>
      </c>
      <c r="BD60" s="190">
        <v>0</v>
      </c>
      <c r="BE60" s="190">
        <v>131</v>
      </c>
      <c r="BF60" s="190">
        <v>0</v>
      </c>
      <c r="BG60" s="190">
        <v>0</v>
      </c>
      <c r="BH60" s="190">
        <v>1</v>
      </c>
      <c r="BI60" s="190">
        <v>131</v>
      </c>
      <c r="BJ60" s="190">
        <v>132</v>
      </c>
      <c r="BK60" s="190">
        <v>-3</v>
      </c>
      <c r="BL60" s="190">
        <v>3</v>
      </c>
      <c r="BM60" s="190">
        <v>0</v>
      </c>
      <c r="BN60" s="190">
        <v>1</v>
      </c>
      <c r="BO60" s="190">
        <v>7</v>
      </c>
      <c r="BP60" s="190">
        <v>8</v>
      </c>
      <c r="BQ60" s="190">
        <v>3</v>
      </c>
      <c r="BR60" s="190">
        <v>50</v>
      </c>
      <c r="BS60" s="190">
        <v>53</v>
      </c>
      <c r="BT60" s="190">
        <v>8</v>
      </c>
      <c r="BU60" s="190">
        <v>62</v>
      </c>
      <c r="BV60" s="190">
        <v>70</v>
      </c>
      <c r="BW60" s="190">
        <v>284</v>
      </c>
      <c r="BX60" s="190">
        <v>2893</v>
      </c>
      <c r="BY60" s="190">
        <v>3177</v>
      </c>
      <c r="BZ60" s="190">
        <v>283</v>
      </c>
      <c r="CA60" s="190">
        <v>2886</v>
      </c>
      <c r="CB60" s="190">
        <v>3169</v>
      </c>
      <c r="CC60" s="190">
        <v>5493</v>
      </c>
      <c r="CD60" s="190">
        <v>1</v>
      </c>
      <c r="CE60" s="190">
        <v>5</v>
      </c>
      <c r="CF60" s="190">
        <v>1</v>
      </c>
      <c r="CG60" s="190">
        <v>4</v>
      </c>
      <c r="CH60" s="190">
        <v>5</v>
      </c>
      <c r="CI60" s="190">
        <v>5</v>
      </c>
      <c r="CJ60" s="190">
        <v>0</v>
      </c>
      <c r="CK60" s="190">
        <v>0</v>
      </c>
      <c r="CL60" s="190">
        <v>3</v>
      </c>
      <c r="CM60" s="190">
        <v>3</v>
      </c>
      <c r="CN60" s="190">
        <v>17</v>
      </c>
      <c r="CO60" s="190">
        <v>263</v>
      </c>
      <c r="CP60" s="190">
        <v>280</v>
      </c>
      <c r="CQ60" s="190">
        <v>7</v>
      </c>
      <c r="CR60" s="190">
        <v>135</v>
      </c>
      <c r="CS60" s="190">
        <v>142</v>
      </c>
      <c r="CT60" s="190">
        <v>267</v>
      </c>
      <c r="CU60" s="190">
        <v>2630</v>
      </c>
      <c r="CV60" s="190">
        <v>2897</v>
      </c>
      <c r="CW60" s="190">
        <v>33</v>
      </c>
      <c r="CX60" s="190">
        <v>257</v>
      </c>
      <c r="CY60" s="190">
        <v>290</v>
      </c>
      <c r="CZ60" s="190">
        <v>32</v>
      </c>
      <c r="DA60" s="190">
        <v>0</v>
      </c>
      <c r="DB60" s="190">
        <v>0</v>
      </c>
      <c r="DC60" s="190">
        <v>256</v>
      </c>
      <c r="DD60" s="190">
        <v>0</v>
      </c>
      <c r="DE60" s="190">
        <v>0</v>
      </c>
      <c r="DF60" s="190">
        <v>32</v>
      </c>
      <c r="DG60" s="190">
        <v>256</v>
      </c>
      <c r="DH60" s="190">
        <v>288</v>
      </c>
      <c r="DI60" s="190">
        <v>1</v>
      </c>
      <c r="DJ60" s="190">
        <v>0</v>
      </c>
      <c r="DK60" s="190">
        <v>0</v>
      </c>
      <c r="DL60" s="190">
        <v>1</v>
      </c>
      <c r="DM60" s="190">
        <v>0</v>
      </c>
      <c r="DN60" s="190">
        <v>0</v>
      </c>
      <c r="DO60" s="190">
        <v>1</v>
      </c>
      <c r="DP60" s="190">
        <v>1</v>
      </c>
      <c r="DQ60" s="190">
        <v>2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2897</v>
      </c>
      <c r="C61" s="190">
        <v>543</v>
      </c>
      <c r="D61" s="190">
        <v>2746</v>
      </c>
      <c r="E61" s="190">
        <v>1482</v>
      </c>
      <c r="F61" s="190">
        <v>0</v>
      </c>
      <c r="G61" s="190">
        <v>16</v>
      </c>
      <c r="H61" s="190">
        <v>16</v>
      </c>
      <c r="I61" s="190">
        <v>0</v>
      </c>
      <c r="J61" s="190">
        <v>1177</v>
      </c>
      <c r="K61" s="190">
        <v>1177</v>
      </c>
      <c r="L61" s="190">
        <v>0</v>
      </c>
      <c r="M61" s="190">
        <v>697</v>
      </c>
      <c r="N61" s="190">
        <v>697</v>
      </c>
      <c r="O61" s="190">
        <v>0</v>
      </c>
      <c r="P61" s="190">
        <v>480</v>
      </c>
      <c r="Q61" s="190">
        <v>480</v>
      </c>
      <c r="R61" s="190">
        <v>0</v>
      </c>
      <c r="S61" s="190">
        <v>47</v>
      </c>
      <c r="T61" s="190">
        <v>47</v>
      </c>
      <c r="U61" s="190">
        <v>0</v>
      </c>
      <c r="V61" s="190">
        <v>87</v>
      </c>
      <c r="W61" s="190">
        <v>87</v>
      </c>
      <c r="X61" s="190">
        <v>19</v>
      </c>
      <c r="Y61" s="190">
        <v>1444</v>
      </c>
      <c r="Z61" s="190">
        <v>1463</v>
      </c>
      <c r="AA61" s="190">
        <v>10</v>
      </c>
      <c r="AB61" s="190">
        <v>708</v>
      </c>
      <c r="AC61" s="190">
        <v>718</v>
      </c>
      <c r="AD61" s="190">
        <v>9</v>
      </c>
      <c r="AE61" s="190">
        <v>696</v>
      </c>
      <c r="AF61" s="190">
        <v>705</v>
      </c>
      <c r="AG61" s="190">
        <v>1</v>
      </c>
      <c r="AH61" s="190">
        <v>6</v>
      </c>
      <c r="AI61" s="190">
        <v>7</v>
      </c>
      <c r="AJ61" s="190">
        <v>0</v>
      </c>
      <c r="AK61" s="190">
        <v>6</v>
      </c>
      <c r="AL61" s="190">
        <v>6</v>
      </c>
      <c r="AM61" s="190">
        <v>9</v>
      </c>
      <c r="AN61" s="190">
        <v>736</v>
      </c>
      <c r="AO61" s="190">
        <v>745</v>
      </c>
      <c r="AP61" s="190">
        <v>2708</v>
      </c>
      <c r="AQ61" s="190">
        <v>31772</v>
      </c>
      <c r="AR61" s="190">
        <v>34480</v>
      </c>
      <c r="AS61" s="190">
        <v>2704</v>
      </c>
      <c r="AT61" s="190">
        <v>31563</v>
      </c>
      <c r="AU61" s="190">
        <v>34267</v>
      </c>
      <c r="AV61" s="190">
        <v>4</v>
      </c>
      <c r="AW61" s="190">
        <v>209</v>
      </c>
      <c r="AX61" s="190">
        <v>213</v>
      </c>
      <c r="AY61" s="190">
        <v>137</v>
      </c>
      <c r="AZ61" s="190">
        <v>2785</v>
      </c>
      <c r="BA61" s="190">
        <v>2922</v>
      </c>
      <c r="BB61" s="190">
        <v>59</v>
      </c>
      <c r="BC61" s="190">
        <v>1</v>
      </c>
      <c r="BD61" s="190">
        <v>0</v>
      </c>
      <c r="BE61" s="190">
        <v>1390</v>
      </c>
      <c r="BF61" s="190">
        <v>20</v>
      </c>
      <c r="BG61" s="190">
        <v>12</v>
      </c>
      <c r="BH61" s="190">
        <v>60</v>
      </c>
      <c r="BI61" s="190">
        <v>1422</v>
      </c>
      <c r="BJ61" s="190">
        <v>1482</v>
      </c>
      <c r="BK61" s="190">
        <v>1</v>
      </c>
      <c r="BL61" s="190">
        <v>-1</v>
      </c>
      <c r="BM61" s="190">
        <v>0</v>
      </c>
      <c r="BN61" s="190">
        <v>0</v>
      </c>
      <c r="BO61" s="190">
        <v>4</v>
      </c>
      <c r="BP61" s="190">
        <v>4</v>
      </c>
      <c r="BQ61" s="190">
        <v>13</v>
      </c>
      <c r="BR61" s="190">
        <v>327</v>
      </c>
      <c r="BS61" s="190">
        <v>340</v>
      </c>
      <c r="BT61" s="190">
        <v>63</v>
      </c>
      <c r="BU61" s="190">
        <v>1033</v>
      </c>
      <c r="BV61" s="190">
        <v>1096</v>
      </c>
      <c r="BW61" s="190">
        <v>2845</v>
      </c>
      <c r="BX61" s="190">
        <v>34557</v>
      </c>
      <c r="BY61" s="190">
        <v>37402</v>
      </c>
      <c r="BZ61" s="190">
        <v>2826</v>
      </c>
      <c r="CA61" s="190">
        <v>34018</v>
      </c>
      <c r="CB61" s="190">
        <v>36844</v>
      </c>
      <c r="CC61" s="190">
        <v>75201</v>
      </c>
      <c r="CD61" s="190">
        <v>48</v>
      </c>
      <c r="CE61" s="190">
        <v>510</v>
      </c>
      <c r="CF61" s="190">
        <v>19</v>
      </c>
      <c r="CG61" s="190">
        <v>350</v>
      </c>
      <c r="CH61" s="190">
        <v>369</v>
      </c>
      <c r="CI61" s="190">
        <v>249</v>
      </c>
      <c r="CJ61" s="190">
        <v>0</v>
      </c>
      <c r="CK61" s="190">
        <v>0</v>
      </c>
      <c r="CL61" s="190">
        <v>189</v>
      </c>
      <c r="CM61" s="190">
        <v>189</v>
      </c>
      <c r="CN61" s="190">
        <v>165</v>
      </c>
      <c r="CO61" s="190">
        <v>3606</v>
      </c>
      <c r="CP61" s="190">
        <v>3771</v>
      </c>
      <c r="CQ61" s="190">
        <v>0</v>
      </c>
      <c r="CR61" s="190">
        <v>13</v>
      </c>
      <c r="CS61" s="190">
        <v>13</v>
      </c>
      <c r="CT61" s="190">
        <v>2680</v>
      </c>
      <c r="CU61" s="190">
        <v>30951</v>
      </c>
      <c r="CV61" s="190">
        <v>33631</v>
      </c>
      <c r="CW61" s="190">
        <v>208</v>
      </c>
      <c r="CX61" s="190">
        <v>1484</v>
      </c>
      <c r="CY61" s="190">
        <v>1692</v>
      </c>
      <c r="CZ61" s="190">
        <v>201</v>
      </c>
      <c r="DA61" s="190">
        <v>3</v>
      </c>
      <c r="DB61" s="190">
        <v>0</v>
      </c>
      <c r="DC61" s="190">
        <v>1376</v>
      </c>
      <c r="DD61" s="190">
        <v>13</v>
      </c>
      <c r="DE61" s="190">
        <v>4</v>
      </c>
      <c r="DF61" s="190">
        <v>204</v>
      </c>
      <c r="DG61" s="190">
        <v>1393</v>
      </c>
      <c r="DH61" s="190">
        <v>1597</v>
      </c>
      <c r="DI61" s="190">
        <v>4</v>
      </c>
      <c r="DJ61" s="190">
        <v>0</v>
      </c>
      <c r="DK61" s="190">
        <v>0</v>
      </c>
      <c r="DL61" s="190">
        <v>88</v>
      </c>
      <c r="DM61" s="190">
        <v>3</v>
      </c>
      <c r="DN61" s="190">
        <v>0</v>
      </c>
      <c r="DO61" s="190">
        <v>4</v>
      </c>
      <c r="DP61" s="190">
        <v>91</v>
      </c>
      <c r="DQ61" s="190">
        <v>95</v>
      </c>
      <c r="DR61" s="190">
        <v>5</v>
      </c>
      <c r="DS61" s="190">
        <v>16</v>
      </c>
      <c r="DT61" s="191">
        <v>21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696</v>
      </c>
      <c r="C62" s="190">
        <v>33</v>
      </c>
      <c r="D62" s="190">
        <v>772</v>
      </c>
      <c r="E62" s="190">
        <v>438</v>
      </c>
      <c r="F62" s="190">
        <v>5</v>
      </c>
      <c r="G62" s="190">
        <v>12</v>
      </c>
      <c r="H62" s="190">
        <v>17</v>
      </c>
      <c r="I62" s="190">
        <v>2</v>
      </c>
      <c r="J62" s="190">
        <v>292</v>
      </c>
      <c r="K62" s="190">
        <v>294</v>
      </c>
      <c r="L62" s="190">
        <v>1</v>
      </c>
      <c r="M62" s="190">
        <v>174</v>
      </c>
      <c r="N62" s="190">
        <v>175</v>
      </c>
      <c r="O62" s="190">
        <v>1</v>
      </c>
      <c r="P62" s="190">
        <v>118</v>
      </c>
      <c r="Q62" s="190">
        <v>119</v>
      </c>
      <c r="R62" s="190">
        <v>0</v>
      </c>
      <c r="S62" s="190">
        <v>10</v>
      </c>
      <c r="T62" s="190">
        <v>10</v>
      </c>
      <c r="U62" s="190">
        <v>0</v>
      </c>
      <c r="V62" s="190">
        <v>40</v>
      </c>
      <c r="W62" s="190">
        <v>40</v>
      </c>
      <c r="X62" s="190">
        <v>5</v>
      </c>
      <c r="Y62" s="190">
        <v>265</v>
      </c>
      <c r="Z62" s="190">
        <v>270</v>
      </c>
      <c r="AA62" s="190">
        <v>5</v>
      </c>
      <c r="AB62" s="190">
        <v>265</v>
      </c>
      <c r="AC62" s="190">
        <v>270</v>
      </c>
      <c r="AD62" s="190">
        <v>5</v>
      </c>
      <c r="AE62" s="190">
        <v>249</v>
      </c>
      <c r="AF62" s="190">
        <v>254</v>
      </c>
      <c r="AG62" s="190">
        <v>0</v>
      </c>
      <c r="AH62" s="190">
        <v>11</v>
      </c>
      <c r="AI62" s="190">
        <v>11</v>
      </c>
      <c r="AJ62" s="190">
        <v>0</v>
      </c>
      <c r="AK62" s="190">
        <v>5</v>
      </c>
      <c r="AL62" s="190">
        <v>5</v>
      </c>
      <c r="AM62" s="190">
        <v>0</v>
      </c>
      <c r="AN62" s="190">
        <v>0</v>
      </c>
      <c r="AO62" s="190">
        <v>0</v>
      </c>
      <c r="AP62" s="190">
        <v>906</v>
      </c>
      <c r="AQ62" s="190">
        <v>8964</v>
      </c>
      <c r="AR62" s="190">
        <v>9870</v>
      </c>
      <c r="AS62" s="190">
        <v>908</v>
      </c>
      <c r="AT62" s="190">
        <v>8885</v>
      </c>
      <c r="AU62" s="190">
        <v>9793</v>
      </c>
      <c r="AV62" s="190">
        <v>-2</v>
      </c>
      <c r="AW62" s="190">
        <v>79</v>
      </c>
      <c r="AX62" s="190">
        <v>77</v>
      </c>
      <c r="AY62" s="190">
        <v>47</v>
      </c>
      <c r="AZ62" s="190">
        <v>824</v>
      </c>
      <c r="BA62" s="190">
        <v>871</v>
      </c>
      <c r="BB62" s="190">
        <v>30</v>
      </c>
      <c r="BC62" s="190">
        <v>2</v>
      </c>
      <c r="BD62" s="190">
        <v>0</v>
      </c>
      <c r="BE62" s="190">
        <v>398</v>
      </c>
      <c r="BF62" s="190">
        <v>5</v>
      </c>
      <c r="BG62" s="190">
        <v>3</v>
      </c>
      <c r="BH62" s="190">
        <v>32</v>
      </c>
      <c r="BI62" s="190">
        <v>406</v>
      </c>
      <c r="BJ62" s="190">
        <v>438</v>
      </c>
      <c r="BK62" s="190">
        <v>-33</v>
      </c>
      <c r="BL62" s="190">
        <v>33</v>
      </c>
      <c r="BM62" s="190">
        <v>0</v>
      </c>
      <c r="BN62" s="190">
        <v>5</v>
      </c>
      <c r="BO62" s="190">
        <v>26</v>
      </c>
      <c r="BP62" s="190">
        <v>31</v>
      </c>
      <c r="BQ62" s="190">
        <v>1</v>
      </c>
      <c r="BR62" s="190">
        <v>36</v>
      </c>
      <c r="BS62" s="190">
        <v>37</v>
      </c>
      <c r="BT62" s="190">
        <v>42</v>
      </c>
      <c r="BU62" s="190">
        <v>323</v>
      </c>
      <c r="BV62" s="190">
        <v>365</v>
      </c>
      <c r="BW62" s="190">
        <v>953</v>
      </c>
      <c r="BX62" s="190">
        <v>9788</v>
      </c>
      <c r="BY62" s="190">
        <v>10741</v>
      </c>
      <c r="BZ62" s="190">
        <v>907</v>
      </c>
      <c r="CA62" s="190">
        <v>9560</v>
      </c>
      <c r="CB62" s="190">
        <v>10467</v>
      </c>
      <c r="CC62" s="190">
        <v>20439</v>
      </c>
      <c r="CD62" s="190">
        <v>15</v>
      </c>
      <c r="CE62" s="190">
        <v>293</v>
      </c>
      <c r="CF62" s="190">
        <v>45</v>
      </c>
      <c r="CG62" s="190">
        <v>163</v>
      </c>
      <c r="CH62" s="190">
        <v>208</v>
      </c>
      <c r="CI62" s="190">
        <v>85</v>
      </c>
      <c r="CJ62" s="190">
        <v>0</v>
      </c>
      <c r="CK62" s="190">
        <v>1</v>
      </c>
      <c r="CL62" s="190">
        <v>65</v>
      </c>
      <c r="CM62" s="190">
        <v>66</v>
      </c>
      <c r="CN62" s="190">
        <v>56</v>
      </c>
      <c r="CO62" s="190">
        <v>985</v>
      </c>
      <c r="CP62" s="190">
        <v>1041</v>
      </c>
      <c r="CQ62" s="190">
        <v>0</v>
      </c>
      <c r="CR62" s="190">
        <v>0</v>
      </c>
      <c r="CS62" s="190">
        <v>0</v>
      </c>
      <c r="CT62" s="190">
        <v>897</v>
      </c>
      <c r="CU62" s="190">
        <v>8803</v>
      </c>
      <c r="CV62" s="190">
        <v>9700</v>
      </c>
      <c r="CW62" s="190">
        <v>78</v>
      </c>
      <c r="CX62" s="190">
        <v>580</v>
      </c>
      <c r="CY62" s="190">
        <v>658</v>
      </c>
      <c r="CZ62" s="190">
        <v>73</v>
      </c>
      <c r="DA62" s="190">
        <v>3</v>
      </c>
      <c r="DB62" s="190">
        <v>0</v>
      </c>
      <c r="DC62" s="190">
        <v>485</v>
      </c>
      <c r="DD62" s="190">
        <v>11</v>
      </c>
      <c r="DE62" s="190">
        <v>5</v>
      </c>
      <c r="DF62" s="190">
        <v>76</v>
      </c>
      <c r="DG62" s="190">
        <v>501</v>
      </c>
      <c r="DH62" s="190">
        <v>577</v>
      </c>
      <c r="DI62" s="190">
        <v>2</v>
      </c>
      <c r="DJ62" s="190">
        <v>0</v>
      </c>
      <c r="DK62" s="190">
        <v>0</v>
      </c>
      <c r="DL62" s="190">
        <v>77</v>
      </c>
      <c r="DM62" s="190">
        <v>2</v>
      </c>
      <c r="DN62" s="190">
        <v>0</v>
      </c>
      <c r="DO62" s="190">
        <v>2</v>
      </c>
      <c r="DP62" s="190">
        <v>79</v>
      </c>
      <c r="DQ62" s="190">
        <v>81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449</v>
      </c>
      <c r="C63" s="195">
        <v>100</v>
      </c>
      <c r="D63" s="195">
        <v>418</v>
      </c>
      <c r="E63" s="195">
        <v>244</v>
      </c>
      <c r="F63" s="195">
        <v>0</v>
      </c>
      <c r="G63" s="195">
        <v>2</v>
      </c>
      <c r="H63" s="195">
        <v>2</v>
      </c>
      <c r="I63" s="195">
        <v>0</v>
      </c>
      <c r="J63" s="195">
        <v>171</v>
      </c>
      <c r="K63" s="195">
        <v>171</v>
      </c>
      <c r="L63" s="195">
        <v>0</v>
      </c>
      <c r="M63" s="195">
        <v>72</v>
      </c>
      <c r="N63" s="195">
        <v>72</v>
      </c>
      <c r="O63" s="195">
        <v>0</v>
      </c>
      <c r="P63" s="195">
        <v>99</v>
      </c>
      <c r="Q63" s="195">
        <v>99</v>
      </c>
      <c r="R63" s="195">
        <v>0</v>
      </c>
      <c r="S63" s="195">
        <v>7</v>
      </c>
      <c r="T63" s="195">
        <v>7</v>
      </c>
      <c r="U63" s="195">
        <v>0</v>
      </c>
      <c r="V63" s="195">
        <v>3</v>
      </c>
      <c r="W63" s="195">
        <v>3</v>
      </c>
      <c r="X63" s="195">
        <v>5</v>
      </c>
      <c r="Y63" s="195">
        <v>413</v>
      </c>
      <c r="Z63" s="195">
        <v>418</v>
      </c>
      <c r="AA63" s="195">
        <v>2</v>
      </c>
      <c r="AB63" s="195">
        <v>199</v>
      </c>
      <c r="AC63" s="195">
        <v>201</v>
      </c>
      <c r="AD63" s="195">
        <v>2</v>
      </c>
      <c r="AE63" s="195">
        <v>192</v>
      </c>
      <c r="AF63" s="195">
        <v>194</v>
      </c>
      <c r="AG63" s="195">
        <v>0</v>
      </c>
      <c r="AH63" s="195">
        <v>5</v>
      </c>
      <c r="AI63" s="195">
        <v>5</v>
      </c>
      <c r="AJ63" s="195">
        <v>0</v>
      </c>
      <c r="AK63" s="195">
        <v>2</v>
      </c>
      <c r="AL63" s="195">
        <v>2</v>
      </c>
      <c r="AM63" s="195">
        <v>3</v>
      </c>
      <c r="AN63" s="195">
        <v>214</v>
      </c>
      <c r="AO63" s="195">
        <v>217</v>
      </c>
      <c r="AP63" s="195">
        <v>761</v>
      </c>
      <c r="AQ63" s="195">
        <v>5045</v>
      </c>
      <c r="AR63" s="195">
        <v>5806</v>
      </c>
      <c r="AS63" s="195">
        <v>761</v>
      </c>
      <c r="AT63" s="195">
        <v>5045</v>
      </c>
      <c r="AU63" s="195">
        <v>5806</v>
      </c>
      <c r="AV63" s="195">
        <v>0</v>
      </c>
      <c r="AW63" s="195">
        <v>0</v>
      </c>
      <c r="AX63" s="195">
        <v>0</v>
      </c>
      <c r="AY63" s="195">
        <v>17</v>
      </c>
      <c r="AZ63" s="195">
        <v>413</v>
      </c>
      <c r="BA63" s="195">
        <v>430</v>
      </c>
      <c r="BB63" s="195">
        <v>6</v>
      </c>
      <c r="BC63" s="195">
        <v>0</v>
      </c>
      <c r="BD63" s="195">
        <v>0</v>
      </c>
      <c r="BE63" s="195">
        <v>237</v>
      </c>
      <c r="BF63" s="195">
        <v>1</v>
      </c>
      <c r="BG63" s="195">
        <v>0</v>
      </c>
      <c r="BH63" s="195">
        <v>6</v>
      </c>
      <c r="BI63" s="195">
        <v>238</v>
      </c>
      <c r="BJ63" s="195">
        <v>244</v>
      </c>
      <c r="BK63" s="195">
        <v>-14</v>
      </c>
      <c r="BL63" s="195">
        <v>14</v>
      </c>
      <c r="BM63" s="195">
        <v>0</v>
      </c>
      <c r="BN63" s="195">
        <v>5</v>
      </c>
      <c r="BO63" s="195">
        <v>12</v>
      </c>
      <c r="BP63" s="195">
        <v>17</v>
      </c>
      <c r="BQ63" s="195">
        <v>1</v>
      </c>
      <c r="BR63" s="195">
        <v>35</v>
      </c>
      <c r="BS63" s="195">
        <v>36</v>
      </c>
      <c r="BT63" s="195">
        <v>19</v>
      </c>
      <c r="BU63" s="195">
        <v>114</v>
      </c>
      <c r="BV63" s="195">
        <v>133</v>
      </c>
      <c r="BW63" s="195">
        <v>778</v>
      </c>
      <c r="BX63" s="195">
        <v>5458</v>
      </c>
      <c r="BY63" s="195">
        <v>6236</v>
      </c>
      <c r="BZ63" s="195">
        <v>773</v>
      </c>
      <c r="CA63" s="195">
        <v>5425</v>
      </c>
      <c r="CB63" s="195">
        <v>6198</v>
      </c>
      <c r="CC63" s="195">
        <v>13331</v>
      </c>
      <c r="CD63" s="195">
        <v>1</v>
      </c>
      <c r="CE63" s="195">
        <v>46</v>
      </c>
      <c r="CF63" s="195">
        <v>5</v>
      </c>
      <c r="CG63" s="195">
        <v>28</v>
      </c>
      <c r="CH63" s="195">
        <v>33</v>
      </c>
      <c r="CI63" s="195">
        <v>5</v>
      </c>
      <c r="CJ63" s="195">
        <v>0</v>
      </c>
      <c r="CK63" s="195">
        <v>0</v>
      </c>
      <c r="CL63" s="195">
        <v>5</v>
      </c>
      <c r="CM63" s="195">
        <v>5</v>
      </c>
      <c r="CN63" s="195">
        <v>35</v>
      </c>
      <c r="CO63" s="195">
        <v>506</v>
      </c>
      <c r="CP63" s="195">
        <v>541</v>
      </c>
      <c r="CQ63" s="195">
        <v>0</v>
      </c>
      <c r="CR63" s="195">
        <v>0</v>
      </c>
      <c r="CS63" s="195">
        <v>0</v>
      </c>
      <c r="CT63" s="195">
        <v>743</v>
      </c>
      <c r="CU63" s="195">
        <v>4952</v>
      </c>
      <c r="CV63" s="195">
        <v>5695</v>
      </c>
      <c r="CW63" s="195">
        <v>50</v>
      </c>
      <c r="CX63" s="195">
        <v>202</v>
      </c>
      <c r="CY63" s="195">
        <v>252</v>
      </c>
      <c r="CZ63" s="195">
        <v>50</v>
      </c>
      <c r="DA63" s="195">
        <v>0</v>
      </c>
      <c r="DB63" s="195">
        <v>0</v>
      </c>
      <c r="DC63" s="195">
        <v>184</v>
      </c>
      <c r="DD63" s="195">
        <v>3</v>
      </c>
      <c r="DE63" s="195">
        <v>0</v>
      </c>
      <c r="DF63" s="195">
        <v>50</v>
      </c>
      <c r="DG63" s="195">
        <v>187</v>
      </c>
      <c r="DH63" s="195">
        <v>237</v>
      </c>
      <c r="DI63" s="195">
        <v>0</v>
      </c>
      <c r="DJ63" s="195">
        <v>0</v>
      </c>
      <c r="DK63" s="195">
        <v>0</v>
      </c>
      <c r="DL63" s="195">
        <v>15</v>
      </c>
      <c r="DM63" s="195">
        <v>0</v>
      </c>
      <c r="DN63" s="195">
        <v>0</v>
      </c>
      <c r="DO63" s="195">
        <v>0</v>
      </c>
      <c r="DP63" s="195">
        <v>15</v>
      </c>
      <c r="DQ63" s="195">
        <v>15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198" t="s">
        <v>330</v>
      </c>
      <c r="B64" s="199">
        <f>SUBTOTAL(109,Jul16Data[Cell 1])</f>
        <v>136258</v>
      </c>
      <c r="C64" s="199">
        <f>SUBTOTAL(109,Jul16Data[Cell 2])</f>
        <v>29475</v>
      </c>
      <c r="D64" s="199">
        <f>SUBTOTAL(109,Jul16Data[Cell 3])</f>
        <v>122779</v>
      </c>
      <c r="E64" s="199">
        <f>SUBTOTAL(109,Jul16Data[Cell 4])</f>
        <v>80932</v>
      </c>
      <c r="F64" s="199">
        <f>SUBTOTAL(109,Jul16Data[Cell 5])</f>
        <v>303</v>
      </c>
      <c r="G64" s="199">
        <f>SUBTOTAL(109,Jul16Data[Cell 6])</f>
        <v>1808</v>
      </c>
      <c r="H64" s="199">
        <f>SUBTOTAL(109,Jul16Data[Cell 7])</f>
        <v>2111</v>
      </c>
      <c r="I64" s="199">
        <f>SUBTOTAL(109,Jul16Data[Cell 8])</f>
        <v>62</v>
      </c>
      <c r="J64" s="199">
        <f>SUBTOTAL(109,Jul16Data[Cell 9])</f>
        <v>37186</v>
      </c>
      <c r="K64" s="199">
        <f>SUBTOTAL(109,Jul16Data[Cell 10])</f>
        <v>37248</v>
      </c>
      <c r="L64" s="199">
        <f>SUBTOTAL(109,Jul16Data[Cell 11])</f>
        <v>46</v>
      </c>
      <c r="M64" s="199">
        <f>SUBTOTAL(109,Jul16Data[Cell 12])</f>
        <v>20942</v>
      </c>
      <c r="N64" s="199">
        <f>SUBTOTAL(109,Jul16Data[Cell 13])</f>
        <v>20988</v>
      </c>
      <c r="O64" s="199">
        <f>SUBTOTAL(109,Jul16Data[Cell 14])</f>
        <v>16</v>
      </c>
      <c r="P64" s="199">
        <f>SUBTOTAL(109,Jul16Data[Cell 15])</f>
        <v>16244</v>
      </c>
      <c r="Q64" s="199">
        <f>SUBTOTAL(109,Jul16Data[Cell 16])</f>
        <v>16260</v>
      </c>
      <c r="R64" s="199">
        <f>SUBTOTAL(109,Jul16Data[Cell 17])</f>
        <v>4</v>
      </c>
      <c r="S64" s="199">
        <f>SUBTOTAL(109,Jul16Data[Cell 18])</f>
        <v>1836</v>
      </c>
      <c r="T64" s="199">
        <f>SUBTOTAL(109,Jul16Data[Cell 19])</f>
        <v>1840</v>
      </c>
      <c r="U64" s="199">
        <f>SUBTOTAL(109,Jul16Data[Cell 20])</f>
        <v>0</v>
      </c>
      <c r="V64" s="199">
        <f>SUBTOTAL(109,Jul16Data[Cell 21])</f>
        <v>4599</v>
      </c>
      <c r="W64" s="199">
        <f>SUBTOTAL(109,Jul16Data[Cell 22])</f>
        <v>4599</v>
      </c>
      <c r="X64" s="199">
        <f>SUBTOTAL(109,Jul16Data[Cell 23])</f>
        <v>4834</v>
      </c>
      <c r="Y64" s="199">
        <f>SUBTOTAL(109,Jul16Data[Cell 24])</f>
        <v>103653</v>
      </c>
      <c r="Z64" s="199">
        <f>SUBTOTAL(109,Jul16Data[Cell 25])</f>
        <v>108487</v>
      </c>
      <c r="AA64" s="199">
        <f>SUBTOTAL(109,Jul16Data[Cell 26])</f>
        <v>3315</v>
      </c>
      <c r="AB64" s="199">
        <f>SUBTOTAL(109,Jul16Data[Cell 27])</f>
        <v>44175</v>
      </c>
      <c r="AC64" s="199">
        <f>SUBTOTAL(109,Jul16Data[Cell 28])</f>
        <v>47490</v>
      </c>
      <c r="AD64" s="199">
        <f>SUBTOTAL(109,Jul16Data[Cell 29])</f>
        <v>2676</v>
      </c>
      <c r="AE64" s="199">
        <f>SUBTOTAL(109,Jul16Data[Cell 30])</f>
        <v>40374</v>
      </c>
      <c r="AF64" s="199">
        <f>SUBTOTAL(109,Jul16Data[Cell 31])</f>
        <v>43050</v>
      </c>
      <c r="AG64" s="199">
        <f>SUBTOTAL(109,Jul16Data[Cell 32])</f>
        <v>235</v>
      </c>
      <c r="AH64" s="199">
        <f>SUBTOTAL(109,Jul16Data[Cell 33])</f>
        <v>1860</v>
      </c>
      <c r="AI64" s="199">
        <f>SUBTOTAL(109,Jul16Data[Cell 34])</f>
        <v>2095</v>
      </c>
      <c r="AJ64" s="199">
        <f>SUBTOTAL(109,Jul16Data[Cell 35])</f>
        <v>404</v>
      </c>
      <c r="AK64" s="199">
        <f>SUBTOTAL(109,Jul16Data[Cell 36])</f>
        <v>1941</v>
      </c>
      <c r="AL64" s="199">
        <f>SUBTOTAL(109,Jul16Data[Cell 37])</f>
        <v>2345</v>
      </c>
      <c r="AM64" s="199">
        <f>SUBTOTAL(109,Jul16Data[Cell 38])</f>
        <v>1519</v>
      </c>
      <c r="AN64" s="199">
        <f>SUBTOTAL(109,Jul16Data[Cell 39])</f>
        <v>59478</v>
      </c>
      <c r="AO64" s="199">
        <f>SUBTOTAL(109,Jul16Data[Cell 40])</f>
        <v>60997</v>
      </c>
      <c r="AP64" s="199">
        <f>SUBTOTAL(109,Jul16Data[Cell 41])</f>
        <v>245857</v>
      </c>
      <c r="AQ64" s="199">
        <f>SUBTOTAL(109,Jul16Data[Cell 42])</f>
        <v>1666227</v>
      </c>
      <c r="AR64" s="199">
        <f>SUBTOTAL(109,Jul16Data[Cell 43])</f>
        <v>1912084</v>
      </c>
      <c r="AS64" s="199">
        <f>SUBTOTAL(109,Jul16Data[Cell 44])</f>
        <v>245059</v>
      </c>
      <c r="AT64" s="199">
        <f>SUBTOTAL(109,Jul16Data[Cell 45])</f>
        <v>1648739</v>
      </c>
      <c r="AU64" s="199">
        <f>SUBTOTAL(109,Jul16Data[Cell 46])</f>
        <v>1893798</v>
      </c>
      <c r="AV64" s="199">
        <f>SUBTOTAL(109,Jul16Data[Cell 47])</f>
        <v>798</v>
      </c>
      <c r="AW64" s="199">
        <f>SUBTOTAL(109,Jul16Data[Cell 48])</f>
        <v>17488</v>
      </c>
      <c r="AX64" s="199">
        <f>SUBTOTAL(109,Jul16Data[Cell 49])</f>
        <v>18286</v>
      </c>
      <c r="AY64" s="199">
        <f>SUBTOTAL(109,Jul16Data[Cell 50])</f>
        <v>12325</v>
      </c>
      <c r="AZ64" s="199">
        <f>SUBTOTAL(109,Jul16Data[Cell 51])</f>
        <v>129629</v>
      </c>
      <c r="BA64" s="199">
        <f>SUBTOTAL(109,Jul16Data[Cell 52])</f>
        <v>141954</v>
      </c>
      <c r="BB64" s="199">
        <f>SUBTOTAL(109,Jul16Data[Cell 53])</f>
        <v>5834</v>
      </c>
      <c r="BC64" s="199">
        <f>SUBTOTAL(109,Jul16Data[Cell 54])</f>
        <v>117</v>
      </c>
      <c r="BD64" s="199">
        <f>SUBTOTAL(109,Jul16Data[Cell 55])</f>
        <v>7</v>
      </c>
      <c r="BE64" s="199">
        <f>SUBTOTAL(109,Jul16Data[Cell 56])</f>
        <v>73440</v>
      </c>
      <c r="BF64" s="199">
        <f>SUBTOTAL(109,Jul16Data[Cell 57])</f>
        <v>887</v>
      </c>
      <c r="BG64" s="199">
        <f>SUBTOTAL(109,Jul16Data[Cell 58])</f>
        <v>647</v>
      </c>
      <c r="BH64" s="199">
        <f>SUBTOTAL(109,Jul16Data[Cell 59])</f>
        <v>5958</v>
      </c>
      <c r="BI64" s="199">
        <f>SUBTOTAL(109,Jul16Data[Cell 60])</f>
        <v>74974</v>
      </c>
      <c r="BJ64" s="199">
        <f>SUBTOTAL(109,Jul16Data[Cell 61])</f>
        <v>80932</v>
      </c>
      <c r="BK64" s="199">
        <f>SUBTOTAL(109,Jul16Data[Cell 62])</f>
        <v>-2613</v>
      </c>
      <c r="BL64" s="199">
        <f>SUBTOTAL(109,Jul16Data[Cell 63])</f>
        <v>2613</v>
      </c>
      <c r="BM64" s="199">
        <f>SUBTOTAL(109,Jul16Data[Cell 64])</f>
        <v>0</v>
      </c>
      <c r="BN64" s="199">
        <f>SUBTOTAL(109,Jul16Data[Cell 65])</f>
        <v>505</v>
      </c>
      <c r="BO64" s="199">
        <f>SUBTOTAL(109,Jul16Data[Cell 66])</f>
        <v>1758</v>
      </c>
      <c r="BP64" s="199">
        <f>SUBTOTAL(109,Jul16Data[Cell 67])</f>
        <v>2263</v>
      </c>
      <c r="BQ64" s="199">
        <f>SUBTOTAL(109,Jul16Data[Cell 68])</f>
        <v>871</v>
      </c>
      <c r="BR64" s="199">
        <f>SUBTOTAL(109,Jul16Data[Cell 69])</f>
        <v>7815</v>
      </c>
      <c r="BS64" s="199">
        <f>SUBTOTAL(109,Jul16Data[Cell 70])</f>
        <v>8686</v>
      </c>
      <c r="BT64" s="199">
        <f>SUBTOTAL(109,Jul16Data[Cell 71])</f>
        <v>7604</v>
      </c>
      <c r="BU64" s="199">
        <f>SUBTOTAL(109,Jul16Data[Cell 72])</f>
        <v>42469</v>
      </c>
      <c r="BV64" s="199">
        <f>SUBTOTAL(109,Jul16Data[Cell 73])</f>
        <v>50073</v>
      </c>
      <c r="BW64" s="199">
        <f>SUBTOTAL(109,Jul16Data[Cell 74])</f>
        <v>258182</v>
      </c>
      <c r="BX64" s="199">
        <f>SUBTOTAL(109,Jul16Data[Cell 75])</f>
        <v>1795856</v>
      </c>
      <c r="BY64" s="199">
        <f>SUBTOTAL(109,Jul16Data[Cell 76])</f>
        <v>2054038</v>
      </c>
      <c r="BZ64" s="199">
        <f>SUBTOTAL(109,Jul16Data[Cell 77])</f>
        <v>253214</v>
      </c>
      <c r="CA64" s="199">
        <f>SUBTOTAL(109,Jul16Data[Cell 78])</f>
        <v>1764970</v>
      </c>
      <c r="CB64" s="199">
        <f>SUBTOTAL(109,Jul16Data[Cell 79])</f>
        <v>2018184</v>
      </c>
      <c r="CC64" s="199">
        <f>SUBTOTAL(109,Jul16Data[Cell 80])</f>
        <v>4207173</v>
      </c>
      <c r="CD64" s="199">
        <f>SUBTOTAL(109,Jul16Data[Cell 81])</f>
        <v>2773</v>
      </c>
      <c r="CE64" s="199">
        <f>SUBTOTAL(109,Jul16Data[Cell 82])</f>
        <v>30207</v>
      </c>
      <c r="CF64" s="199">
        <f>SUBTOTAL(109,Jul16Data[Cell 83])</f>
        <v>4825</v>
      </c>
      <c r="CG64" s="199">
        <f>SUBTOTAL(109,Jul16Data[Cell 84])</f>
        <v>20383</v>
      </c>
      <c r="CH64" s="199">
        <f>SUBTOTAL(109,Jul16Data[Cell 85])</f>
        <v>25208</v>
      </c>
      <c r="CI64" s="199">
        <f>SUBTOTAL(109,Jul16Data[Cell 86])</f>
        <v>13074</v>
      </c>
      <c r="CJ64" s="199">
        <f>SUBTOTAL(109,Jul16Data[Cell 87])</f>
        <v>1044</v>
      </c>
      <c r="CK64" s="199">
        <f>SUBTOTAL(109,Jul16Data[Cell 88])</f>
        <v>143</v>
      </c>
      <c r="CL64" s="199">
        <f>SUBTOTAL(109,Jul16Data[Cell 89])</f>
        <v>10503</v>
      </c>
      <c r="CM64" s="199">
        <f>SUBTOTAL(109,Jul16Data[Cell 90])</f>
        <v>10646</v>
      </c>
      <c r="CN64" s="199">
        <f>SUBTOTAL(109,Jul16Data[Cell 91])</f>
        <v>12671</v>
      </c>
      <c r="CO64" s="199">
        <f>SUBTOTAL(109,Jul16Data[Cell 92])</f>
        <v>136831</v>
      </c>
      <c r="CP64" s="199">
        <f>SUBTOTAL(109,Jul16Data[Cell 93])</f>
        <v>149502</v>
      </c>
      <c r="CQ64" s="199">
        <f>SUBTOTAL(109,Jul16Data[Cell 94])</f>
        <v>66</v>
      </c>
      <c r="CR64" s="199">
        <f>SUBTOTAL(109,Jul16Data[Cell 95])</f>
        <v>483</v>
      </c>
      <c r="CS64" s="199">
        <f>SUBTOTAL(109,Jul16Data[Cell 96])</f>
        <v>549</v>
      </c>
      <c r="CT64" s="199">
        <f>SUBTOTAL(109,Jul16Data[Cell 97])</f>
        <v>245511</v>
      </c>
      <c r="CU64" s="199">
        <f>SUBTOTAL(109,Jul16Data[Cell 98])</f>
        <v>1659025</v>
      </c>
      <c r="CV64" s="199">
        <f>SUBTOTAL(109,Jul16Data[Cell 99])</f>
        <v>1904536</v>
      </c>
      <c r="CW64" s="199">
        <f>SUBTOTAL(109,Jul16Data[Cell 100])</f>
        <v>15801</v>
      </c>
      <c r="CX64" s="199">
        <f>SUBTOTAL(109,Jul16Data[Cell 101])</f>
        <v>75752</v>
      </c>
      <c r="CY64" s="199">
        <f>SUBTOTAL(109,Jul16Data[Cell 102])</f>
        <v>91553</v>
      </c>
      <c r="CZ64" s="199">
        <f>SUBTOTAL(109,Jul16Data[Cell 103])</f>
        <v>15209</v>
      </c>
      <c r="DA64" s="199">
        <f>SUBTOTAL(109,Jul16Data[Cell 104])</f>
        <v>299</v>
      </c>
      <c r="DB64" s="199">
        <f>SUBTOTAL(109,Jul16Data[Cell 105])</f>
        <v>6</v>
      </c>
      <c r="DC64" s="199">
        <f>SUBTOTAL(109,Jul16Data[Cell 106])</f>
        <v>70112</v>
      </c>
      <c r="DD64" s="199">
        <f>SUBTOTAL(109,Jul16Data[Cell 107])</f>
        <v>1009</v>
      </c>
      <c r="DE64" s="199">
        <f>SUBTOTAL(109,Jul16Data[Cell 108])</f>
        <v>256</v>
      </c>
      <c r="DF64" s="199">
        <f>SUBTOTAL(109,Jul16Data[Cell 109])</f>
        <v>15514</v>
      </c>
      <c r="DG64" s="199">
        <f>SUBTOTAL(109,Jul16Data[Cell 110])</f>
        <v>71377</v>
      </c>
      <c r="DH64" s="199">
        <f>SUBTOTAL(109,Jul16Data[Cell 111])</f>
        <v>86891</v>
      </c>
      <c r="DI64" s="199">
        <f>SUBTOTAL(109,Jul16Data[Cell 112])</f>
        <v>284</v>
      </c>
      <c r="DJ64" s="199">
        <f>SUBTOTAL(109,Jul16Data[Cell 113])</f>
        <v>3</v>
      </c>
      <c r="DK64" s="199">
        <f>SUBTOTAL(109,Jul16Data[Cell 114])</f>
        <v>0</v>
      </c>
      <c r="DL64" s="199">
        <f>SUBTOTAL(109,Jul16Data[Cell 115])</f>
        <v>4248</v>
      </c>
      <c r="DM64" s="199">
        <f>SUBTOTAL(109,Jul16Data[Cell 116])</f>
        <v>101</v>
      </c>
      <c r="DN64" s="199">
        <f>SUBTOTAL(109,Jul16Data[Cell 117])</f>
        <v>26</v>
      </c>
      <c r="DO64" s="199">
        <f>SUBTOTAL(109,Jul16Data[Cell 118])</f>
        <v>287</v>
      </c>
      <c r="DP64" s="199">
        <f>SUBTOTAL(109,Jul16Data[Cell 119])</f>
        <v>4375</v>
      </c>
      <c r="DQ64" s="199">
        <f>SUBTOTAL(109,Jul16Data[Cell 120])</f>
        <v>4662</v>
      </c>
      <c r="DR64" s="199">
        <f>SUBTOTAL(109,Jul16Data[Cell 121])</f>
        <v>11</v>
      </c>
      <c r="DS64" s="199">
        <f>SUBTOTAL(109,Jul16Data[Cell 122])</f>
        <v>63</v>
      </c>
      <c r="DT64" s="199">
        <f>SUBTOTAL(109,Jul16Data[Cell 123])</f>
        <v>74</v>
      </c>
      <c r="DU64" s="172"/>
      <c r="DV64" s="200">
        <v>26399058</v>
      </c>
      <c r="DX64" s="192"/>
      <c r="DY64" s="192"/>
    </row>
  </sheetData>
  <conditionalFormatting sqref="B6:DT63">
    <cfRule type="containsBlanks" dxfId="1534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333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157584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39736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147591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97153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323</v>
      </c>
      <c r="T13" s="63">
        <v>6</v>
      </c>
      <c r="U13" s="64">
        <v>2283</v>
      </c>
      <c r="V13" s="84">
        <v>7</v>
      </c>
      <c r="W13" s="85">
        <v>2606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53</v>
      </c>
      <c r="T14" s="88">
        <v>9</v>
      </c>
      <c r="U14" s="89">
        <v>44196</v>
      </c>
      <c r="V14" s="88">
        <v>10</v>
      </c>
      <c r="W14" s="90">
        <v>44249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35</v>
      </c>
      <c r="T15" s="71">
        <v>12</v>
      </c>
      <c r="U15" s="64">
        <v>24993</v>
      </c>
      <c r="V15" s="88">
        <v>13</v>
      </c>
      <c r="W15" s="90">
        <v>25028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18</v>
      </c>
      <c r="T16" s="71">
        <v>15</v>
      </c>
      <c r="U16" s="64">
        <v>19203</v>
      </c>
      <c r="V16" s="88">
        <v>16</v>
      </c>
      <c r="W16" s="90">
        <v>19221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8</v>
      </c>
      <c r="T17" s="71">
        <v>18</v>
      </c>
      <c r="U17" s="64">
        <v>2268</v>
      </c>
      <c r="V17" s="88">
        <v>19</v>
      </c>
      <c r="W17" s="90">
        <v>2276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0</v>
      </c>
      <c r="T18" s="82">
        <v>21</v>
      </c>
      <c r="U18" s="64">
        <v>6189</v>
      </c>
      <c r="V18" s="88">
        <v>22</v>
      </c>
      <c r="W18" s="90">
        <v>6189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5170</v>
      </c>
      <c r="T20" s="98">
        <v>24</v>
      </c>
      <c r="U20" s="89">
        <v>126893</v>
      </c>
      <c r="V20" s="84">
        <v>25</v>
      </c>
      <c r="W20" s="89">
        <v>132063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3313</v>
      </c>
      <c r="T21" s="76">
        <v>27</v>
      </c>
      <c r="U21" s="77">
        <v>53250</v>
      </c>
      <c r="V21" s="88">
        <v>28</v>
      </c>
      <c r="W21" s="77">
        <v>56563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2671</v>
      </c>
      <c r="T22" s="71">
        <v>30</v>
      </c>
      <c r="U22" s="64">
        <v>48744</v>
      </c>
      <c r="V22" s="88">
        <v>31</v>
      </c>
      <c r="W22" s="90">
        <v>51415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193</v>
      </c>
      <c r="T23" s="71">
        <v>33</v>
      </c>
      <c r="U23" s="64">
        <v>2027</v>
      </c>
      <c r="V23" s="88">
        <v>34</v>
      </c>
      <c r="W23" s="90">
        <v>2220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449</v>
      </c>
      <c r="T24" s="71">
        <v>36</v>
      </c>
      <c r="U24" s="64">
        <v>2479</v>
      </c>
      <c r="V24" s="88">
        <v>37</v>
      </c>
      <c r="W24" s="90">
        <v>2928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1857</v>
      </c>
      <c r="T25" s="82">
        <v>39</v>
      </c>
      <c r="U25" s="64">
        <v>73643</v>
      </c>
      <c r="V25" s="88">
        <v>40</v>
      </c>
      <c r="W25" s="90">
        <v>75500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244387</v>
      </c>
      <c r="T27" s="63">
        <v>42</v>
      </c>
      <c r="U27" s="64">
        <v>1668063</v>
      </c>
      <c r="V27" s="84">
        <v>43</v>
      </c>
      <c r="W27" s="85">
        <v>1912450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245511</v>
      </c>
      <c r="T28" s="71">
        <v>45</v>
      </c>
      <c r="U28" s="64">
        <v>1659025</v>
      </c>
      <c r="V28" s="88">
        <v>46</v>
      </c>
      <c r="W28" s="90">
        <v>1904536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-1124</v>
      </c>
      <c r="T29" s="76">
        <v>48</v>
      </c>
      <c r="U29" s="108">
        <v>9038</v>
      </c>
      <c r="V29" s="88">
        <v>49</v>
      </c>
      <c r="W29" s="109">
        <v>7914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12840</v>
      </c>
      <c r="T30" s="88">
        <v>51</v>
      </c>
      <c r="U30" s="110">
        <v>143433</v>
      </c>
      <c r="V30" s="88">
        <v>52</v>
      </c>
      <c r="W30" s="90">
        <v>156273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6534</v>
      </c>
      <c r="H33" s="122">
        <v>54</v>
      </c>
      <c r="I33" s="64">
        <v>121</v>
      </c>
      <c r="J33" s="122">
        <v>55</v>
      </c>
      <c r="K33" s="64">
        <v>7</v>
      </c>
      <c r="L33" s="122">
        <v>56</v>
      </c>
      <c r="M33" s="64">
        <v>88697</v>
      </c>
      <c r="N33" s="122">
        <v>57</v>
      </c>
      <c r="O33" s="64">
        <v>1047</v>
      </c>
      <c r="P33" s="122">
        <v>58</v>
      </c>
      <c r="Q33" s="64">
        <v>747</v>
      </c>
      <c r="R33" s="76">
        <v>59</v>
      </c>
      <c r="S33" s="123">
        <v>6662</v>
      </c>
      <c r="T33" s="124">
        <v>60</v>
      </c>
      <c r="U33" s="123">
        <v>90491</v>
      </c>
      <c r="V33" s="88">
        <v>61</v>
      </c>
      <c r="W33" s="90">
        <v>97153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-1370</v>
      </c>
      <c r="T34" s="126">
        <v>63</v>
      </c>
      <c r="U34" s="64">
        <v>1370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530</v>
      </c>
      <c r="T35" s="126">
        <v>66</v>
      </c>
      <c r="U35" s="64">
        <v>1924</v>
      </c>
      <c r="V35" s="88">
        <v>67</v>
      </c>
      <c r="W35" s="90">
        <v>2454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927</v>
      </c>
      <c r="T36" s="126">
        <v>69</v>
      </c>
      <c r="U36" s="64">
        <v>9055</v>
      </c>
      <c r="V36" s="88">
        <v>70</v>
      </c>
      <c r="W36" s="90">
        <v>9982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6091</v>
      </c>
      <c r="T37" s="126">
        <v>72</v>
      </c>
      <c r="U37" s="64">
        <v>40593</v>
      </c>
      <c r="V37" s="88">
        <v>73</v>
      </c>
      <c r="W37" s="90">
        <v>46684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257227</v>
      </c>
      <c r="T39" s="124">
        <v>75</v>
      </c>
      <c r="U39" s="123">
        <v>1811496</v>
      </c>
      <c r="V39" s="88">
        <v>76</v>
      </c>
      <c r="W39" s="90">
        <v>2068723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252394</v>
      </c>
      <c r="T40" s="132">
        <v>78</v>
      </c>
      <c r="U40" s="64">
        <v>1780575</v>
      </c>
      <c r="V40" s="88">
        <v>79</v>
      </c>
      <c r="W40" s="90">
        <v>2032969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4239982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3005</v>
      </c>
      <c r="P43" s="134">
        <v>82</v>
      </c>
      <c r="Q43" s="64">
        <v>30116</v>
      </c>
      <c r="R43" s="71">
        <v>83</v>
      </c>
      <c r="S43" s="64">
        <v>4709</v>
      </c>
      <c r="T43" s="71">
        <v>84</v>
      </c>
      <c r="U43" s="64">
        <v>20409</v>
      </c>
      <c r="V43" s="76">
        <v>85</v>
      </c>
      <c r="W43" s="135">
        <v>25118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12941</v>
      </c>
      <c r="P44" s="136">
        <v>87</v>
      </c>
      <c r="Q44" s="64">
        <v>1164</v>
      </c>
      <c r="R44" s="71">
        <v>88</v>
      </c>
      <c r="S44" s="64">
        <v>124</v>
      </c>
      <c r="T44" s="71">
        <v>89</v>
      </c>
      <c r="U44" s="64">
        <v>10512</v>
      </c>
      <c r="V44" s="76">
        <v>90</v>
      </c>
      <c r="W44" s="135">
        <v>10636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15403</v>
      </c>
      <c r="T45" s="71">
        <v>92</v>
      </c>
      <c r="U45" s="64">
        <v>169165</v>
      </c>
      <c r="V45" s="76">
        <v>93</v>
      </c>
      <c r="W45" s="135">
        <v>184568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96</v>
      </c>
      <c r="T46" s="71">
        <v>95</v>
      </c>
      <c r="U46" s="64">
        <v>653</v>
      </c>
      <c r="V46" s="76">
        <v>96</v>
      </c>
      <c r="W46" s="135">
        <v>749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241824</v>
      </c>
      <c r="T47" s="141">
        <v>98</v>
      </c>
      <c r="U47" s="143">
        <v>1642331</v>
      </c>
      <c r="V47" s="88">
        <v>99</v>
      </c>
      <c r="W47" s="90">
        <v>1884155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17580</v>
      </c>
      <c r="T49" s="144">
        <v>101</v>
      </c>
      <c r="U49" s="145">
        <v>84826</v>
      </c>
      <c r="V49" s="98">
        <v>102</v>
      </c>
      <c r="W49" s="146">
        <v>102406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16841</v>
      </c>
      <c r="H52" s="122">
        <v>104</v>
      </c>
      <c r="I52" s="64">
        <v>358</v>
      </c>
      <c r="J52" s="122">
        <v>105</v>
      </c>
      <c r="K52" s="64">
        <v>7</v>
      </c>
      <c r="L52" s="122">
        <v>106</v>
      </c>
      <c r="M52" s="64">
        <v>78303</v>
      </c>
      <c r="N52" s="122">
        <v>107</v>
      </c>
      <c r="O52" s="64">
        <v>1126</v>
      </c>
      <c r="P52" s="122">
        <v>108</v>
      </c>
      <c r="Q52" s="64">
        <v>320</v>
      </c>
      <c r="R52" s="155">
        <v>109</v>
      </c>
      <c r="S52" s="156">
        <v>17206</v>
      </c>
      <c r="T52" s="155">
        <v>110</v>
      </c>
      <c r="U52" s="156">
        <v>79749</v>
      </c>
      <c r="V52" s="76">
        <v>111</v>
      </c>
      <c r="W52" s="135">
        <v>96955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368</v>
      </c>
      <c r="H53" s="122">
        <v>113</v>
      </c>
      <c r="I53" s="64">
        <v>6</v>
      </c>
      <c r="J53" s="122">
        <v>114</v>
      </c>
      <c r="K53" s="64">
        <v>0</v>
      </c>
      <c r="L53" s="122">
        <v>115</v>
      </c>
      <c r="M53" s="64">
        <v>4938</v>
      </c>
      <c r="N53" s="122">
        <v>116</v>
      </c>
      <c r="O53" s="64">
        <v>112</v>
      </c>
      <c r="P53" s="122">
        <v>117</v>
      </c>
      <c r="Q53" s="64">
        <v>27</v>
      </c>
      <c r="R53" s="155">
        <v>118</v>
      </c>
      <c r="S53" s="156">
        <v>374</v>
      </c>
      <c r="T53" s="155">
        <v>119</v>
      </c>
      <c r="U53" s="156">
        <v>5077</v>
      </c>
      <c r="V53" s="76">
        <v>120</v>
      </c>
      <c r="W53" s="135">
        <v>5451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17</v>
      </c>
      <c r="T54" s="162">
        <v>122</v>
      </c>
      <c r="U54" s="64">
        <v>73</v>
      </c>
      <c r="V54" s="76">
        <v>123</v>
      </c>
      <c r="W54" s="135">
        <v>90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360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26867879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333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1"/>
    </row>
    <row r="7" spans="1:129">
      <c r="A7" s="189" t="s">
        <v>272</v>
      </c>
      <c r="B7" s="190">
        <v>3</v>
      </c>
      <c r="C7" s="190">
        <v>0</v>
      </c>
      <c r="D7" s="190">
        <v>1</v>
      </c>
      <c r="E7" s="190">
        <v>1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1</v>
      </c>
      <c r="Z7" s="190">
        <v>1</v>
      </c>
      <c r="AA7" s="190">
        <v>0</v>
      </c>
      <c r="AB7" s="190">
        <v>0</v>
      </c>
      <c r="AC7" s="190">
        <v>0</v>
      </c>
      <c r="AD7" s="190">
        <v>0</v>
      </c>
      <c r="AE7" s="190">
        <v>0</v>
      </c>
      <c r="AF7" s="190">
        <v>0</v>
      </c>
      <c r="AG7" s="190">
        <v>0</v>
      </c>
      <c r="AH7" s="190">
        <v>0</v>
      </c>
      <c r="AI7" s="190">
        <v>0</v>
      </c>
      <c r="AJ7" s="190">
        <v>0</v>
      </c>
      <c r="AK7" s="190">
        <v>0</v>
      </c>
      <c r="AL7" s="190">
        <v>0</v>
      </c>
      <c r="AM7" s="190">
        <v>0</v>
      </c>
      <c r="AN7" s="190">
        <v>1</v>
      </c>
      <c r="AO7" s="190">
        <v>1</v>
      </c>
      <c r="AP7" s="190">
        <v>0</v>
      </c>
      <c r="AQ7" s="190">
        <v>91</v>
      </c>
      <c r="AR7" s="190">
        <v>91</v>
      </c>
      <c r="AS7" s="190">
        <v>0</v>
      </c>
      <c r="AT7" s="190">
        <v>91</v>
      </c>
      <c r="AU7" s="190">
        <v>91</v>
      </c>
      <c r="AV7" s="190">
        <v>0</v>
      </c>
      <c r="AW7" s="190">
        <v>0</v>
      </c>
      <c r="AX7" s="190">
        <v>0</v>
      </c>
      <c r="AY7" s="190">
        <v>1</v>
      </c>
      <c r="AZ7" s="190">
        <v>0</v>
      </c>
      <c r="BA7" s="190">
        <v>1</v>
      </c>
      <c r="BB7" s="190">
        <v>0</v>
      </c>
      <c r="BC7" s="190">
        <v>0</v>
      </c>
      <c r="BD7" s="190">
        <v>0</v>
      </c>
      <c r="BE7" s="190">
        <v>1</v>
      </c>
      <c r="BF7" s="190">
        <v>0</v>
      </c>
      <c r="BG7" s="190">
        <v>0</v>
      </c>
      <c r="BH7" s="190">
        <v>0</v>
      </c>
      <c r="BI7" s="190">
        <v>1</v>
      </c>
      <c r="BJ7" s="190">
        <v>1</v>
      </c>
      <c r="BK7" s="190">
        <v>1</v>
      </c>
      <c r="BL7" s="190">
        <v>-1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0</v>
      </c>
      <c r="BS7" s="190">
        <v>0</v>
      </c>
      <c r="BT7" s="190">
        <v>0</v>
      </c>
      <c r="BU7" s="190">
        <v>0</v>
      </c>
      <c r="BV7" s="190">
        <v>0</v>
      </c>
      <c r="BW7" s="190">
        <v>1</v>
      </c>
      <c r="BX7" s="190">
        <v>91</v>
      </c>
      <c r="BY7" s="190">
        <v>92</v>
      </c>
      <c r="BZ7" s="190">
        <v>1</v>
      </c>
      <c r="CA7" s="190">
        <v>91</v>
      </c>
      <c r="CB7" s="190">
        <v>92</v>
      </c>
      <c r="CC7" s="190">
        <v>148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4</v>
      </c>
      <c r="CP7" s="190">
        <v>4</v>
      </c>
      <c r="CQ7" s="190">
        <v>0</v>
      </c>
      <c r="CR7" s="190">
        <v>0</v>
      </c>
      <c r="CS7" s="190">
        <v>0</v>
      </c>
      <c r="CT7" s="190">
        <v>1</v>
      </c>
      <c r="CU7" s="190">
        <v>87</v>
      </c>
      <c r="CV7" s="190">
        <v>88</v>
      </c>
      <c r="CW7" s="190">
        <v>0</v>
      </c>
      <c r="CX7" s="190">
        <v>2</v>
      </c>
      <c r="CY7" s="190">
        <v>2</v>
      </c>
      <c r="CZ7" s="190">
        <v>0</v>
      </c>
      <c r="DA7" s="190">
        <v>0</v>
      </c>
      <c r="DB7" s="190">
        <v>0</v>
      </c>
      <c r="DC7" s="190">
        <v>2</v>
      </c>
      <c r="DD7" s="190">
        <v>0</v>
      </c>
      <c r="DE7" s="190">
        <v>0</v>
      </c>
      <c r="DF7" s="190">
        <v>0</v>
      </c>
      <c r="DG7" s="190">
        <v>2</v>
      </c>
      <c r="DH7" s="190">
        <v>2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30</v>
      </c>
      <c r="C8" s="190">
        <v>0</v>
      </c>
      <c r="D8" s="190">
        <v>122</v>
      </c>
      <c r="E8" s="190">
        <v>73</v>
      </c>
      <c r="F8" s="190">
        <v>0</v>
      </c>
      <c r="G8" s="190">
        <v>1</v>
      </c>
      <c r="H8" s="190">
        <v>1</v>
      </c>
      <c r="I8" s="190">
        <v>1</v>
      </c>
      <c r="J8" s="190">
        <v>39</v>
      </c>
      <c r="K8" s="190">
        <v>40</v>
      </c>
      <c r="L8" s="190">
        <v>1</v>
      </c>
      <c r="M8" s="190">
        <v>39</v>
      </c>
      <c r="N8" s="190">
        <v>40</v>
      </c>
      <c r="O8" s="190">
        <v>0</v>
      </c>
      <c r="P8" s="190">
        <v>0</v>
      </c>
      <c r="Q8" s="190">
        <v>0</v>
      </c>
      <c r="R8" s="190">
        <v>0</v>
      </c>
      <c r="S8" s="190">
        <v>0</v>
      </c>
      <c r="T8" s="190">
        <v>0</v>
      </c>
      <c r="U8" s="190">
        <v>0</v>
      </c>
      <c r="V8" s="190">
        <v>9</v>
      </c>
      <c r="W8" s="190">
        <v>9</v>
      </c>
      <c r="X8" s="190">
        <v>0</v>
      </c>
      <c r="Y8" s="190">
        <v>0</v>
      </c>
      <c r="Z8" s="190">
        <v>0</v>
      </c>
      <c r="AA8" s="190">
        <v>0</v>
      </c>
      <c r="AB8" s="190">
        <v>0</v>
      </c>
      <c r="AC8" s="190">
        <v>0</v>
      </c>
      <c r="AD8" s="190">
        <v>0</v>
      </c>
      <c r="AE8" s="190">
        <v>0</v>
      </c>
      <c r="AF8" s="190">
        <v>0</v>
      </c>
      <c r="AG8" s="190">
        <v>0</v>
      </c>
      <c r="AH8" s="190">
        <v>0</v>
      </c>
      <c r="AI8" s="190">
        <v>0</v>
      </c>
      <c r="AJ8" s="190">
        <v>0</v>
      </c>
      <c r="AK8" s="190">
        <v>0</v>
      </c>
      <c r="AL8" s="190">
        <v>0</v>
      </c>
      <c r="AM8" s="190">
        <v>0</v>
      </c>
      <c r="AN8" s="190">
        <v>0</v>
      </c>
      <c r="AO8" s="190">
        <v>0</v>
      </c>
      <c r="AP8" s="190">
        <v>132</v>
      </c>
      <c r="AQ8" s="190">
        <v>1515</v>
      </c>
      <c r="AR8" s="190">
        <v>1647</v>
      </c>
      <c r="AS8" s="190">
        <v>132</v>
      </c>
      <c r="AT8" s="190">
        <v>1515</v>
      </c>
      <c r="AU8" s="190">
        <v>1647</v>
      </c>
      <c r="AV8" s="190">
        <v>0</v>
      </c>
      <c r="AW8" s="190">
        <v>0</v>
      </c>
      <c r="AX8" s="190">
        <v>0</v>
      </c>
      <c r="AY8" s="190">
        <v>17</v>
      </c>
      <c r="AZ8" s="190">
        <v>115</v>
      </c>
      <c r="BA8" s="190">
        <v>132</v>
      </c>
      <c r="BB8" s="190">
        <v>3</v>
      </c>
      <c r="BC8" s="190">
        <v>0</v>
      </c>
      <c r="BD8" s="190">
        <v>0</v>
      </c>
      <c r="BE8" s="190">
        <v>70</v>
      </c>
      <c r="BF8" s="190">
        <v>0</v>
      </c>
      <c r="BG8" s="190">
        <v>0</v>
      </c>
      <c r="BH8" s="190">
        <v>3</v>
      </c>
      <c r="BI8" s="190">
        <v>70</v>
      </c>
      <c r="BJ8" s="190">
        <v>73</v>
      </c>
      <c r="BK8" s="190">
        <v>4</v>
      </c>
      <c r="BL8" s="190">
        <v>-4</v>
      </c>
      <c r="BM8" s="190">
        <v>0</v>
      </c>
      <c r="BN8" s="190">
        <v>1</v>
      </c>
      <c r="BO8" s="190">
        <v>5</v>
      </c>
      <c r="BP8" s="190">
        <v>6</v>
      </c>
      <c r="BQ8" s="190">
        <v>1</v>
      </c>
      <c r="BR8" s="190">
        <v>16</v>
      </c>
      <c r="BS8" s="190">
        <v>17</v>
      </c>
      <c r="BT8" s="190">
        <v>8</v>
      </c>
      <c r="BU8" s="190">
        <v>28</v>
      </c>
      <c r="BV8" s="190">
        <v>36</v>
      </c>
      <c r="BW8" s="190">
        <v>149</v>
      </c>
      <c r="BX8" s="190">
        <v>1630</v>
      </c>
      <c r="BY8" s="190">
        <v>1779</v>
      </c>
      <c r="BZ8" s="190">
        <v>149</v>
      </c>
      <c r="CA8" s="190">
        <v>1629</v>
      </c>
      <c r="CB8" s="190">
        <v>1778</v>
      </c>
      <c r="CC8" s="190">
        <v>3330</v>
      </c>
      <c r="CD8" s="190">
        <v>0</v>
      </c>
      <c r="CE8" s="190">
        <v>1</v>
      </c>
      <c r="CF8" s="190">
        <v>0</v>
      </c>
      <c r="CG8" s="190">
        <v>1</v>
      </c>
      <c r="CH8" s="190">
        <v>1</v>
      </c>
      <c r="CI8" s="190">
        <v>0</v>
      </c>
      <c r="CJ8" s="190">
        <v>0</v>
      </c>
      <c r="CK8" s="190">
        <v>0</v>
      </c>
      <c r="CL8" s="190">
        <v>0</v>
      </c>
      <c r="CM8" s="190">
        <v>0</v>
      </c>
      <c r="CN8" s="190">
        <v>5</v>
      </c>
      <c r="CO8" s="190">
        <v>135</v>
      </c>
      <c r="CP8" s="190">
        <v>140</v>
      </c>
      <c r="CQ8" s="190">
        <v>0</v>
      </c>
      <c r="CR8" s="190">
        <v>0</v>
      </c>
      <c r="CS8" s="190">
        <v>0</v>
      </c>
      <c r="CT8" s="190">
        <v>144</v>
      </c>
      <c r="CU8" s="190">
        <v>1495</v>
      </c>
      <c r="CV8" s="190">
        <v>1639</v>
      </c>
      <c r="CW8" s="190">
        <v>27</v>
      </c>
      <c r="CX8" s="190">
        <v>139</v>
      </c>
      <c r="CY8" s="190">
        <v>166</v>
      </c>
      <c r="CZ8" s="190">
        <v>27</v>
      </c>
      <c r="DA8" s="190">
        <v>0</v>
      </c>
      <c r="DB8" s="190">
        <v>0</v>
      </c>
      <c r="DC8" s="190">
        <v>138</v>
      </c>
      <c r="DD8" s="190">
        <v>0</v>
      </c>
      <c r="DE8" s="190">
        <v>0</v>
      </c>
      <c r="DF8" s="190">
        <v>27</v>
      </c>
      <c r="DG8" s="190">
        <v>138</v>
      </c>
      <c r="DH8" s="190">
        <v>165</v>
      </c>
      <c r="DI8" s="190">
        <v>0</v>
      </c>
      <c r="DJ8" s="190">
        <v>0</v>
      </c>
      <c r="DK8" s="190">
        <v>0</v>
      </c>
      <c r="DL8" s="190">
        <v>1</v>
      </c>
      <c r="DM8" s="190">
        <v>0</v>
      </c>
      <c r="DN8" s="190">
        <v>0</v>
      </c>
      <c r="DO8" s="190">
        <v>0</v>
      </c>
      <c r="DP8" s="190">
        <v>1</v>
      </c>
      <c r="DQ8" s="190">
        <v>1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1964</v>
      </c>
      <c r="C9" s="190">
        <v>847</v>
      </c>
      <c r="D9" s="190">
        <v>1498</v>
      </c>
      <c r="E9" s="190">
        <v>862</v>
      </c>
      <c r="F9" s="190">
        <v>5</v>
      </c>
      <c r="G9" s="190">
        <v>79</v>
      </c>
      <c r="H9" s="190">
        <v>84</v>
      </c>
      <c r="I9" s="190">
        <v>0</v>
      </c>
      <c r="J9" s="190">
        <v>566</v>
      </c>
      <c r="K9" s="190">
        <v>566</v>
      </c>
      <c r="L9" s="190">
        <v>0</v>
      </c>
      <c r="M9" s="190">
        <v>240</v>
      </c>
      <c r="N9" s="190">
        <v>240</v>
      </c>
      <c r="O9" s="190">
        <v>0</v>
      </c>
      <c r="P9" s="190">
        <v>326</v>
      </c>
      <c r="Q9" s="190">
        <v>326</v>
      </c>
      <c r="R9" s="190">
        <v>0</v>
      </c>
      <c r="S9" s="190">
        <v>60</v>
      </c>
      <c r="T9" s="190">
        <v>60</v>
      </c>
      <c r="U9" s="190">
        <v>0</v>
      </c>
      <c r="V9" s="190">
        <v>70</v>
      </c>
      <c r="W9" s="190">
        <v>70</v>
      </c>
      <c r="X9" s="190">
        <v>36</v>
      </c>
      <c r="Y9" s="190">
        <v>1462</v>
      </c>
      <c r="Z9" s="190">
        <v>1498</v>
      </c>
      <c r="AA9" s="190">
        <v>17</v>
      </c>
      <c r="AB9" s="190">
        <v>607</v>
      </c>
      <c r="AC9" s="190">
        <v>624</v>
      </c>
      <c r="AD9" s="190">
        <v>17</v>
      </c>
      <c r="AE9" s="190">
        <v>568</v>
      </c>
      <c r="AF9" s="190">
        <v>585</v>
      </c>
      <c r="AG9" s="190">
        <v>0</v>
      </c>
      <c r="AH9" s="190">
        <v>31</v>
      </c>
      <c r="AI9" s="190">
        <v>31</v>
      </c>
      <c r="AJ9" s="190">
        <v>0</v>
      </c>
      <c r="AK9" s="190">
        <v>8</v>
      </c>
      <c r="AL9" s="190">
        <v>8</v>
      </c>
      <c r="AM9" s="190">
        <v>19</v>
      </c>
      <c r="AN9" s="190">
        <v>855</v>
      </c>
      <c r="AO9" s="190">
        <v>874</v>
      </c>
      <c r="AP9" s="190">
        <v>1642</v>
      </c>
      <c r="AQ9" s="190">
        <v>14015</v>
      </c>
      <c r="AR9" s="190">
        <v>15657</v>
      </c>
      <c r="AS9" s="190">
        <v>1642</v>
      </c>
      <c r="AT9" s="190">
        <v>14015</v>
      </c>
      <c r="AU9" s="190">
        <v>15657</v>
      </c>
      <c r="AV9" s="190">
        <v>0</v>
      </c>
      <c r="AW9" s="190">
        <v>0</v>
      </c>
      <c r="AX9" s="190">
        <v>0</v>
      </c>
      <c r="AY9" s="190">
        <v>117</v>
      </c>
      <c r="AZ9" s="190">
        <v>1456</v>
      </c>
      <c r="BA9" s="190">
        <v>1573</v>
      </c>
      <c r="BB9" s="190">
        <v>37</v>
      </c>
      <c r="BC9" s="190">
        <v>0</v>
      </c>
      <c r="BD9" s="190">
        <v>0</v>
      </c>
      <c r="BE9" s="190">
        <v>820</v>
      </c>
      <c r="BF9" s="190">
        <v>2</v>
      </c>
      <c r="BG9" s="190">
        <v>3</v>
      </c>
      <c r="BH9" s="190">
        <v>37</v>
      </c>
      <c r="BI9" s="190">
        <v>825</v>
      </c>
      <c r="BJ9" s="190">
        <v>862</v>
      </c>
      <c r="BK9" s="190">
        <v>2</v>
      </c>
      <c r="BL9" s="190">
        <v>-2</v>
      </c>
      <c r="BM9" s="190">
        <v>0</v>
      </c>
      <c r="BN9" s="190">
        <v>4</v>
      </c>
      <c r="BO9" s="190">
        <v>59</v>
      </c>
      <c r="BP9" s="190">
        <v>63</v>
      </c>
      <c r="BQ9" s="190">
        <v>7</v>
      </c>
      <c r="BR9" s="190">
        <v>112</v>
      </c>
      <c r="BS9" s="190">
        <v>119</v>
      </c>
      <c r="BT9" s="190">
        <v>67</v>
      </c>
      <c r="BU9" s="190">
        <v>462</v>
      </c>
      <c r="BV9" s="190">
        <v>529</v>
      </c>
      <c r="BW9" s="190">
        <v>1759</v>
      </c>
      <c r="BX9" s="190">
        <v>15471</v>
      </c>
      <c r="BY9" s="190">
        <v>17230</v>
      </c>
      <c r="BZ9" s="190">
        <v>1750</v>
      </c>
      <c r="CA9" s="190">
        <v>15395</v>
      </c>
      <c r="CB9" s="190">
        <v>17145</v>
      </c>
      <c r="CC9" s="190">
        <v>32431</v>
      </c>
      <c r="CD9" s="190">
        <v>4</v>
      </c>
      <c r="CE9" s="190">
        <v>50</v>
      </c>
      <c r="CF9" s="190">
        <v>8</v>
      </c>
      <c r="CG9" s="190">
        <v>44</v>
      </c>
      <c r="CH9" s="190">
        <v>52</v>
      </c>
      <c r="CI9" s="190">
        <v>35</v>
      </c>
      <c r="CJ9" s="190">
        <v>4</v>
      </c>
      <c r="CK9" s="190">
        <v>1</v>
      </c>
      <c r="CL9" s="190">
        <v>32</v>
      </c>
      <c r="CM9" s="190">
        <v>33</v>
      </c>
      <c r="CN9" s="190">
        <v>88</v>
      </c>
      <c r="CO9" s="190">
        <v>1530</v>
      </c>
      <c r="CP9" s="190">
        <v>1618</v>
      </c>
      <c r="CQ9" s="190">
        <v>0</v>
      </c>
      <c r="CR9" s="190">
        <v>0</v>
      </c>
      <c r="CS9" s="190">
        <v>0</v>
      </c>
      <c r="CT9" s="190">
        <v>1671</v>
      </c>
      <c r="CU9" s="190">
        <v>13941</v>
      </c>
      <c r="CV9" s="190">
        <v>15612</v>
      </c>
      <c r="CW9" s="190">
        <v>145</v>
      </c>
      <c r="CX9" s="190">
        <v>717</v>
      </c>
      <c r="CY9" s="190">
        <v>862</v>
      </c>
      <c r="CZ9" s="190">
        <v>145</v>
      </c>
      <c r="DA9" s="190">
        <v>0</v>
      </c>
      <c r="DB9" s="190">
        <v>0</v>
      </c>
      <c r="DC9" s="190">
        <v>691</v>
      </c>
      <c r="DD9" s="190">
        <v>7</v>
      </c>
      <c r="DE9" s="190">
        <v>3</v>
      </c>
      <c r="DF9" s="190">
        <v>145</v>
      </c>
      <c r="DG9" s="190">
        <v>701</v>
      </c>
      <c r="DH9" s="190">
        <v>846</v>
      </c>
      <c r="DI9" s="190">
        <v>0</v>
      </c>
      <c r="DJ9" s="190">
        <v>0</v>
      </c>
      <c r="DK9" s="190">
        <v>0</v>
      </c>
      <c r="DL9" s="190">
        <v>15</v>
      </c>
      <c r="DM9" s="190">
        <v>1</v>
      </c>
      <c r="DN9" s="190">
        <v>0</v>
      </c>
      <c r="DO9" s="190">
        <v>0</v>
      </c>
      <c r="DP9" s="190">
        <v>16</v>
      </c>
      <c r="DQ9" s="190">
        <v>16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204</v>
      </c>
      <c r="C10" s="190">
        <v>44</v>
      </c>
      <c r="D10" s="190">
        <v>213</v>
      </c>
      <c r="E10" s="190">
        <v>155</v>
      </c>
      <c r="F10" s="190">
        <v>0</v>
      </c>
      <c r="G10" s="190">
        <v>3</v>
      </c>
      <c r="H10" s="190">
        <v>3</v>
      </c>
      <c r="I10" s="190">
        <v>0</v>
      </c>
      <c r="J10" s="190">
        <v>52</v>
      </c>
      <c r="K10" s="190">
        <v>52</v>
      </c>
      <c r="L10" s="190">
        <v>0</v>
      </c>
      <c r="M10" s="190">
        <v>20</v>
      </c>
      <c r="N10" s="190">
        <v>20</v>
      </c>
      <c r="O10" s="190">
        <v>0</v>
      </c>
      <c r="P10" s="190">
        <v>32</v>
      </c>
      <c r="Q10" s="190">
        <v>32</v>
      </c>
      <c r="R10" s="190">
        <v>0</v>
      </c>
      <c r="S10" s="190">
        <v>2</v>
      </c>
      <c r="T10" s="190">
        <v>2</v>
      </c>
      <c r="U10" s="190">
        <v>0</v>
      </c>
      <c r="V10" s="190">
        <v>6</v>
      </c>
      <c r="W10" s="190">
        <v>6</v>
      </c>
      <c r="X10" s="190">
        <v>5</v>
      </c>
      <c r="Y10" s="190">
        <v>208</v>
      </c>
      <c r="Z10" s="190">
        <v>213</v>
      </c>
      <c r="AA10" s="190">
        <v>3</v>
      </c>
      <c r="AB10" s="190">
        <v>106</v>
      </c>
      <c r="AC10" s="190">
        <v>109</v>
      </c>
      <c r="AD10" s="190">
        <v>2</v>
      </c>
      <c r="AE10" s="190">
        <v>96</v>
      </c>
      <c r="AF10" s="190">
        <v>98</v>
      </c>
      <c r="AG10" s="190">
        <v>0</v>
      </c>
      <c r="AH10" s="190">
        <v>4</v>
      </c>
      <c r="AI10" s="190">
        <v>4</v>
      </c>
      <c r="AJ10" s="190">
        <v>1</v>
      </c>
      <c r="AK10" s="190">
        <v>6</v>
      </c>
      <c r="AL10" s="190">
        <v>7</v>
      </c>
      <c r="AM10" s="190">
        <v>2</v>
      </c>
      <c r="AN10" s="190">
        <v>102</v>
      </c>
      <c r="AO10" s="190">
        <v>104</v>
      </c>
      <c r="AP10" s="190">
        <v>195</v>
      </c>
      <c r="AQ10" s="190">
        <v>2415</v>
      </c>
      <c r="AR10" s="190">
        <v>2610</v>
      </c>
      <c r="AS10" s="190">
        <v>195</v>
      </c>
      <c r="AT10" s="190">
        <v>2415</v>
      </c>
      <c r="AU10" s="190">
        <v>2610</v>
      </c>
      <c r="AV10" s="190">
        <v>0</v>
      </c>
      <c r="AW10" s="190">
        <v>0</v>
      </c>
      <c r="AX10" s="190">
        <v>0</v>
      </c>
      <c r="AY10" s="190">
        <v>4</v>
      </c>
      <c r="AZ10" s="190">
        <v>261</v>
      </c>
      <c r="BA10" s="190">
        <v>265</v>
      </c>
      <c r="BB10" s="190">
        <v>7</v>
      </c>
      <c r="BC10" s="190">
        <v>0</v>
      </c>
      <c r="BD10" s="190">
        <v>0</v>
      </c>
      <c r="BE10" s="190">
        <v>147</v>
      </c>
      <c r="BF10" s="190">
        <v>1</v>
      </c>
      <c r="BG10" s="190">
        <v>0</v>
      </c>
      <c r="BH10" s="190">
        <v>7</v>
      </c>
      <c r="BI10" s="190">
        <v>148</v>
      </c>
      <c r="BJ10" s="190">
        <v>155</v>
      </c>
      <c r="BK10" s="190">
        <v>-12</v>
      </c>
      <c r="BL10" s="190">
        <v>12</v>
      </c>
      <c r="BM10" s="190">
        <v>0</v>
      </c>
      <c r="BN10" s="190">
        <v>1</v>
      </c>
      <c r="BO10" s="190">
        <v>7</v>
      </c>
      <c r="BP10" s="190">
        <v>8</v>
      </c>
      <c r="BQ10" s="190">
        <v>2</v>
      </c>
      <c r="BR10" s="190">
        <v>27</v>
      </c>
      <c r="BS10" s="190">
        <v>29</v>
      </c>
      <c r="BT10" s="190">
        <v>6</v>
      </c>
      <c r="BU10" s="190">
        <v>67</v>
      </c>
      <c r="BV10" s="190">
        <v>73</v>
      </c>
      <c r="BW10" s="190">
        <v>199</v>
      </c>
      <c r="BX10" s="190">
        <v>2676</v>
      </c>
      <c r="BY10" s="190">
        <v>2875</v>
      </c>
      <c r="BZ10" s="190">
        <v>199</v>
      </c>
      <c r="CA10" s="190">
        <v>2665</v>
      </c>
      <c r="CB10" s="190">
        <v>2864</v>
      </c>
      <c r="CC10" s="190">
        <v>5292</v>
      </c>
      <c r="CD10" s="190">
        <v>0</v>
      </c>
      <c r="CE10" s="190">
        <v>10</v>
      </c>
      <c r="CF10" s="190">
        <v>0</v>
      </c>
      <c r="CG10" s="190">
        <v>7</v>
      </c>
      <c r="CH10" s="190">
        <v>7</v>
      </c>
      <c r="CI10" s="190">
        <v>6</v>
      </c>
      <c r="CJ10" s="190">
        <v>0</v>
      </c>
      <c r="CK10" s="190">
        <v>0</v>
      </c>
      <c r="CL10" s="190">
        <v>4</v>
      </c>
      <c r="CM10" s="190">
        <v>4</v>
      </c>
      <c r="CN10" s="190">
        <v>11</v>
      </c>
      <c r="CO10" s="190">
        <v>212</v>
      </c>
      <c r="CP10" s="190">
        <v>223</v>
      </c>
      <c r="CQ10" s="190">
        <v>0</v>
      </c>
      <c r="CR10" s="190">
        <v>0</v>
      </c>
      <c r="CS10" s="190">
        <v>0</v>
      </c>
      <c r="CT10" s="190">
        <v>188</v>
      </c>
      <c r="CU10" s="190">
        <v>2464</v>
      </c>
      <c r="CV10" s="190">
        <v>2652</v>
      </c>
      <c r="CW10" s="190">
        <v>25</v>
      </c>
      <c r="CX10" s="190">
        <v>218</v>
      </c>
      <c r="CY10" s="190">
        <v>243</v>
      </c>
      <c r="CZ10" s="190">
        <v>25</v>
      </c>
      <c r="DA10" s="190">
        <v>0</v>
      </c>
      <c r="DB10" s="190">
        <v>0</v>
      </c>
      <c r="DC10" s="190">
        <v>213</v>
      </c>
      <c r="DD10" s="190">
        <v>1</v>
      </c>
      <c r="DE10" s="190">
        <v>0</v>
      </c>
      <c r="DF10" s="190">
        <v>25</v>
      </c>
      <c r="DG10" s="190">
        <v>214</v>
      </c>
      <c r="DH10" s="190">
        <v>239</v>
      </c>
      <c r="DI10" s="190">
        <v>0</v>
      </c>
      <c r="DJ10" s="190">
        <v>0</v>
      </c>
      <c r="DK10" s="190">
        <v>0</v>
      </c>
      <c r="DL10" s="190">
        <v>4</v>
      </c>
      <c r="DM10" s="190">
        <v>0</v>
      </c>
      <c r="DN10" s="190">
        <v>0</v>
      </c>
      <c r="DO10" s="190">
        <v>0</v>
      </c>
      <c r="DP10" s="190">
        <v>4</v>
      </c>
      <c r="DQ10" s="190">
        <v>4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73</v>
      </c>
      <c r="C11" s="190">
        <v>13</v>
      </c>
      <c r="D11" s="190">
        <v>79</v>
      </c>
      <c r="E11" s="190">
        <v>35</v>
      </c>
      <c r="F11" s="190">
        <v>0</v>
      </c>
      <c r="G11" s="190">
        <v>6</v>
      </c>
      <c r="H11" s="190">
        <v>6</v>
      </c>
      <c r="I11" s="190">
        <v>0</v>
      </c>
      <c r="J11" s="190">
        <v>41</v>
      </c>
      <c r="K11" s="190">
        <v>41</v>
      </c>
      <c r="L11" s="190">
        <v>0</v>
      </c>
      <c r="M11" s="190">
        <v>13</v>
      </c>
      <c r="N11" s="190">
        <v>13</v>
      </c>
      <c r="O11" s="190">
        <v>0</v>
      </c>
      <c r="P11" s="190">
        <v>28</v>
      </c>
      <c r="Q11" s="190">
        <v>28</v>
      </c>
      <c r="R11" s="190">
        <v>0</v>
      </c>
      <c r="S11" s="190">
        <v>1</v>
      </c>
      <c r="T11" s="190">
        <v>1</v>
      </c>
      <c r="U11" s="190">
        <v>0</v>
      </c>
      <c r="V11" s="190">
        <v>3</v>
      </c>
      <c r="W11" s="190">
        <v>3</v>
      </c>
      <c r="X11" s="190">
        <v>3</v>
      </c>
      <c r="Y11" s="190">
        <v>76</v>
      </c>
      <c r="Z11" s="190">
        <v>79</v>
      </c>
      <c r="AA11" s="190">
        <v>2</v>
      </c>
      <c r="AB11" s="190">
        <v>20</v>
      </c>
      <c r="AC11" s="190">
        <v>22</v>
      </c>
      <c r="AD11" s="190">
        <v>2</v>
      </c>
      <c r="AE11" s="190">
        <v>19</v>
      </c>
      <c r="AF11" s="190">
        <v>21</v>
      </c>
      <c r="AG11" s="190">
        <v>0</v>
      </c>
      <c r="AH11" s="190">
        <v>0</v>
      </c>
      <c r="AI11" s="190">
        <v>0</v>
      </c>
      <c r="AJ11" s="190">
        <v>0</v>
      </c>
      <c r="AK11" s="190">
        <v>1</v>
      </c>
      <c r="AL11" s="190">
        <v>1</v>
      </c>
      <c r="AM11" s="190">
        <v>1</v>
      </c>
      <c r="AN11" s="190">
        <v>56</v>
      </c>
      <c r="AO11" s="190">
        <v>57</v>
      </c>
      <c r="AP11" s="190">
        <v>70</v>
      </c>
      <c r="AQ11" s="190">
        <v>516</v>
      </c>
      <c r="AR11" s="190">
        <v>586</v>
      </c>
      <c r="AS11" s="190">
        <v>70</v>
      </c>
      <c r="AT11" s="190">
        <v>516</v>
      </c>
      <c r="AU11" s="190">
        <v>586</v>
      </c>
      <c r="AV11" s="190">
        <v>0</v>
      </c>
      <c r="AW11" s="190">
        <v>0</v>
      </c>
      <c r="AX11" s="190">
        <v>0</v>
      </c>
      <c r="AY11" s="190">
        <v>2</v>
      </c>
      <c r="AZ11" s="190">
        <v>73</v>
      </c>
      <c r="BA11" s="190">
        <v>75</v>
      </c>
      <c r="BB11" s="190">
        <v>1</v>
      </c>
      <c r="BC11" s="190">
        <v>0</v>
      </c>
      <c r="BD11" s="190">
        <v>0</v>
      </c>
      <c r="BE11" s="190">
        <v>34</v>
      </c>
      <c r="BF11" s="190">
        <v>0</v>
      </c>
      <c r="BG11" s="190">
        <v>0</v>
      </c>
      <c r="BH11" s="190">
        <v>1</v>
      </c>
      <c r="BI11" s="190">
        <v>34</v>
      </c>
      <c r="BJ11" s="190">
        <v>35</v>
      </c>
      <c r="BK11" s="190">
        <v>-2</v>
      </c>
      <c r="BL11" s="190">
        <v>2</v>
      </c>
      <c r="BM11" s="190">
        <v>0</v>
      </c>
      <c r="BN11" s="190">
        <v>1</v>
      </c>
      <c r="BO11" s="190">
        <v>5</v>
      </c>
      <c r="BP11" s="190">
        <v>6</v>
      </c>
      <c r="BQ11" s="190">
        <v>0</v>
      </c>
      <c r="BR11" s="190">
        <v>0</v>
      </c>
      <c r="BS11" s="190">
        <v>0</v>
      </c>
      <c r="BT11" s="190">
        <v>2</v>
      </c>
      <c r="BU11" s="190">
        <v>32</v>
      </c>
      <c r="BV11" s="190">
        <v>34</v>
      </c>
      <c r="BW11" s="190">
        <v>72</v>
      </c>
      <c r="BX11" s="190">
        <v>589</v>
      </c>
      <c r="BY11" s="190">
        <v>661</v>
      </c>
      <c r="BZ11" s="190">
        <v>71</v>
      </c>
      <c r="CA11" s="190">
        <v>587</v>
      </c>
      <c r="CB11" s="190">
        <v>658</v>
      </c>
      <c r="CC11" s="190">
        <v>1474</v>
      </c>
      <c r="CD11" s="190">
        <v>0</v>
      </c>
      <c r="CE11" s="190">
        <v>4</v>
      </c>
      <c r="CF11" s="190">
        <v>1</v>
      </c>
      <c r="CG11" s="190">
        <v>2</v>
      </c>
      <c r="CH11" s="190">
        <v>3</v>
      </c>
      <c r="CI11" s="190">
        <v>0</v>
      </c>
      <c r="CJ11" s="190">
        <v>0</v>
      </c>
      <c r="CK11" s="190">
        <v>0</v>
      </c>
      <c r="CL11" s="190">
        <v>0</v>
      </c>
      <c r="CM11" s="190">
        <v>0</v>
      </c>
      <c r="CN11" s="190">
        <v>7</v>
      </c>
      <c r="CO11" s="190">
        <v>57</v>
      </c>
      <c r="CP11" s="190">
        <v>64</v>
      </c>
      <c r="CQ11" s="190">
        <v>0</v>
      </c>
      <c r="CR11" s="190">
        <v>0</v>
      </c>
      <c r="CS11" s="190">
        <v>0</v>
      </c>
      <c r="CT11" s="190">
        <v>65</v>
      </c>
      <c r="CU11" s="190">
        <v>532</v>
      </c>
      <c r="CV11" s="190">
        <v>597</v>
      </c>
      <c r="CW11" s="190">
        <v>4</v>
      </c>
      <c r="CX11" s="190">
        <v>20</v>
      </c>
      <c r="CY11" s="190">
        <v>24</v>
      </c>
      <c r="CZ11" s="190">
        <v>4</v>
      </c>
      <c r="DA11" s="190">
        <v>0</v>
      </c>
      <c r="DB11" s="190">
        <v>0</v>
      </c>
      <c r="DC11" s="190">
        <v>20</v>
      </c>
      <c r="DD11" s="190">
        <v>0</v>
      </c>
      <c r="DE11" s="190">
        <v>0</v>
      </c>
      <c r="DF11" s="190">
        <v>4</v>
      </c>
      <c r="DG11" s="190">
        <v>20</v>
      </c>
      <c r="DH11" s="190">
        <v>24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 ht="15.75">
      <c r="A12" s="189" t="s">
        <v>366</v>
      </c>
      <c r="B12" s="190">
        <v>2714</v>
      </c>
      <c r="C12" s="190">
        <v>759</v>
      </c>
      <c r="D12" s="190">
        <v>2230</v>
      </c>
      <c r="E12" s="190">
        <v>1199</v>
      </c>
      <c r="F12" s="190">
        <v>4</v>
      </c>
      <c r="G12" s="190">
        <v>52</v>
      </c>
      <c r="H12" s="190">
        <v>56</v>
      </c>
      <c r="I12" s="190">
        <v>1</v>
      </c>
      <c r="J12" s="190">
        <v>895</v>
      </c>
      <c r="K12" s="190">
        <v>896</v>
      </c>
      <c r="L12" s="190">
        <v>1</v>
      </c>
      <c r="M12" s="190">
        <v>887</v>
      </c>
      <c r="N12" s="190">
        <v>888</v>
      </c>
      <c r="O12" s="190">
        <v>0</v>
      </c>
      <c r="P12" s="190">
        <v>8</v>
      </c>
      <c r="Q12" s="190">
        <v>8</v>
      </c>
      <c r="R12" s="190">
        <v>0</v>
      </c>
      <c r="S12" s="190">
        <v>66</v>
      </c>
      <c r="T12" s="190">
        <v>66</v>
      </c>
      <c r="U12" s="190">
        <v>0</v>
      </c>
      <c r="V12" s="190">
        <v>135</v>
      </c>
      <c r="W12" s="190">
        <v>135</v>
      </c>
      <c r="X12" s="190">
        <v>55</v>
      </c>
      <c r="Y12" s="190">
        <v>1373</v>
      </c>
      <c r="Z12" s="190">
        <v>1428</v>
      </c>
      <c r="AA12" s="190">
        <v>38</v>
      </c>
      <c r="AB12" s="190">
        <v>560</v>
      </c>
      <c r="AC12" s="190">
        <v>598</v>
      </c>
      <c r="AD12" s="190">
        <v>35</v>
      </c>
      <c r="AE12" s="190">
        <v>551</v>
      </c>
      <c r="AF12" s="190">
        <v>586</v>
      </c>
      <c r="AG12" s="190">
        <v>3</v>
      </c>
      <c r="AH12" s="190">
        <v>7</v>
      </c>
      <c r="AI12" s="190">
        <v>10</v>
      </c>
      <c r="AJ12" s="190">
        <v>0</v>
      </c>
      <c r="AK12" s="190">
        <v>2</v>
      </c>
      <c r="AL12" s="190">
        <v>2</v>
      </c>
      <c r="AM12" s="190">
        <v>17</v>
      </c>
      <c r="AN12" s="190">
        <v>813</v>
      </c>
      <c r="AO12" s="190">
        <v>830</v>
      </c>
      <c r="AP12" s="190">
        <v>3902</v>
      </c>
      <c r="AQ12" s="190">
        <v>26876</v>
      </c>
      <c r="AR12" s="190">
        <v>30778</v>
      </c>
      <c r="AS12" s="190">
        <v>3878</v>
      </c>
      <c r="AT12" s="190">
        <v>26680</v>
      </c>
      <c r="AU12" s="190">
        <v>30558</v>
      </c>
      <c r="AV12" s="190">
        <v>24</v>
      </c>
      <c r="AW12" s="190">
        <v>196</v>
      </c>
      <c r="AX12" s="190">
        <v>220</v>
      </c>
      <c r="AY12" s="190">
        <v>175</v>
      </c>
      <c r="AZ12" s="190">
        <v>3014</v>
      </c>
      <c r="BA12" s="190">
        <v>3189</v>
      </c>
      <c r="BB12" s="190">
        <v>104</v>
      </c>
      <c r="BC12" s="190">
        <v>4</v>
      </c>
      <c r="BD12" s="190">
        <v>0</v>
      </c>
      <c r="BE12" s="190">
        <v>1065</v>
      </c>
      <c r="BF12" s="190">
        <v>22</v>
      </c>
      <c r="BG12" s="190">
        <v>4</v>
      </c>
      <c r="BH12" s="190">
        <v>108</v>
      </c>
      <c r="BI12" s="190">
        <v>1091</v>
      </c>
      <c r="BJ12" s="190">
        <v>1199</v>
      </c>
      <c r="BK12" s="190">
        <v>-114</v>
      </c>
      <c r="BL12" s="190">
        <v>114</v>
      </c>
      <c r="BM12" s="190">
        <v>0</v>
      </c>
      <c r="BN12" s="190">
        <v>15</v>
      </c>
      <c r="BO12" s="190">
        <v>78</v>
      </c>
      <c r="BP12" s="190">
        <v>93</v>
      </c>
      <c r="BQ12" s="190">
        <v>7</v>
      </c>
      <c r="BR12" s="190">
        <v>25</v>
      </c>
      <c r="BS12" s="190">
        <v>32</v>
      </c>
      <c r="BT12" s="190">
        <v>159</v>
      </c>
      <c r="BU12" s="190">
        <v>1706</v>
      </c>
      <c r="BV12" s="190">
        <v>1865</v>
      </c>
      <c r="BW12" s="190">
        <v>4077</v>
      </c>
      <c r="BX12" s="190">
        <v>29890</v>
      </c>
      <c r="BY12" s="190">
        <v>33967</v>
      </c>
      <c r="BZ12" s="190">
        <v>3974</v>
      </c>
      <c r="CA12" s="190">
        <v>29367</v>
      </c>
      <c r="CB12" s="190">
        <v>33341</v>
      </c>
      <c r="CC12" s="190">
        <v>67846</v>
      </c>
      <c r="CD12" s="190">
        <v>37</v>
      </c>
      <c r="CE12" s="190">
        <v>624</v>
      </c>
      <c r="CF12" s="190">
        <v>102</v>
      </c>
      <c r="CG12" s="190">
        <v>367</v>
      </c>
      <c r="CH12" s="190">
        <v>469</v>
      </c>
      <c r="CI12" s="190">
        <v>198</v>
      </c>
      <c r="CJ12" s="190">
        <v>12</v>
      </c>
      <c r="CK12" s="190">
        <v>1</v>
      </c>
      <c r="CL12" s="190">
        <v>156</v>
      </c>
      <c r="CM12" s="190">
        <v>157</v>
      </c>
      <c r="CN12" s="190">
        <v>207</v>
      </c>
      <c r="CO12" s="190">
        <v>3215</v>
      </c>
      <c r="CP12" s="190">
        <v>3422</v>
      </c>
      <c r="CQ12" s="190">
        <v>0</v>
      </c>
      <c r="CR12" s="190">
        <v>9</v>
      </c>
      <c r="CS12" s="190">
        <v>9</v>
      </c>
      <c r="CT12" s="190">
        <v>3870</v>
      </c>
      <c r="CU12" s="190">
        <v>26675</v>
      </c>
      <c r="CV12" s="190">
        <v>30545</v>
      </c>
      <c r="CW12" s="190">
        <v>320</v>
      </c>
      <c r="CX12" s="190">
        <v>1464</v>
      </c>
      <c r="CY12" s="190">
        <v>1784</v>
      </c>
      <c r="CZ12" s="190">
        <v>314</v>
      </c>
      <c r="DA12" s="190">
        <v>5</v>
      </c>
      <c r="DB12" s="190">
        <v>0</v>
      </c>
      <c r="DC12" s="190">
        <v>1407</v>
      </c>
      <c r="DD12" s="190">
        <v>22</v>
      </c>
      <c r="DE12" s="190">
        <v>7</v>
      </c>
      <c r="DF12" s="190">
        <v>319</v>
      </c>
      <c r="DG12" s="190">
        <v>1436</v>
      </c>
      <c r="DH12" s="190">
        <v>1755</v>
      </c>
      <c r="DI12" s="190">
        <v>1</v>
      </c>
      <c r="DJ12" s="190">
        <v>0</v>
      </c>
      <c r="DK12" s="190">
        <v>0</v>
      </c>
      <c r="DL12" s="190">
        <v>27</v>
      </c>
      <c r="DM12" s="190">
        <v>1</v>
      </c>
      <c r="DN12" s="190">
        <v>0</v>
      </c>
      <c r="DO12" s="190">
        <v>1</v>
      </c>
      <c r="DP12" s="190">
        <v>28</v>
      </c>
      <c r="DQ12" s="190">
        <v>29</v>
      </c>
      <c r="DR12" s="190">
        <v>1</v>
      </c>
      <c r="DS12" s="190">
        <v>5</v>
      </c>
      <c r="DT12" s="191">
        <v>6</v>
      </c>
    </row>
    <row r="13" spans="1:129">
      <c r="A13" s="189" t="s">
        <v>278</v>
      </c>
      <c r="B13" s="190">
        <v>171</v>
      </c>
      <c r="C13" s="190">
        <v>20</v>
      </c>
      <c r="D13" s="190">
        <v>174</v>
      </c>
      <c r="E13" s="190">
        <v>94</v>
      </c>
      <c r="F13" s="190">
        <v>0</v>
      </c>
      <c r="G13" s="190">
        <v>1</v>
      </c>
      <c r="H13" s="190">
        <v>1</v>
      </c>
      <c r="I13" s="190">
        <v>0</v>
      </c>
      <c r="J13" s="190">
        <v>70</v>
      </c>
      <c r="K13" s="190">
        <v>70</v>
      </c>
      <c r="L13" s="190">
        <v>0</v>
      </c>
      <c r="M13" s="190">
        <v>26</v>
      </c>
      <c r="N13" s="190">
        <v>26</v>
      </c>
      <c r="O13" s="190">
        <v>0</v>
      </c>
      <c r="P13" s="190">
        <v>44</v>
      </c>
      <c r="Q13" s="190">
        <v>44</v>
      </c>
      <c r="R13" s="190">
        <v>0</v>
      </c>
      <c r="S13" s="190">
        <v>0</v>
      </c>
      <c r="T13" s="190">
        <v>0</v>
      </c>
      <c r="U13" s="190">
        <v>0</v>
      </c>
      <c r="V13" s="190">
        <v>10</v>
      </c>
      <c r="W13" s="190">
        <v>10</v>
      </c>
      <c r="X13" s="190">
        <v>6</v>
      </c>
      <c r="Y13" s="190">
        <v>166</v>
      </c>
      <c r="Z13" s="190">
        <v>172</v>
      </c>
      <c r="AA13" s="190">
        <v>2</v>
      </c>
      <c r="AB13" s="190">
        <v>65</v>
      </c>
      <c r="AC13" s="190">
        <v>67</v>
      </c>
      <c r="AD13" s="190">
        <v>2</v>
      </c>
      <c r="AE13" s="190">
        <v>62</v>
      </c>
      <c r="AF13" s="190">
        <v>64</v>
      </c>
      <c r="AG13" s="190">
        <v>0</v>
      </c>
      <c r="AH13" s="190">
        <v>1</v>
      </c>
      <c r="AI13" s="190">
        <v>1</v>
      </c>
      <c r="AJ13" s="190">
        <v>0</v>
      </c>
      <c r="AK13" s="190">
        <v>2</v>
      </c>
      <c r="AL13" s="190">
        <v>2</v>
      </c>
      <c r="AM13" s="190">
        <v>4</v>
      </c>
      <c r="AN13" s="190">
        <v>101</v>
      </c>
      <c r="AO13" s="190">
        <v>105</v>
      </c>
      <c r="AP13" s="190">
        <v>371</v>
      </c>
      <c r="AQ13" s="190">
        <v>2034</v>
      </c>
      <c r="AR13" s="190">
        <v>2405</v>
      </c>
      <c r="AS13" s="190">
        <v>371</v>
      </c>
      <c r="AT13" s="190">
        <v>2034</v>
      </c>
      <c r="AU13" s="190">
        <v>2405</v>
      </c>
      <c r="AV13" s="190">
        <v>0</v>
      </c>
      <c r="AW13" s="190">
        <v>0</v>
      </c>
      <c r="AX13" s="190">
        <v>0</v>
      </c>
      <c r="AY13" s="190">
        <v>20</v>
      </c>
      <c r="AZ13" s="190">
        <v>186</v>
      </c>
      <c r="BA13" s="190">
        <v>206</v>
      </c>
      <c r="BB13" s="190">
        <v>6</v>
      </c>
      <c r="BC13" s="190">
        <v>0</v>
      </c>
      <c r="BD13" s="190">
        <v>0</v>
      </c>
      <c r="BE13" s="190">
        <v>88</v>
      </c>
      <c r="BF13" s="190">
        <v>0</v>
      </c>
      <c r="BG13" s="190">
        <v>0</v>
      </c>
      <c r="BH13" s="190">
        <v>6</v>
      </c>
      <c r="BI13" s="190">
        <v>88</v>
      </c>
      <c r="BJ13" s="190">
        <v>94</v>
      </c>
      <c r="BK13" s="190">
        <v>-4</v>
      </c>
      <c r="BL13" s="190">
        <v>4</v>
      </c>
      <c r="BM13" s="190">
        <v>0</v>
      </c>
      <c r="BN13" s="190">
        <v>2</v>
      </c>
      <c r="BO13" s="190">
        <v>1</v>
      </c>
      <c r="BP13" s="190">
        <v>3</v>
      </c>
      <c r="BQ13" s="190">
        <v>2</v>
      </c>
      <c r="BR13" s="190">
        <v>20</v>
      </c>
      <c r="BS13" s="190">
        <v>22</v>
      </c>
      <c r="BT13" s="190">
        <v>14</v>
      </c>
      <c r="BU13" s="190">
        <v>73</v>
      </c>
      <c r="BV13" s="190">
        <v>87</v>
      </c>
      <c r="BW13" s="190">
        <v>391</v>
      </c>
      <c r="BX13" s="190">
        <v>2220</v>
      </c>
      <c r="BY13" s="190">
        <v>2611</v>
      </c>
      <c r="BZ13" s="190">
        <v>391</v>
      </c>
      <c r="CA13" s="190">
        <v>2219</v>
      </c>
      <c r="CB13" s="190">
        <v>2610</v>
      </c>
      <c r="CC13" s="190">
        <v>5322</v>
      </c>
      <c r="CD13" s="190">
        <v>0</v>
      </c>
      <c r="CE13" s="190">
        <v>1</v>
      </c>
      <c r="CF13" s="190">
        <v>0</v>
      </c>
      <c r="CG13" s="190">
        <v>1</v>
      </c>
      <c r="CH13" s="190">
        <v>1</v>
      </c>
      <c r="CI13" s="190">
        <v>0</v>
      </c>
      <c r="CJ13" s="190">
        <v>0</v>
      </c>
      <c r="CK13" s="190">
        <v>0</v>
      </c>
      <c r="CL13" s="190">
        <v>0</v>
      </c>
      <c r="CM13" s="190">
        <v>0</v>
      </c>
      <c r="CN13" s="190">
        <v>18</v>
      </c>
      <c r="CO13" s="190">
        <v>201</v>
      </c>
      <c r="CP13" s="190">
        <v>219</v>
      </c>
      <c r="CQ13" s="190">
        <v>0</v>
      </c>
      <c r="CR13" s="190">
        <v>0</v>
      </c>
      <c r="CS13" s="190">
        <v>0</v>
      </c>
      <c r="CT13" s="190">
        <v>373</v>
      </c>
      <c r="CU13" s="190">
        <v>2019</v>
      </c>
      <c r="CV13" s="190">
        <v>2392</v>
      </c>
      <c r="CW13" s="190">
        <v>31</v>
      </c>
      <c r="CX13" s="190">
        <v>109</v>
      </c>
      <c r="CY13" s="190">
        <v>140</v>
      </c>
      <c r="CZ13" s="190">
        <v>31</v>
      </c>
      <c r="DA13" s="190">
        <v>0</v>
      </c>
      <c r="DB13" s="190">
        <v>0</v>
      </c>
      <c r="DC13" s="190">
        <v>103</v>
      </c>
      <c r="DD13" s="190">
        <v>1</v>
      </c>
      <c r="DE13" s="190">
        <v>0</v>
      </c>
      <c r="DF13" s="190">
        <v>31</v>
      </c>
      <c r="DG13" s="190">
        <v>104</v>
      </c>
      <c r="DH13" s="190">
        <v>135</v>
      </c>
      <c r="DI13" s="190">
        <v>0</v>
      </c>
      <c r="DJ13" s="190">
        <v>0</v>
      </c>
      <c r="DK13" s="190">
        <v>0</v>
      </c>
      <c r="DL13" s="190">
        <v>5</v>
      </c>
      <c r="DM13" s="190">
        <v>0</v>
      </c>
      <c r="DN13" s="190">
        <v>0</v>
      </c>
      <c r="DO13" s="190">
        <v>0</v>
      </c>
      <c r="DP13" s="190">
        <v>5</v>
      </c>
      <c r="DQ13" s="190">
        <v>5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559</v>
      </c>
      <c r="C14" s="190">
        <v>97</v>
      </c>
      <c r="D14" s="190">
        <v>586</v>
      </c>
      <c r="E14" s="190">
        <v>349</v>
      </c>
      <c r="F14" s="190">
        <v>1</v>
      </c>
      <c r="G14" s="190">
        <v>8</v>
      </c>
      <c r="H14" s="190">
        <v>9</v>
      </c>
      <c r="I14" s="190">
        <v>0</v>
      </c>
      <c r="J14" s="190">
        <v>212</v>
      </c>
      <c r="K14" s="190">
        <v>212</v>
      </c>
      <c r="L14" s="190">
        <v>0</v>
      </c>
      <c r="M14" s="190">
        <v>78</v>
      </c>
      <c r="N14" s="190">
        <v>78</v>
      </c>
      <c r="O14" s="190">
        <v>0</v>
      </c>
      <c r="P14" s="190">
        <v>134</v>
      </c>
      <c r="Q14" s="190">
        <v>134</v>
      </c>
      <c r="R14" s="190">
        <v>0</v>
      </c>
      <c r="S14" s="190">
        <v>2</v>
      </c>
      <c r="T14" s="190">
        <v>2</v>
      </c>
      <c r="U14" s="190">
        <v>0</v>
      </c>
      <c r="V14" s="190">
        <v>25</v>
      </c>
      <c r="W14" s="190">
        <v>25</v>
      </c>
      <c r="X14" s="190">
        <v>12</v>
      </c>
      <c r="Y14" s="190">
        <v>574</v>
      </c>
      <c r="Z14" s="190">
        <v>586</v>
      </c>
      <c r="AA14" s="190">
        <v>7</v>
      </c>
      <c r="AB14" s="190">
        <v>255</v>
      </c>
      <c r="AC14" s="190">
        <v>262</v>
      </c>
      <c r="AD14" s="190">
        <v>6</v>
      </c>
      <c r="AE14" s="190">
        <v>251</v>
      </c>
      <c r="AF14" s="190">
        <v>257</v>
      </c>
      <c r="AG14" s="190">
        <v>1</v>
      </c>
      <c r="AH14" s="190">
        <v>3</v>
      </c>
      <c r="AI14" s="190">
        <v>4</v>
      </c>
      <c r="AJ14" s="190">
        <v>0</v>
      </c>
      <c r="AK14" s="190">
        <v>1</v>
      </c>
      <c r="AL14" s="190">
        <v>1</v>
      </c>
      <c r="AM14" s="190">
        <v>5</v>
      </c>
      <c r="AN14" s="190">
        <v>319</v>
      </c>
      <c r="AO14" s="190">
        <v>324</v>
      </c>
      <c r="AP14" s="190">
        <v>519</v>
      </c>
      <c r="AQ14" s="190">
        <v>6168</v>
      </c>
      <c r="AR14" s="190">
        <v>6687</v>
      </c>
      <c r="AS14" s="190">
        <v>527</v>
      </c>
      <c r="AT14" s="190">
        <v>6191</v>
      </c>
      <c r="AU14" s="190">
        <v>6718</v>
      </c>
      <c r="AV14" s="190">
        <v>-8</v>
      </c>
      <c r="AW14" s="190">
        <v>-23</v>
      </c>
      <c r="AX14" s="190">
        <v>-31</v>
      </c>
      <c r="AY14" s="190">
        <v>32</v>
      </c>
      <c r="AZ14" s="190">
        <v>567</v>
      </c>
      <c r="BA14" s="190">
        <v>599</v>
      </c>
      <c r="BB14" s="190">
        <v>12</v>
      </c>
      <c r="BC14" s="190">
        <v>1</v>
      </c>
      <c r="BD14" s="190">
        <v>0</v>
      </c>
      <c r="BE14" s="190">
        <v>334</v>
      </c>
      <c r="BF14" s="190">
        <v>2</v>
      </c>
      <c r="BG14" s="190">
        <v>0</v>
      </c>
      <c r="BH14" s="190">
        <v>13</v>
      </c>
      <c r="BI14" s="190">
        <v>336</v>
      </c>
      <c r="BJ14" s="190">
        <v>349</v>
      </c>
      <c r="BK14" s="190">
        <v>9</v>
      </c>
      <c r="BL14" s="190">
        <v>-9</v>
      </c>
      <c r="BM14" s="190">
        <v>0</v>
      </c>
      <c r="BN14" s="190">
        <v>2</v>
      </c>
      <c r="BO14" s="190">
        <v>34</v>
      </c>
      <c r="BP14" s="190">
        <v>36</v>
      </c>
      <c r="BQ14" s="190">
        <v>1</v>
      </c>
      <c r="BR14" s="190">
        <v>57</v>
      </c>
      <c r="BS14" s="190">
        <v>58</v>
      </c>
      <c r="BT14" s="190">
        <v>7</v>
      </c>
      <c r="BU14" s="190">
        <v>149</v>
      </c>
      <c r="BV14" s="190">
        <v>156</v>
      </c>
      <c r="BW14" s="190">
        <v>551</v>
      </c>
      <c r="BX14" s="190">
        <v>6735</v>
      </c>
      <c r="BY14" s="190">
        <v>7286</v>
      </c>
      <c r="BZ14" s="190">
        <v>549</v>
      </c>
      <c r="CA14" s="190">
        <v>6694</v>
      </c>
      <c r="CB14" s="190">
        <v>7243</v>
      </c>
      <c r="CC14" s="190">
        <v>12861</v>
      </c>
      <c r="CD14" s="190">
        <v>2</v>
      </c>
      <c r="CE14" s="190">
        <v>40</v>
      </c>
      <c r="CF14" s="190">
        <v>2</v>
      </c>
      <c r="CG14" s="190">
        <v>33</v>
      </c>
      <c r="CH14" s="190">
        <v>35</v>
      </c>
      <c r="CI14" s="190">
        <v>9</v>
      </c>
      <c r="CJ14" s="190">
        <v>0</v>
      </c>
      <c r="CK14" s="190">
        <v>0</v>
      </c>
      <c r="CL14" s="190">
        <v>8</v>
      </c>
      <c r="CM14" s="190">
        <v>8</v>
      </c>
      <c r="CN14" s="190">
        <v>39</v>
      </c>
      <c r="CO14" s="190">
        <v>686</v>
      </c>
      <c r="CP14" s="190">
        <v>725</v>
      </c>
      <c r="CQ14" s="190">
        <v>0</v>
      </c>
      <c r="CR14" s="190">
        <v>0</v>
      </c>
      <c r="CS14" s="190">
        <v>0</v>
      </c>
      <c r="CT14" s="190">
        <v>512</v>
      </c>
      <c r="CU14" s="190">
        <v>6049</v>
      </c>
      <c r="CV14" s="190">
        <v>6561</v>
      </c>
      <c r="CW14" s="190">
        <v>23</v>
      </c>
      <c r="CX14" s="190">
        <v>270</v>
      </c>
      <c r="CY14" s="190">
        <v>293</v>
      </c>
      <c r="CZ14" s="190">
        <v>23</v>
      </c>
      <c r="DA14" s="190">
        <v>0</v>
      </c>
      <c r="DB14" s="190">
        <v>0</v>
      </c>
      <c r="DC14" s="190">
        <v>268</v>
      </c>
      <c r="DD14" s="190">
        <v>2</v>
      </c>
      <c r="DE14" s="190">
        <v>0</v>
      </c>
      <c r="DF14" s="190">
        <v>23</v>
      </c>
      <c r="DG14" s="190">
        <v>270</v>
      </c>
      <c r="DH14" s="190">
        <v>293</v>
      </c>
      <c r="DI14" s="190">
        <v>0</v>
      </c>
      <c r="DJ14" s="190">
        <v>0</v>
      </c>
      <c r="DK14" s="190">
        <v>0</v>
      </c>
      <c r="DL14" s="190">
        <v>0</v>
      </c>
      <c r="DM14" s="190">
        <v>0</v>
      </c>
      <c r="DN14" s="190">
        <v>0</v>
      </c>
      <c r="DO14" s="190">
        <v>0</v>
      </c>
      <c r="DP14" s="190">
        <v>0</v>
      </c>
      <c r="DQ14" s="190">
        <v>0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5009</v>
      </c>
      <c r="C15" s="190">
        <v>2008</v>
      </c>
      <c r="D15" s="190">
        <v>4767</v>
      </c>
      <c r="E15" s="190">
        <v>3330</v>
      </c>
      <c r="F15" s="190">
        <v>26</v>
      </c>
      <c r="G15" s="190">
        <v>117</v>
      </c>
      <c r="H15" s="190">
        <v>143</v>
      </c>
      <c r="I15" s="190">
        <v>1</v>
      </c>
      <c r="J15" s="190">
        <v>1341</v>
      </c>
      <c r="K15" s="190">
        <v>1342</v>
      </c>
      <c r="L15" s="190">
        <v>1</v>
      </c>
      <c r="M15" s="190">
        <v>1335</v>
      </c>
      <c r="N15" s="190">
        <v>1336</v>
      </c>
      <c r="O15" s="190">
        <v>0</v>
      </c>
      <c r="P15" s="190">
        <v>6</v>
      </c>
      <c r="Q15" s="190">
        <v>6</v>
      </c>
      <c r="R15" s="190">
        <v>1</v>
      </c>
      <c r="S15" s="190">
        <v>261</v>
      </c>
      <c r="T15" s="190">
        <v>262</v>
      </c>
      <c r="U15" s="190">
        <v>0</v>
      </c>
      <c r="V15" s="190">
        <v>95</v>
      </c>
      <c r="W15" s="190">
        <v>95</v>
      </c>
      <c r="X15" s="190">
        <v>54</v>
      </c>
      <c r="Y15" s="190">
        <v>3882</v>
      </c>
      <c r="Z15" s="190">
        <v>3936</v>
      </c>
      <c r="AA15" s="190">
        <v>31</v>
      </c>
      <c r="AB15" s="190">
        <v>1618</v>
      </c>
      <c r="AC15" s="190">
        <v>1649</v>
      </c>
      <c r="AD15" s="190">
        <v>29</v>
      </c>
      <c r="AE15" s="190">
        <v>1560</v>
      </c>
      <c r="AF15" s="190">
        <v>1589</v>
      </c>
      <c r="AG15" s="190">
        <v>2</v>
      </c>
      <c r="AH15" s="190">
        <v>44</v>
      </c>
      <c r="AI15" s="190">
        <v>46</v>
      </c>
      <c r="AJ15" s="190">
        <v>0</v>
      </c>
      <c r="AK15" s="190">
        <v>14</v>
      </c>
      <c r="AL15" s="190">
        <v>14</v>
      </c>
      <c r="AM15" s="190">
        <v>23</v>
      </c>
      <c r="AN15" s="190">
        <v>2264</v>
      </c>
      <c r="AO15" s="190">
        <v>2287</v>
      </c>
      <c r="AP15" s="190">
        <v>12183</v>
      </c>
      <c r="AQ15" s="190">
        <v>78385</v>
      </c>
      <c r="AR15" s="190">
        <v>90568</v>
      </c>
      <c r="AS15" s="190">
        <v>11676</v>
      </c>
      <c r="AT15" s="190">
        <v>75225</v>
      </c>
      <c r="AU15" s="190">
        <v>86901</v>
      </c>
      <c r="AV15" s="190">
        <v>507</v>
      </c>
      <c r="AW15" s="190">
        <v>3160</v>
      </c>
      <c r="AX15" s="190">
        <v>3667</v>
      </c>
      <c r="AY15" s="190">
        <v>58</v>
      </c>
      <c r="AZ15" s="190">
        <v>3385</v>
      </c>
      <c r="BA15" s="190">
        <v>3443</v>
      </c>
      <c r="BB15" s="190">
        <v>251</v>
      </c>
      <c r="BC15" s="190">
        <v>3</v>
      </c>
      <c r="BD15" s="190">
        <v>0</v>
      </c>
      <c r="BE15" s="190">
        <v>3015</v>
      </c>
      <c r="BF15" s="190">
        <v>28</v>
      </c>
      <c r="BG15" s="190">
        <v>33</v>
      </c>
      <c r="BH15" s="190">
        <v>254</v>
      </c>
      <c r="BI15" s="190">
        <v>3076</v>
      </c>
      <c r="BJ15" s="190">
        <v>3330</v>
      </c>
      <c r="BK15" s="190">
        <v>-210</v>
      </c>
      <c r="BL15" s="190">
        <v>210</v>
      </c>
      <c r="BM15" s="190">
        <v>0</v>
      </c>
      <c r="BN15" s="190">
        <v>8</v>
      </c>
      <c r="BO15" s="190">
        <v>29</v>
      </c>
      <c r="BP15" s="190">
        <v>37</v>
      </c>
      <c r="BQ15" s="190">
        <v>0</v>
      </c>
      <c r="BR15" s="190">
        <v>18</v>
      </c>
      <c r="BS15" s="190">
        <v>18</v>
      </c>
      <c r="BT15" s="190">
        <v>6</v>
      </c>
      <c r="BU15" s="190">
        <v>52</v>
      </c>
      <c r="BV15" s="190">
        <v>58</v>
      </c>
      <c r="BW15" s="190">
        <v>12241</v>
      </c>
      <c r="BX15" s="190">
        <v>81770</v>
      </c>
      <c r="BY15" s="190">
        <v>94011</v>
      </c>
      <c r="BZ15" s="190">
        <v>12044</v>
      </c>
      <c r="CA15" s="190">
        <v>80882</v>
      </c>
      <c r="CB15" s="190">
        <v>92926</v>
      </c>
      <c r="CC15" s="190">
        <v>216656</v>
      </c>
      <c r="CD15" s="190">
        <v>65</v>
      </c>
      <c r="CE15" s="190">
        <v>925</v>
      </c>
      <c r="CF15" s="190">
        <v>181</v>
      </c>
      <c r="CG15" s="190">
        <v>673</v>
      </c>
      <c r="CH15" s="190">
        <v>854</v>
      </c>
      <c r="CI15" s="190">
        <v>262</v>
      </c>
      <c r="CJ15" s="190">
        <v>36</v>
      </c>
      <c r="CK15" s="190">
        <v>16</v>
      </c>
      <c r="CL15" s="190">
        <v>215</v>
      </c>
      <c r="CM15" s="190">
        <v>231</v>
      </c>
      <c r="CN15" s="190">
        <v>609</v>
      </c>
      <c r="CO15" s="190">
        <v>6662</v>
      </c>
      <c r="CP15" s="190">
        <v>7271</v>
      </c>
      <c r="CQ15" s="190">
        <v>0</v>
      </c>
      <c r="CR15" s="190">
        <v>42</v>
      </c>
      <c r="CS15" s="190">
        <v>42</v>
      </c>
      <c r="CT15" s="190">
        <v>11632</v>
      </c>
      <c r="CU15" s="190">
        <v>75108</v>
      </c>
      <c r="CV15" s="190">
        <v>86740</v>
      </c>
      <c r="CW15" s="190">
        <v>1063</v>
      </c>
      <c r="CX15" s="190">
        <v>5870</v>
      </c>
      <c r="CY15" s="190">
        <v>6933</v>
      </c>
      <c r="CZ15" s="190">
        <v>959</v>
      </c>
      <c r="DA15" s="190">
        <v>21</v>
      </c>
      <c r="DB15" s="190">
        <v>2</v>
      </c>
      <c r="DC15" s="190">
        <v>4947</v>
      </c>
      <c r="DD15" s="190">
        <v>46</v>
      </c>
      <c r="DE15" s="190">
        <v>10</v>
      </c>
      <c r="DF15" s="190">
        <v>982</v>
      </c>
      <c r="DG15" s="190">
        <v>5003</v>
      </c>
      <c r="DH15" s="190">
        <v>5985</v>
      </c>
      <c r="DI15" s="190">
        <v>81</v>
      </c>
      <c r="DJ15" s="190">
        <v>0</v>
      </c>
      <c r="DK15" s="190">
        <v>0</v>
      </c>
      <c r="DL15" s="190">
        <v>855</v>
      </c>
      <c r="DM15" s="190">
        <v>10</v>
      </c>
      <c r="DN15" s="190">
        <v>2</v>
      </c>
      <c r="DO15" s="190">
        <v>81</v>
      </c>
      <c r="DP15" s="190">
        <v>867</v>
      </c>
      <c r="DQ15" s="190">
        <v>948</v>
      </c>
      <c r="DR15" s="190">
        <v>8</v>
      </c>
      <c r="DS15" s="190">
        <v>45</v>
      </c>
      <c r="DT15" s="191">
        <v>53</v>
      </c>
    </row>
    <row r="16" spans="1:129" s="172" customFormat="1">
      <c r="A16" s="189" t="s">
        <v>281</v>
      </c>
      <c r="B16" s="190">
        <v>109</v>
      </c>
      <c r="C16" s="190">
        <v>16</v>
      </c>
      <c r="D16" s="190">
        <v>108</v>
      </c>
      <c r="E16" s="190">
        <v>66</v>
      </c>
      <c r="F16" s="190">
        <v>0</v>
      </c>
      <c r="G16" s="190">
        <v>1</v>
      </c>
      <c r="H16" s="190">
        <v>1</v>
      </c>
      <c r="I16" s="190">
        <v>0</v>
      </c>
      <c r="J16" s="190">
        <v>34</v>
      </c>
      <c r="K16" s="190">
        <v>34</v>
      </c>
      <c r="L16" s="190">
        <v>0</v>
      </c>
      <c r="M16" s="190">
        <v>9</v>
      </c>
      <c r="N16" s="190">
        <v>9</v>
      </c>
      <c r="O16" s="190">
        <v>0</v>
      </c>
      <c r="P16" s="190">
        <v>25</v>
      </c>
      <c r="Q16" s="190">
        <v>25</v>
      </c>
      <c r="R16" s="190">
        <v>0</v>
      </c>
      <c r="S16" s="190">
        <v>0</v>
      </c>
      <c r="T16" s="190">
        <v>0</v>
      </c>
      <c r="U16" s="190">
        <v>0</v>
      </c>
      <c r="V16" s="190">
        <v>8</v>
      </c>
      <c r="W16" s="190">
        <v>8</v>
      </c>
      <c r="X16" s="190">
        <v>2</v>
      </c>
      <c r="Y16" s="190">
        <v>106</v>
      </c>
      <c r="Z16" s="190">
        <v>108</v>
      </c>
      <c r="AA16" s="190">
        <v>0</v>
      </c>
      <c r="AB16" s="190">
        <v>41</v>
      </c>
      <c r="AC16" s="190">
        <v>41</v>
      </c>
      <c r="AD16" s="190">
        <v>0</v>
      </c>
      <c r="AE16" s="190">
        <v>35</v>
      </c>
      <c r="AF16" s="190">
        <v>35</v>
      </c>
      <c r="AG16" s="190">
        <v>0</v>
      </c>
      <c r="AH16" s="190">
        <v>1</v>
      </c>
      <c r="AI16" s="190">
        <v>1</v>
      </c>
      <c r="AJ16" s="190">
        <v>0</v>
      </c>
      <c r="AK16" s="190">
        <v>5</v>
      </c>
      <c r="AL16" s="190">
        <v>5</v>
      </c>
      <c r="AM16" s="190">
        <v>2</v>
      </c>
      <c r="AN16" s="190">
        <v>65</v>
      </c>
      <c r="AO16" s="190">
        <v>67</v>
      </c>
      <c r="AP16" s="190">
        <v>222</v>
      </c>
      <c r="AQ16" s="190">
        <v>1275</v>
      </c>
      <c r="AR16" s="190">
        <v>1497</v>
      </c>
      <c r="AS16" s="190">
        <v>222</v>
      </c>
      <c r="AT16" s="190">
        <v>1275</v>
      </c>
      <c r="AU16" s="190">
        <v>1497</v>
      </c>
      <c r="AV16" s="190">
        <v>0</v>
      </c>
      <c r="AW16" s="190">
        <v>0</v>
      </c>
      <c r="AX16" s="190">
        <v>0</v>
      </c>
      <c r="AY16" s="190">
        <v>-2</v>
      </c>
      <c r="AZ16" s="190">
        <v>111</v>
      </c>
      <c r="BA16" s="190">
        <v>109</v>
      </c>
      <c r="BB16" s="190">
        <v>2</v>
      </c>
      <c r="BC16" s="190">
        <v>0</v>
      </c>
      <c r="BD16" s="190">
        <v>0</v>
      </c>
      <c r="BE16" s="190">
        <v>64</v>
      </c>
      <c r="BF16" s="190">
        <v>0</v>
      </c>
      <c r="BG16" s="190">
        <v>0</v>
      </c>
      <c r="BH16" s="190">
        <v>2</v>
      </c>
      <c r="BI16" s="190">
        <v>64</v>
      </c>
      <c r="BJ16" s="190">
        <v>66</v>
      </c>
      <c r="BK16" s="190">
        <v>-10</v>
      </c>
      <c r="BL16" s="190">
        <v>10</v>
      </c>
      <c r="BM16" s="190">
        <v>0</v>
      </c>
      <c r="BN16" s="190">
        <v>1</v>
      </c>
      <c r="BO16" s="190">
        <v>2</v>
      </c>
      <c r="BP16" s="190">
        <v>3</v>
      </c>
      <c r="BQ16" s="190">
        <v>0</v>
      </c>
      <c r="BR16" s="190">
        <v>10</v>
      </c>
      <c r="BS16" s="190">
        <v>10</v>
      </c>
      <c r="BT16" s="190">
        <v>5</v>
      </c>
      <c r="BU16" s="190">
        <v>25</v>
      </c>
      <c r="BV16" s="190">
        <v>30</v>
      </c>
      <c r="BW16" s="190">
        <v>220</v>
      </c>
      <c r="BX16" s="190">
        <v>1386</v>
      </c>
      <c r="BY16" s="190">
        <v>1606</v>
      </c>
      <c r="BZ16" s="190">
        <v>219</v>
      </c>
      <c r="CA16" s="190">
        <v>1375</v>
      </c>
      <c r="CB16" s="190">
        <v>1594</v>
      </c>
      <c r="CC16" s="190">
        <v>3738</v>
      </c>
      <c r="CD16" s="190">
        <v>0</v>
      </c>
      <c r="CE16" s="190">
        <v>12</v>
      </c>
      <c r="CF16" s="190">
        <v>1</v>
      </c>
      <c r="CG16" s="190">
        <v>11</v>
      </c>
      <c r="CH16" s="190">
        <v>12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7</v>
      </c>
      <c r="CO16" s="190">
        <v>108</v>
      </c>
      <c r="CP16" s="190">
        <v>115</v>
      </c>
      <c r="CQ16" s="190">
        <v>0</v>
      </c>
      <c r="CR16" s="190">
        <v>0</v>
      </c>
      <c r="CS16" s="190">
        <v>0</v>
      </c>
      <c r="CT16" s="190">
        <v>213</v>
      </c>
      <c r="CU16" s="190">
        <v>1278</v>
      </c>
      <c r="CV16" s="190">
        <v>1491</v>
      </c>
      <c r="CW16" s="190">
        <v>23</v>
      </c>
      <c r="CX16" s="190">
        <v>62</v>
      </c>
      <c r="CY16" s="190">
        <v>85</v>
      </c>
      <c r="CZ16" s="190">
        <v>23</v>
      </c>
      <c r="DA16" s="190">
        <v>0</v>
      </c>
      <c r="DB16" s="190">
        <v>0</v>
      </c>
      <c r="DC16" s="190">
        <v>60</v>
      </c>
      <c r="DD16" s="190">
        <v>1</v>
      </c>
      <c r="DE16" s="190">
        <v>0</v>
      </c>
      <c r="DF16" s="190">
        <v>23</v>
      </c>
      <c r="DG16" s="190">
        <v>61</v>
      </c>
      <c r="DH16" s="190">
        <v>84</v>
      </c>
      <c r="DI16" s="190">
        <v>0</v>
      </c>
      <c r="DJ16" s="190">
        <v>0</v>
      </c>
      <c r="DK16" s="190">
        <v>0</v>
      </c>
      <c r="DL16" s="190">
        <v>1</v>
      </c>
      <c r="DM16" s="190">
        <v>0</v>
      </c>
      <c r="DN16" s="190">
        <v>0</v>
      </c>
      <c r="DO16" s="190">
        <v>0</v>
      </c>
      <c r="DP16" s="190">
        <v>1</v>
      </c>
      <c r="DQ16" s="190">
        <v>1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1323</v>
      </c>
      <c r="C17" s="190">
        <v>303</v>
      </c>
      <c r="D17" s="190">
        <v>1167</v>
      </c>
      <c r="E17" s="190">
        <v>633</v>
      </c>
      <c r="F17" s="190">
        <v>1</v>
      </c>
      <c r="G17" s="190">
        <v>2</v>
      </c>
      <c r="H17" s="190">
        <v>3</v>
      </c>
      <c r="I17" s="190">
        <v>1</v>
      </c>
      <c r="J17" s="190">
        <v>490</v>
      </c>
      <c r="K17" s="190">
        <v>491</v>
      </c>
      <c r="L17" s="190">
        <v>1</v>
      </c>
      <c r="M17" s="190">
        <v>155</v>
      </c>
      <c r="N17" s="190">
        <v>156</v>
      </c>
      <c r="O17" s="190">
        <v>0</v>
      </c>
      <c r="P17" s="190">
        <v>335</v>
      </c>
      <c r="Q17" s="190">
        <v>335</v>
      </c>
      <c r="R17" s="190">
        <v>0</v>
      </c>
      <c r="S17" s="190">
        <v>5</v>
      </c>
      <c r="T17" s="190">
        <v>5</v>
      </c>
      <c r="U17" s="190">
        <v>0</v>
      </c>
      <c r="V17" s="190">
        <v>43</v>
      </c>
      <c r="W17" s="190">
        <v>43</v>
      </c>
      <c r="X17" s="190">
        <v>23</v>
      </c>
      <c r="Y17" s="190">
        <v>948</v>
      </c>
      <c r="Z17" s="190">
        <v>971</v>
      </c>
      <c r="AA17" s="190">
        <v>19</v>
      </c>
      <c r="AB17" s="190">
        <v>449</v>
      </c>
      <c r="AC17" s="190">
        <v>468</v>
      </c>
      <c r="AD17" s="190">
        <v>19</v>
      </c>
      <c r="AE17" s="190">
        <v>430</v>
      </c>
      <c r="AF17" s="190">
        <v>449</v>
      </c>
      <c r="AG17" s="190">
        <v>0</v>
      </c>
      <c r="AH17" s="190">
        <v>16</v>
      </c>
      <c r="AI17" s="190">
        <v>16</v>
      </c>
      <c r="AJ17" s="190">
        <v>0</v>
      </c>
      <c r="AK17" s="190">
        <v>3</v>
      </c>
      <c r="AL17" s="190">
        <v>3</v>
      </c>
      <c r="AM17" s="190">
        <v>4</v>
      </c>
      <c r="AN17" s="190">
        <v>499</v>
      </c>
      <c r="AO17" s="190">
        <v>503</v>
      </c>
      <c r="AP17" s="190">
        <v>879</v>
      </c>
      <c r="AQ17" s="190">
        <v>10682</v>
      </c>
      <c r="AR17" s="190">
        <v>11561</v>
      </c>
      <c r="AS17" s="190">
        <v>879</v>
      </c>
      <c r="AT17" s="190">
        <v>10682</v>
      </c>
      <c r="AU17" s="190">
        <v>11561</v>
      </c>
      <c r="AV17" s="190">
        <v>0</v>
      </c>
      <c r="AW17" s="190">
        <v>0</v>
      </c>
      <c r="AX17" s="190">
        <v>0</v>
      </c>
      <c r="AY17" s="190">
        <v>54</v>
      </c>
      <c r="AZ17" s="190">
        <v>1113</v>
      </c>
      <c r="BA17" s="190">
        <v>1167</v>
      </c>
      <c r="BB17" s="190">
        <v>21</v>
      </c>
      <c r="BC17" s="190">
        <v>0</v>
      </c>
      <c r="BD17" s="190">
        <v>0</v>
      </c>
      <c r="BE17" s="190">
        <v>609</v>
      </c>
      <c r="BF17" s="190">
        <v>1</v>
      </c>
      <c r="BG17" s="190">
        <v>2</v>
      </c>
      <c r="BH17" s="190">
        <v>21</v>
      </c>
      <c r="BI17" s="190">
        <v>612</v>
      </c>
      <c r="BJ17" s="190">
        <v>633</v>
      </c>
      <c r="BK17" s="190">
        <v>0</v>
      </c>
      <c r="BL17" s="190">
        <v>0</v>
      </c>
      <c r="BM17" s="190">
        <v>0</v>
      </c>
      <c r="BN17" s="190">
        <v>4</v>
      </c>
      <c r="BO17" s="190">
        <v>25</v>
      </c>
      <c r="BP17" s="190">
        <v>29</v>
      </c>
      <c r="BQ17" s="190">
        <v>2</v>
      </c>
      <c r="BR17" s="190">
        <v>102</v>
      </c>
      <c r="BS17" s="190">
        <v>104</v>
      </c>
      <c r="BT17" s="190">
        <v>27</v>
      </c>
      <c r="BU17" s="190">
        <v>374</v>
      </c>
      <c r="BV17" s="190">
        <v>401</v>
      </c>
      <c r="BW17" s="190">
        <v>933</v>
      </c>
      <c r="BX17" s="190">
        <v>11795</v>
      </c>
      <c r="BY17" s="190">
        <v>12728</v>
      </c>
      <c r="BZ17" s="190">
        <v>933</v>
      </c>
      <c r="CA17" s="190">
        <v>11757</v>
      </c>
      <c r="CB17" s="190">
        <v>12690</v>
      </c>
      <c r="CC17" s="190">
        <v>21483</v>
      </c>
      <c r="CD17" s="190">
        <v>9</v>
      </c>
      <c r="CE17" s="190">
        <v>25</v>
      </c>
      <c r="CF17" s="190">
        <v>0</v>
      </c>
      <c r="CG17" s="190">
        <v>29</v>
      </c>
      <c r="CH17" s="190">
        <v>29</v>
      </c>
      <c r="CI17" s="190">
        <v>8</v>
      </c>
      <c r="CJ17" s="190">
        <v>3</v>
      </c>
      <c r="CK17" s="190">
        <v>0</v>
      </c>
      <c r="CL17" s="190">
        <v>9</v>
      </c>
      <c r="CM17" s="190">
        <v>9</v>
      </c>
      <c r="CN17" s="190">
        <v>50</v>
      </c>
      <c r="CO17" s="190">
        <v>1263</v>
      </c>
      <c r="CP17" s="190">
        <v>1313</v>
      </c>
      <c r="CQ17" s="190">
        <v>0</v>
      </c>
      <c r="CR17" s="190">
        <v>0</v>
      </c>
      <c r="CS17" s="190">
        <v>0</v>
      </c>
      <c r="CT17" s="190">
        <v>883</v>
      </c>
      <c r="CU17" s="190">
        <v>10532</v>
      </c>
      <c r="CV17" s="190">
        <v>11415</v>
      </c>
      <c r="CW17" s="190">
        <v>61</v>
      </c>
      <c r="CX17" s="190">
        <v>460</v>
      </c>
      <c r="CY17" s="190">
        <v>521</v>
      </c>
      <c r="CZ17" s="190">
        <v>61</v>
      </c>
      <c r="DA17" s="190">
        <v>0</v>
      </c>
      <c r="DB17" s="190">
        <v>0</v>
      </c>
      <c r="DC17" s="190">
        <v>453</v>
      </c>
      <c r="DD17" s="190">
        <v>2</v>
      </c>
      <c r="DE17" s="190">
        <v>1</v>
      </c>
      <c r="DF17" s="190">
        <v>61</v>
      </c>
      <c r="DG17" s="190">
        <v>456</v>
      </c>
      <c r="DH17" s="190">
        <v>517</v>
      </c>
      <c r="DI17" s="190">
        <v>0</v>
      </c>
      <c r="DJ17" s="190">
        <v>0</v>
      </c>
      <c r="DK17" s="190">
        <v>0</v>
      </c>
      <c r="DL17" s="190">
        <v>4</v>
      </c>
      <c r="DM17" s="190">
        <v>0</v>
      </c>
      <c r="DN17" s="190">
        <v>0</v>
      </c>
      <c r="DO17" s="190">
        <v>0</v>
      </c>
      <c r="DP17" s="190">
        <v>4</v>
      </c>
      <c r="DQ17" s="190">
        <v>4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1396</v>
      </c>
      <c r="C18" s="190">
        <v>166</v>
      </c>
      <c r="D18" s="190">
        <v>1328</v>
      </c>
      <c r="E18" s="190">
        <v>907</v>
      </c>
      <c r="F18" s="190">
        <v>0</v>
      </c>
      <c r="G18" s="190">
        <v>27</v>
      </c>
      <c r="H18" s="190">
        <v>27</v>
      </c>
      <c r="I18" s="190">
        <v>0</v>
      </c>
      <c r="J18" s="190">
        <v>372</v>
      </c>
      <c r="K18" s="190">
        <v>372</v>
      </c>
      <c r="L18" s="190">
        <v>0</v>
      </c>
      <c r="M18" s="190">
        <v>201</v>
      </c>
      <c r="N18" s="190">
        <v>201</v>
      </c>
      <c r="O18" s="190">
        <v>0</v>
      </c>
      <c r="P18" s="190">
        <v>171</v>
      </c>
      <c r="Q18" s="190">
        <v>171</v>
      </c>
      <c r="R18" s="190">
        <v>0</v>
      </c>
      <c r="S18" s="190">
        <v>12</v>
      </c>
      <c r="T18" s="190">
        <v>12</v>
      </c>
      <c r="U18" s="190">
        <v>0</v>
      </c>
      <c r="V18" s="190">
        <v>49</v>
      </c>
      <c r="W18" s="190">
        <v>49</v>
      </c>
      <c r="X18" s="190">
        <v>52</v>
      </c>
      <c r="Y18" s="190">
        <v>1275</v>
      </c>
      <c r="Z18" s="190">
        <v>1327</v>
      </c>
      <c r="AA18" s="190">
        <v>40</v>
      </c>
      <c r="AB18" s="190">
        <v>520</v>
      </c>
      <c r="AC18" s="190">
        <v>560</v>
      </c>
      <c r="AD18" s="190">
        <v>37</v>
      </c>
      <c r="AE18" s="190">
        <v>476</v>
      </c>
      <c r="AF18" s="190">
        <v>513</v>
      </c>
      <c r="AG18" s="190">
        <v>3</v>
      </c>
      <c r="AH18" s="190">
        <v>28</v>
      </c>
      <c r="AI18" s="190">
        <v>31</v>
      </c>
      <c r="AJ18" s="190">
        <v>0</v>
      </c>
      <c r="AK18" s="190">
        <v>16</v>
      </c>
      <c r="AL18" s="190">
        <v>16</v>
      </c>
      <c r="AM18" s="190">
        <v>12</v>
      </c>
      <c r="AN18" s="190">
        <v>755</v>
      </c>
      <c r="AO18" s="190">
        <v>767</v>
      </c>
      <c r="AP18" s="190">
        <v>2201</v>
      </c>
      <c r="AQ18" s="190">
        <v>14332</v>
      </c>
      <c r="AR18" s="190">
        <v>16533</v>
      </c>
      <c r="AS18" s="190">
        <v>2201</v>
      </c>
      <c r="AT18" s="190">
        <v>14333</v>
      </c>
      <c r="AU18" s="190">
        <v>16534</v>
      </c>
      <c r="AV18" s="190">
        <v>0</v>
      </c>
      <c r="AW18" s="190">
        <v>-1</v>
      </c>
      <c r="AX18" s="190">
        <v>-1</v>
      </c>
      <c r="AY18" s="190">
        <v>115</v>
      </c>
      <c r="AZ18" s="190">
        <v>1229</v>
      </c>
      <c r="BA18" s="190">
        <v>1344</v>
      </c>
      <c r="BB18" s="190">
        <v>69</v>
      </c>
      <c r="BC18" s="190">
        <v>0</v>
      </c>
      <c r="BD18" s="190">
        <v>0</v>
      </c>
      <c r="BE18" s="190">
        <v>813</v>
      </c>
      <c r="BF18" s="190">
        <v>21</v>
      </c>
      <c r="BG18" s="190">
        <v>4</v>
      </c>
      <c r="BH18" s="190">
        <v>69</v>
      </c>
      <c r="BI18" s="190">
        <v>838</v>
      </c>
      <c r="BJ18" s="190">
        <v>907</v>
      </c>
      <c r="BK18" s="190">
        <v>-17</v>
      </c>
      <c r="BL18" s="190">
        <v>17</v>
      </c>
      <c r="BM18" s="190">
        <v>0</v>
      </c>
      <c r="BN18" s="190">
        <v>3</v>
      </c>
      <c r="BO18" s="190">
        <v>10</v>
      </c>
      <c r="BP18" s="190">
        <v>13</v>
      </c>
      <c r="BQ18" s="190">
        <v>7</v>
      </c>
      <c r="BR18" s="190">
        <v>111</v>
      </c>
      <c r="BS18" s="190">
        <v>118</v>
      </c>
      <c r="BT18" s="190">
        <v>53</v>
      </c>
      <c r="BU18" s="190">
        <v>253</v>
      </c>
      <c r="BV18" s="190">
        <v>306</v>
      </c>
      <c r="BW18" s="190">
        <v>2316</v>
      </c>
      <c r="BX18" s="190">
        <v>15561</v>
      </c>
      <c r="BY18" s="190">
        <v>17877</v>
      </c>
      <c r="BZ18" s="190">
        <v>2284</v>
      </c>
      <c r="CA18" s="190">
        <v>15182</v>
      </c>
      <c r="CB18" s="190">
        <v>17466</v>
      </c>
      <c r="CC18" s="190">
        <v>42928</v>
      </c>
      <c r="CD18" s="190">
        <v>33</v>
      </c>
      <c r="CE18" s="190">
        <v>354</v>
      </c>
      <c r="CF18" s="190">
        <v>28</v>
      </c>
      <c r="CG18" s="190">
        <v>322</v>
      </c>
      <c r="CH18" s="190">
        <v>350</v>
      </c>
      <c r="CI18" s="190">
        <v>60</v>
      </c>
      <c r="CJ18" s="190">
        <v>9</v>
      </c>
      <c r="CK18" s="190">
        <v>4</v>
      </c>
      <c r="CL18" s="190">
        <v>57</v>
      </c>
      <c r="CM18" s="190">
        <v>61</v>
      </c>
      <c r="CN18" s="190">
        <v>97</v>
      </c>
      <c r="CO18" s="190">
        <v>1009</v>
      </c>
      <c r="CP18" s="190">
        <v>1106</v>
      </c>
      <c r="CQ18" s="190">
        <v>0</v>
      </c>
      <c r="CR18" s="190">
        <v>0</v>
      </c>
      <c r="CS18" s="190">
        <v>0</v>
      </c>
      <c r="CT18" s="190">
        <v>2219</v>
      </c>
      <c r="CU18" s="190">
        <v>14552</v>
      </c>
      <c r="CV18" s="190">
        <v>16771</v>
      </c>
      <c r="CW18" s="190">
        <v>160</v>
      </c>
      <c r="CX18" s="190">
        <v>945</v>
      </c>
      <c r="CY18" s="190">
        <v>1105</v>
      </c>
      <c r="CZ18" s="190">
        <v>160</v>
      </c>
      <c r="DA18" s="190">
        <v>0</v>
      </c>
      <c r="DB18" s="190">
        <v>0</v>
      </c>
      <c r="DC18" s="190">
        <v>909</v>
      </c>
      <c r="DD18" s="190">
        <v>25</v>
      </c>
      <c r="DE18" s="190">
        <v>2</v>
      </c>
      <c r="DF18" s="190">
        <v>160</v>
      </c>
      <c r="DG18" s="190">
        <v>936</v>
      </c>
      <c r="DH18" s="190">
        <v>1096</v>
      </c>
      <c r="DI18" s="190">
        <v>0</v>
      </c>
      <c r="DJ18" s="190">
        <v>0</v>
      </c>
      <c r="DK18" s="190">
        <v>0</v>
      </c>
      <c r="DL18" s="190">
        <v>9</v>
      </c>
      <c r="DM18" s="190">
        <v>0</v>
      </c>
      <c r="DN18" s="190">
        <v>0</v>
      </c>
      <c r="DO18" s="190">
        <v>0</v>
      </c>
      <c r="DP18" s="190">
        <v>9</v>
      </c>
      <c r="DQ18" s="190">
        <v>9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64</v>
      </c>
      <c r="C19" s="190">
        <v>7</v>
      </c>
      <c r="D19" s="190">
        <v>70</v>
      </c>
      <c r="E19" s="190">
        <v>40</v>
      </c>
      <c r="F19" s="190">
        <v>0</v>
      </c>
      <c r="G19" s="190">
        <v>0</v>
      </c>
      <c r="H19" s="190">
        <v>0</v>
      </c>
      <c r="I19" s="190">
        <v>0</v>
      </c>
      <c r="J19" s="190">
        <v>28</v>
      </c>
      <c r="K19" s="190">
        <v>28</v>
      </c>
      <c r="L19" s="190">
        <v>0</v>
      </c>
      <c r="M19" s="190">
        <v>14</v>
      </c>
      <c r="N19" s="190">
        <v>14</v>
      </c>
      <c r="O19" s="190">
        <v>0</v>
      </c>
      <c r="P19" s="190">
        <v>14</v>
      </c>
      <c r="Q19" s="190">
        <v>14</v>
      </c>
      <c r="R19" s="190">
        <v>0</v>
      </c>
      <c r="S19" s="190">
        <v>0</v>
      </c>
      <c r="T19" s="190">
        <v>0</v>
      </c>
      <c r="U19" s="190">
        <v>0</v>
      </c>
      <c r="V19" s="190">
        <v>2</v>
      </c>
      <c r="W19" s="190">
        <v>2</v>
      </c>
      <c r="X19" s="190">
        <v>1</v>
      </c>
      <c r="Y19" s="190">
        <v>69</v>
      </c>
      <c r="Z19" s="190">
        <v>70</v>
      </c>
      <c r="AA19" s="190">
        <v>0</v>
      </c>
      <c r="AB19" s="190">
        <v>25</v>
      </c>
      <c r="AC19" s="190">
        <v>25</v>
      </c>
      <c r="AD19" s="190">
        <v>0</v>
      </c>
      <c r="AE19" s="190">
        <v>25</v>
      </c>
      <c r="AF19" s="190">
        <v>25</v>
      </c>
      <c r="AG19" s="190">
        <v>0</v>
      </c>
      <c r="AH19" s="190">
        <v>0</v>
      </c>
      <c r="AI19" s="190">
        <v>0</v>
      </c>
      <c r="AJ19" s="190">
        <v>0</v>
      </c>
      <c r="AK19" s="190">
        <v>0</v>
      </c>
      <c r="AL19" s="190">
        <v>0</v>
      </c>
      <c r="AM19" s="190">
        <v>1</v>
      </c>
      <c r="AN19" s="190">
        <v>44</v>
      </c>
      <c r="AO19" s="190">
        <v>45</v>
      </c>
      <c r="AP19" s="190">
        <v>93</v>
      </c>
      <c r="AQ19" s="190">
        <v>908</v>
      </c>
      <c r="AR19" s="190">
        <v>1001</v>
      </c>
      <c r="AS19" s="190">
        <v>93</v>
      </c>
      <c r="AT19" s="190">
        <v>908</v>
      </c>
      <c r="AU19" s="190">
        <v>1001</v>
      </c>
      <c r="AV19" s="190">
        <v>0</v>
      </c>
      <c r="AW19" s="190">
        <v>0</v>
      </c>
      <c r="AX19" s="190">
        <v>0</v>
      </c>
      <c r="AY19" s="190">
        <v>1</v>
      </c>
      <c r="AZ19" s="190">
        <v>70</v>
      </c>
      <c r="BA19" s="190">
        <v>71</v>
      </c>
      <c r="BB19" s="190">
        <v>1</v>
      </c>
      <c r="BC19" s="190">
        <v>0</v>
      </c>
      <c r="BD19" s="190">
        <v>0</v>
      </c>
      <c r="BE19" s="190">
        <v>39</v>
      </c>
      <c r="BF19" s="190">
        <v>0</v>
      </c>
      <c r="BG19" s="190">
        <v>0</v>
      </c>
      <c r="BH19" s="190">
        <v>1</v>
      </c>
      <c r="BI19" s="190">
        <v>39</v>
      </c>
      <c r="BJ19" s="190">
        <v>40</v>
      </c>
      <c r="BK19" s="190">
        <v>-4</v>
      </c>
      <c r="BL19" s="190">
        <v>4</v>
      </c>
      <c r="BM19" s="190">
        <v>0</v>
      </c>
      <c r="BN19" s="190">
        <v>0</v>
      </c>
      <c r="BO19" s="190">
        <v>4</v>
      </c>
      <c r="BP19" s="190">
        <v>4</v>
      </c>
      <c r="BQ19" s="190">
        <v>1</v>
      </c>
      <c r="BR19" s="190">
        <v>9</v>
      </c>
      <c r="BS19" s="190">
        <v>10</v>
      </c>
      <c r="BT19" s="190">
        <v>3</v>
      </c>
      <c r="BU19" s="190">
        <v>14</v>
      </c>
      <c r="BV19" s="190">
        <v>17</v>
      </c>
      <c r="BW19" s="190">
        <v>94</v>
      </c>
      <c r="BX19" s="190">
        <v>978</v>
      </c>
      <c r="BY19" s="190">
        <v>1072</v>
      </c>
      <c r="BZ19" s="190">
        <v>93</v>
      </c>
      <c r="CA19" s="190">
        <v>972</v>
      </c>
      <c r="CB19" s="190">
        <v>1065</v>
      </c>
      <c r="CC19" s="190">
        <v>2061</v>
      </c>
      <c r="CD19" s="190">
        <v>1</v>
      </c>
      <c r="CE19" s="190">
        <v>6</v>
      </c>
      <c r="CF19" s="190">
        <v>0</v>
      </c>
      <c r="CG19" s="190">
        <v>6</v>
      </c>
      <c r="CH19" s="190">
        <v>6</v>
      </c>
      <c r="CI19" s="190">
        <v>1</v>
      </c>
      <c r="CJ19" s="190">
        <v>0</v>
      </c>
      <c r="CK19" s="190">
        <v>1</v>
      </c>
      <c r="CL19" s="190">
        <v>0</v>
      </c>
      <c r="CM19" s="190">
        <v>1</v>
      </c>
      <c r="CN19" s="190">
        <v>7</v>
      </c>
      <c r="CO19" s="190">
        <v>87</v>
      </c>
      <c r="CP19" s="190">
        <v>94</v>
      </c>
      <c r="CQ19" s="190">
        <v>0</v>
      </c>
      <c r="CR19" s="190">
        <v>0</v>
      </c>
      <c r="CS19" s="190">
        <v>0</v>
      </c>
      <c r="CT19" s="190">
        <v>87</v>
      </c>
      <c r="CU19" s="190">
        <v>891</v>
      </c>
      <c r="CV19" s="190">
        <v>978</v>
      </c>
      <c r="CW19" s="190">
        <v>9</v>
      </c>
      <c r="CX19" s="190">
        <v>35</v>
      </c>
      <c r="CY19" s="190">
        <v>44</v>
      </c>
      <c r="CZ19" s="190">
        <v>8</v>
      </c>
      <c r="DA19" s="190">
        <v>0</v>
      </c>
      <c r="DB19" s="190">
        <v>1</v>
      </c>
      <c r="DC19" s="190">
        <v>34</v>
      </c>
      <c r="DD19" s="190">
        <v>0</v>
      </c>
      <c r="DE19" s="190">
        <v>0</v>
      </c>
      <c r="DF19" s="190">
        <v>9</v>
      </c>
      <c r="DG19" s="190">
        <v>34</v>
      </c>
      <c r="DH19" s="190">
        <v>43</v>
      </c>
      <c r="DI19" s="190">
        <v>0</v>
      </c>
      <c r="DJ19" s="190">
        <v>0</v>
      </c>
      <c r="DK19" s="190">
        <v>0</v>
      </c>
      <c r="DL19" s="190">
        <v>1</v>
      </c>
      <c r="DM19" s="190">
        <v>0</v>
      </c>
      <c r="DN19" s="190">
        <v>0</v>
      </c>
      <c r="DO19" s="190">
        <v>0</v>
      </c>
      <c r="DP19" s="190">
        <v>1</v>
      </c>
      <c r="DQ19" s="190">
        <v>1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6746</v>
      </c>
      <c r="C20" s="190">
        <v>2016</v>
      </c>
      <c r="D20" s="190">
        <v>6433</v>
      </c>
      <c r="E20" s="190">
        <v>4097</v>
      </c>
      <c r="F20" s="190">
        <v>5</v>
      </c>
      <c r="G20" s="190">
        <v>53</v>
      </c>
      <c r="H20" s="190">
        <v>58</v>
      </c>
      <c r="I20" s="190">
        <v>1</v>
      </c>
      <c r="J20" s="190">
        <v>2033</v>
      </c>
      <c r="K20" s="190">
        <v>2034</v>
      </c>
      <c r="L20" s="190">
        <v>1</v>
      </c>
      <c r="M20" s="190">
        <v>972</v>
      </c>
      <c r="N20" s="190">
        <v>973</v>
      </c>
      <c r="O20" s="190">
        <v>0</v>
      </c>
      <c r="P20" s="190">
        <v>1061</v>
      </c>
      <c r="Q20" s="190">
        <v>1061</v>
      </c>
      <c r="R20" s="190">
        <v>0</v>
      </c>
      <c r="S20" s="190">
        <v>35</v>
      </c>
      <c r="T20" s="190">
        <v>35</v>
      </c>
      <c r="U20" s="190">
        <v>0</v>
      </c>
      <c r="V20" s="190">
        <v>302</v>
      </c>
      <c r="W20" s="190">
        <v>302</v>
      </c>
      <c r="X20" s="190">
        <v>189</v>
      </c>
      <c r="Y20" s="190">
        <v>6242</v>
      </c>
      <c r="Z20" s="190">
        <v>6431</v>
      </c>
      <c r="AA20" s="190">
        <v>127</v>
      </c>
      <c r="AB20" s="190">
        <v>2499</v>
      </c>
      <c r="AC20" s="190">
        <v>2626</v>
      </c>
      <c r="AD20" s="190">
        <v>120</v>
      </c>
      <c r="AE20" s="190">
        <v>2325</v>
      </c>
      <c r="AF20" s="190">
        <v>2445</v>
      </c>
      <c r="AG20" s="190">
        <v>4</v>
      </c>
      <c r="AH20" s="190">
        <v>127</v>
      </c>
      <c r="AI20" s="190">
        <v>131</v>
      </c>
      <c r="AJ20" s="190">
        <v>3</v>
      </c>
      <c r="AK20" s="190">
        <v>47</v>
      </c>
      <c r="AL20" s="190">
        <v>50</v>
      </c>
      <c r="AM20" s="190">
        <v>62</v>
      </c>
      <c r="AN20" s="190">
        <v>3743</v>
      </c>
      <c r="AO20" s="190">
        <v>3805</v>
      </c>
      <c r="AP20" s="190">
        <v>9632</v>
      </c>
      <c r="AQ20" s="190">
        <v>56397</v>
      </c>
      <c r="AR20" s="190">
        <v>66029</v>
      </c>
      <c r="AS20" s="190">
        <v>9633</v>
      </c>
      <c r="AT20" s="190">
        <v>56399</v>
      </c>
      <c r="AU20" s="190">
        <v>66032</v>
      </c>
      <c r="AV20" s="190">
        <v>-1</v>
      </c>
      <c r="AW20" s="190">
        <v>-2</v>
      </c>
      <c r="AX20" s="190">
        <v>-3</v>
      </c>
      <c r="AY20" s="190">
        <v>436</v>
      </c>
      <c r="AZ20" s="190">
        <v>5486</v>
      </c>
      <c r="BA20" s="190">
        <v>5922</v>
      </c>
      <c r="BB20" s="190">
        <v>245</v>
      </c>
      <c r="BC20" s="190">
        <v>1</v>
      </c>
      <c r="BD20" s="190">
        <v>0</v>
      </c>
      <c r="BE20" s="190">
        <v>3798</v>
      </c>
      <c r="BF20" s="190">
        <v>32</v>
      </c>
      <c r="BG20" s="190">
        <v>21</v>
      </c>
      <c r="BH20" s="190">
        <v>246</v>
      </c>
      <c r="BI20" s="190">
        <v>3851</v>
      </c>
      <c r="BJ20" s="190">
        <v>4097</v>
      </c>
      <c r="BK20" s="190">
        <v>-38</v>
      </c>
      <c r="BL20" s="190">
        <v>38</v>
      </c>
      <c r="BM20" s="190">
        <v>0</v>
      </c>
      <c r="BN20" s="190">
        <v>14</v>
      </c>
      <c r="BO20" s="190">
        <v>72</v>
      </c>
      <c r="BP20" s="190">
        <v>86</v>
      </c>
      <c r="BQ20" s="190">
        <v>68</v>
      </c>
      <c r="BR20" s="190">
        <v>416</v>
      </c>
      <c r="BS20" s="190">
        <v>484</v>
      </c>
      <c r="BT20" s="190">
        <v>146</v>
      </c>
      <c r="BU20" s="190">
        <v>1109</v>
      </c>
      <c r="BV20" s="190">
        <v>1255</v>
      </c>
      <c r="BW20" s="190">
        <v>10068</v>
      </c>
      <c r="BX20" s="190">
        <v>61883</v>
      </c>
      <c r="BY20" s="190">
        <v>71951</v>
      </c>
      <c r="BZ20" s="190">
        <v>10005</v>
      </c>
      <c r="CA20" s="190">
        <v>60861</v>
      </c>
      <c r="CB20" s="190">
        <v>70866</v>
      </c>
      <c r="CC20" s="190">
        <v>165160</v>
      </c>
      <c r="CD20" s="190">
        <v>54</v>
      </c>
      <c r="CE20" s="190">
        <v>864</v>
      </c>
      <c r="CF20" s="190">
        <v>62</v>
      </c>
      <c r="CG20" s="190">
        <v>777</v>
      </c>
      <c r="CH20" s="190">
        <v>839</v>
      </c>
      <c r="CI20" s="190">
        <v>311</v>
      </c>
      <c r="CJ20" s="190">
        <v>18</v>
      </c>
      <c r="CK20" s="190">
        <v>1</v>
      </c>
      <c r="CL20" s="190">
        <v>245</v>
      </c>
      <c r="CM20" s="190">
        <v>246</v>
      </c>
      <c r="CN20" s="190">
        <v>444</v>
      </c>
      <c r="CO20" s="190">
        <v>5628</v>
      </c>
      <c r="CP20" s="190">
        <v>6072</v>
      </c>
      <c r="CQ20" s="190">
        <v>0</v>
      </c>
      <c r="CR20" s="190">
        <v>2</v>
      </c>
      <c r="CS20" s="190">
        <v>2</v>
      </c>
      <c r="CT20" s="190">
        <v>9624</v>
      </c>
      <c r="CU20" s="190">
        <v>56255</v>
      </c>
      <c r="CV20" s="190">
        <v>65879</v>
      </c>
      <c r="CW20" s="190">
        <v>620</v>
      </c>
      <c r="CX20" s="190">
        <v>2571</v>
      </c>
      <c r="CY20" s="190">
        <v>3191</v>
      </c>
      <c r="CZ20" s="190">
        <v>616</v>
      </c>
      <c r="DA20" s="190">
        <v>2</v>
      </c>
      <c r="DB20" s="190">
        <v>0</v>
      </c>
      <c r="DC20" s="190">
        <v>2453</v>
      </c>
      <c r="DD20" s="190">
        <v>23</v>
      </c>
      <c r="DE20" s="190">
        <v>11</v>
      </c>
      <c r="DF20" s="190">
        <v>618</v>
      </c>
      <c r="DG20" s="190">
        <v>2487</v>
      </c>
      <c r="DH20" s="190">
        <v>3105</v>
      </c>
      <c r="DI20" s="190">
        <v>2</v>
      </c>
      <c r="DJ20" s="190">
        <v>0</v>
      </c>
      <c r="DK20" s="190">
        <v>0</v>
      </c>
      <c r="DL20" s="190">
        <v>81</v>
      </c>
      <c r="DM20" s="190">
        <v>3</v>
      </c>
      <c r="DN20" s="190">
        <v>0</v>
      </c>
      <c r="DO20" s="190">
        <v>2</v>
      </c>
      <c r="DP20" s="190">
        <v>84</v>
      </c>
      <c r="DQ20" s="190">
        <v>86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931</v>
      </c>
      <c r="C21" s="190">
        <v>143</v>
      </c>
      <c r="D21" s="190">
        <v>992</v>
      </c>
      <c r="E21" s="190">
        <v>651</v>
      </c>
      <c r="F21" s="190">
        <v>1</v>
      </c>
      <c r="G21" s="190">
        <v>2</v>
      </c>
      <c r="H21" s="190">
        <v>3</v>
      </c>
      <c r="I21" s="190">
        <v>0</v>
      </c>
      <c r="J21" s="190">
        <v>300</v>
      </c>
      <c r="K21" s="190">
        <v>300</v>
      </c>
      <c r="L21" s="190">
        <v>0</v>
      </c>
      <c r="M21" s="190">
        <v>167</v>
      </c>
      <c r="N21" s="190">
        <v>167</v>
      </c>
      <c r="O21" s="190">
        <v>0</v>
      </c>
      <c r="P21" s="190">
        <v>133</v>
      </c>
      <c r="Q21" s="190">
        <v>133</v>
      </c>
      <c r="R21" s="190">
        <v>0</v>
      </c>
      <c r="S21" s="190">
        <v>6</v>
      </c>
      <c r="T21" s="190">
        <v>6</v>
      </c>
      <c r="U21" s="190">
        <v>0</v>
      </c>
      <c r="V21" s="190">
        <v>41</v>
      </c>
      <c r="W21" s="190">
        <v>41</v>
      </c>
      <c r="X21" s="190">
        <v>45</v>
      </c>
      <c r="Y21" s="190">
        <v>947</v>
      </c>
      <c r="Z21" s="190">
        <v>992</v>
      </c>
      <c r="AA21" s="190">
        <v>24</v>
      </c>
      <c r="AB21" s="190">
        <v>391</v>
      </c>
      <c r="AC21" s="190">
        <v>415</v>
      </c>
      <c r="AD21" s="190">
        <v>24</v>
      </c>
      <c r="AE21" s="190">
        <v>374</v>
      </c>
      <c r="AF21" s="190">
        <v>398</v>
      </c>
      <c r="AG21" s="190">
        <v>0</v>
      </c>
      <c r="AH21" s="190">
        <v>9</v>
      </c>
      <c r="AI21" s="190">
        <v>9</v>
      </c>
      <c r="AJ21" s="190">
        <v>0</v>
      </c>
      <c r="AK21" s="190">
        <v>8</v>
      </c>
      <c r="AL21" s="190">
        <v>8</v>
      </c>
      <c r="AM21" s="190">
        <v>21</v>
      </c>
      <c r="AN21" s="190">
        <v>556</v>
      </c>
      <c r="AO21" s="190">
        <v>577</v>
      </c>
      <c r="AP21" s="190">
        <v>1371</v>
      </c>
      <c r="AQ21" s="190">
        <v>8675</v>
      </c>
      <c r="AR21" s="190">
        <v>10046</v>
      </c>
      <c r="AS21" s="190">
        <v>1371</v>
      </c>
      <c r="AT21" s="190">
        <v>8675</v>
      </c>
      <c r="AU21" s="190">
        <v>10046</v>
      </c>
      <c r="AV21" s="190">
        <v>0</v>
      </c>
      <c r="AW21" s="190">
        <v>0</v>
      </c>
      <c r="AX21" s="190">
        <v>0</v>
      </c>
      <c r="AY21" s="190">
        <v>80</v>
      </c>
      <c r="AZ21" s="190">
        <v>855</v>
      </c>
      <c r="BA21" s="190">
        <v>935</v>
      </c>
      <c r="BB21" s="190">
        <v>47</v>
      </c>
      <c r="BC21" s="190">
        <v>0</v>
      </c>
      <c r="BD21" s="190">
        <v>0</v>
      </c>
      <c r="BE21" s="190">
        <v>593</v>
      </c>
      <c r="BF21" s="190">
        <v>8</v>
      </c>
      <c r="BG21" s="190">
        <v>3</v>
      </c>
      <c r="BH21" s="190">
        <v>47</v>
      </c>
      <c r="BI21" s="190">
        <v>604</v>
      </c>
      <c r="BJ21" s="190">
        <v>651</v>
      </c>
      <c r="BK21" s="190">
        <v>0</v>
      </c>
      <c r="BL21" s="190">
        <v>0</v>
      </c>
      <c r="BM21" s="190">
        <v>0</v>
      </c>
      <c r="BN21" s="190">
        <v>0</v>
      </c>
      <c r="BO21" s="190">
        <v>13</v>
      </c>
      <c r="BP21" s="190">
        <v>13</v>
      </c>
      <c r="BQ21" s="190">
        <v>9</v>
      </c>
      <c r="BR21" s="190">
        <v>66</v>
      </c>
      <c r="BS21" s="190">
        <v>75</v>
      </c>
      <c r="BT21" s="190">
        <v>24</v>
      </c>
      <c r="BU21" s="190">
        <v>172</v>
      </c>
      <c r="BV21" s="190">
        <v>196</v>
      </c>
      <c r="BW21" s="190">
        <v>1451</v>
      </c>
      <c r="BX21" s="190">
        <v>9530</v>
      </c>
      <c r="BY21" s="190">
        <v>10981</v>
      </c>
      <c r="BZ21" s="190">
        <v>1434</v>
      </c>
      <c r="CA21" s="190">
        <v>9395</v>
      </c>
      <c r="CB21" s="190">
        <v>10829</v>
      </c>
      <c r="CC21" s="190">
        <v>24636</v>
      </c>
      <c r="CD21" s="190">
        <v>14</v>
      </c>
      <c r="CE21" s="190">
        <v>116</v>
      </c>
      <c r="CF21" s="190">
        <v>14</v>
      </c>
      <c r="CG21" s="190">
        <v>111</v>
      </c>
      <c r="CH21" s="190">
        <v>125</v>
      </c>
      <c r="CI21" s="190">
        <v>31</v>
      </c>
      <c r="CJ21" s="190">
        <v>2</v>
      </c>
      <c r="CK21" s="190">
        <v>3</v>
      </c>
      <c r="CL21" s="190">
        <v>24</v>
      </c>
      <c r="CM21" s="190">
        <v>27</v>
      </c>
      <c r="CN21" s="190">
        <v>53</v>
      </c>
      <c r="CO21" s="190">
        <v>811</v>
      </c>
      <c r="CP21" s="190">
        <v>864</v>
      </c>
      <c r="CQ21" s="190">
        <v>0</v>
      </c>
      <c r="CR21" s="190">
        <v>0</v>
      </c>
      <c r="CS21" s="190">
        <v>0</v>
      </c>
      <c r="CT21" s="190">
        <v>1398</v>
      </c>
      <c r="CU21" s="190">
        <v>8719</v>
      </c>
      <c r="CV21" s="190">
        <v>10117</v>
      </c>
      <c r="CW21" s="190">
        <v>105</v>
      </c>
      <c r="CX21" s="190">
        <v>413</v>
      </c>
      <c r="CY21" s="190">
        <v>518</v>
      </c>
      <c r="CZ21" s="190">
        <v>104</v>
      </c>
      <c r="DA21" s="190">
        <v>1</v>
      </c>
      <c r="DB21" s="190">
        <v>0</v>
      </c>
      <c r="DC21" s="190">
        <v>405</v>
      </c>
      <c r="DD21" s="190">
        <v>5</v>
      </c>
      <c r="DE21" s="190">
        <v>0</v>
      </c>
      <c r="DF21" s="190">
        <v>105</v>
      </c>
      <c r="DG21" s="190">
        <v>410</v>
      </c>
      <c r="DH21" s="190">
        <v>515</v>
      </c>
      <c r="DI21" s="190">
        <v>0</v>
      </c>
      <c r="DJ21" s="190">
        <v>0</v>
      </c>
      <c r="DK21" s="190">
        <v>0</v>
      </c>
      <c r="DL21" s="190">
        <v>3</v>
      </c>
      <c r="DM21" s="190">
        <v>0</v>
      </c>
      <c r="DN21" s="190">
        <v>0</v>
      </c>
      <c r="DO21" s="190">
        <v>0</v>
      </c>
      <c r="DP21" s="190">
        <v>3</v>
      </c>
      <c r="DQ21" s="190">
        <v>3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471</v>
      </c>
      <c r="C22" s="190">
        <v>74</v>
      </c>
      <c r="D22" s="190">
        <v>420</v>
      </c>
      <c r="E22" s="190">
        <v>302</v>
      </c>
      <c r="F22" s="190">
        <v>1</v>
      </c>
      <c r="G22" s="190">
        <v>11</v>
      </c>
      <c r="H22" s="190">
        <v>12</v>
      </c>
      <c r="I22" s="190">
        <v>0</v>
      </c>
      <c r="J22" s="190">
        <v>89</v>
      </c>
      <c r="K22" s="190">
        <v>89</v>
      </c>
      <c r="L22" s="190">
        <v>0</v>
      </c>
      <c r="M22" s="190">
        <v>27</v>
      </c>
      <c r="N22" s="190">
        <v>27</v>
      </c>
      <c r="O22" s="190">
        <v>0</v>
      </c>
      <c r="P22" s="190">
        <v>62</v>
      </c>
      <c r="Q22" s="190">
        <v>62</v>
      </c>
      <c r="R22" s="190">
        <v>0</v>
      </c>
      <c r="S22" s="190">
        <v>5</v>
      </c>
      <c r="T22" s="190">
        <v>5</v>
      </c>
      <c r="U22" s="190">
        <v>0</v>
      </c>
      <c r="V22" s="190">
        <v>29</v>
      </c>
      <c r="W22" s="190">
        <v>29</v>
      </c>
      <c r="X22" s="190">
        <v>16</v>
      </c>
      <c r="Y22" s="190">
        <v>404</v>
      </c>
      <c r="Z22" s="190">
        <v>420</v>
      </c>
      <c r="AA22" s="190">
        <v>11</v>
      </c>
      <c r="AB22" s="190">
        <v>194</v>
      </c>
      <c r="AC22" s="190">
        <v>205</v>
      </c>
      <c r="AD22" s="190">
        <v>9</v>
      </c>
      <c r="AE22" s="190">
        <v>166</v>
      </c>
      <c r="AF22" s="190">
        <v>175</v>
      </c>
      <c r="AG22" s="190">
        <v>0</v>
      </c>
      <c r="AH22" s="190">
        <v>15</v>
      </c>
      <c r="AI22" s="190">
        <v>15</v>
      </c>
      <c r="AJ22" s="190">
        <v>2</v>
      </c>
      <c r="AK22" s="190">
        <v>13</v>
      </c>
      <c r="AL22" s="190">
        <v>15</v>
      </c>
      <c r="AM22" s="190">
        <v>5</v>
      </c>
      <c r="AN22" s="190">
        <v>210</v>
      </c>
      <c r="AO22" s="190">
        <v>215</v>
      </c>
      <c r="AP22" s="190">
        <v>577</v>
      </c>
      <c r="AQ22" s="190">
        <v>5587</v>
      </c>
      <c r="AR22" s="190">
        <v>6164</v>
      </c>
      <c r="AS22" s="190">
        <v>577</v>
      </c>
      <c r="AT22" s="190">
        <v>5587</v>
      </c>
      <c r="AU22" s="190">
        <v>6164</v>
      </c>
      <c r="AV22" s="190">
        <v>0</v>
      </c>
      <c r="AW22" s="190">
        <v>0</v>
      </c>
      <c r="AX22" s="190">
        <v>0</v>
      </c>
      <c r="AY22" s="190">
        <v>19</v>
      </c>
      <c r="AZ22" s="190">
        <v>536</v>
      </c>
      <c r="BA22" s="190">
        <v>555</v>
      </c>
      <c r="BB22" s="190">
        <v>18</v>
      </c>
      <c r="BC22" s="190">
        <v>0</v>
      </c>
      <c r="BD22" s="190">
        <v>0</v>
      </c>
      <c r="BE22" s="190">
        <v>283</v>
      </c>
      <c r="BF22" s="190">
        <v>1</v>
      </c>
      <c r="BG22" s="190">
        <v>0</v>
      </c>
      <c r="BH22" s="190">
        <v>18</v>
      </c>
      <c r="BI22" s="190">
        <v>284</v>
      </c>
      <c r="BJ22" s="190">
        <v>302</v>
      </c>
      <c r="BK22" s="190">
        <v>-17</v>
      </c>
      <c r="BL22" s="190">
        <v>17</v>
      </c>
      <c r="BM22" s="190">
        <v>0</v>
      </c>
      <c r="BN22" s="190">
        <v>2</v>
      </c>
      <c r="BO22" s="190">
        <v>16</v>
      </c>
      <c r="BP22" s="190">
        <v>18</v>
      </c>
      <c r="BQ22" s="190">
        <v>1</v>
      </c>
      <c r="BR22" s="190">
        <v>9</v>
      </c>
      <c r="BS22" s="190">
        <v>10</v>
      </c>
      <c r="BT22" s="190">
        <v>15</v>
      </c>
      <c r="BU22" s="190">
        <v>210</v>
      </c>
      <c r="BV22" s="190">
        <v>225</v>
      </c>
      <c r="BW22" s="190">
        <v>596</v>
      </c>
      <c r="BX22" s="190">
        <v>6123</v>
      </c>
      <c r="BY22" s="190">
        <v>6719</v>
      </c>
      <c r="BZ22" s="190">
        <v>592</v>
      </c>
      <c r="CA22" s="190">
        <v>6089</v>
      </c>
      <c r="CB22" s="190">
        <v>6681</v>
      </c>
      <c r="CC22" s="190">
        <v>12517</v>
      </c>
      <c r="CD22" s="190">
        <v>2</v>
      </c>
      <c r="CE22" s="190">
        <v>29</v>
      </c>
      <c r="CF22" s="190">
        <v>4</v>
      </c>
      <c r="CG22" s="190">
        <v>25</v>
      </c>
      <c r="CH22" s="190">
        <v>29</v>
      </c>
      <c r="CI22" s="190">
        <v>11</v>
      </c>
      <c r="CJ22" s="190">
        <v>0</v>
      </c>
      <c r="CK22" s="190">
        <v>0</v>
      </c>
      <c r="CL22" s="190">
        <v>9</v>
      </c>
      <c r="CM22" s="190">
        <v>9</v>
      </c>
      <c r="CN22" s="190">
        <v>41</v>
      </c>
      <c r="CO22" s="190">
        <v>588</v>
      </c>
      <c r="CP22" s="190">
        <v>629</v>
      </c>
      <c r="CQ22" s="190">
        <v>0</v>
      </c>
      <c r="CR22" s="190">
        <v>0</v>
      </c>
      <c r="CS22" s="190">
        <v>0</v>
      </c>
      <c r="CT22" s="190">
        <v>555</v>
      </c>
      <c r="CU22" s="190">
        <v>5535</v>
      </c>
      <c r="CV22" s="190">
        <v>6090</v>
      </c>
      <c r="CW22" s="190">
        <v>30</v>
      </c>
      <c r="CX22" s="190">
        <v>290</v>
      </c>
      <c r="CY22" s="190">
        <v>320</v>
      </c>
      <c r="CZ22" s="190">
        <v>30</v>
      </c>
      <c r="DA22" s="190">
        <v>0</v>
      </c>
      <c r="DB22" s="190">
        <v>0</v>
      </c>
      <c r="DC22" s="190">
        <v>284</v>
      </c>
      <c r="DD22" s="190">
        <v>4</v>
      </c>
      <c r="DE22" s="190">
        <v>0</v>
      </c>
      <c r="DF22" s="190">
        <v>30</v>
      </c>
      <c r="DG22" s="190">
        <v>288</v>
      </c>
      <c r="DH22" s="190">
        <v>318</v>
      </c>
      <c r="DI22" s="190">
        <v>0</v>
      </c>
      <c r="DJ22" s="190">
        <v>0</v>
      </c>
      <c r="DK22" s="190">
        <v>0</v>
      </c>
      <c r="DL22" s="190">
        <v>2</v>
      </c>
      <c r="DM22" s="190">
        <v>0</v>
      </c>
      <c r="DN22" s="190">
        <v>0</v>
      </c>
      <c r="DO22" s="190">
        <v>0</v>
      </c>
      <c r="DP22" s="190">
        <v>2</v>
      </c>
      <c r="DQ22" s="190">
        <v>2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155</v>
      </c>
      <c r="C23" s="190">
        <v>26</v>
      </c>
      <c r="D23" s="190">
        <v>115</v>
      </c>
      <c r="E23" s="190">
        <v>79</v>
      </c>
      <c r="F23" s="190">
        <v>1</v>
      </c>
      <c r="G23" s="190">
        <v>9</v>
      </c>
      <c r="H23" s="190">
        <v>10</v>
      </c>
      <c r="I23" s="190">
        <v>0</v>
      </c>
      <c r="J23" s="190">
        <v>28</v>
      </c>
      <c r="K23" s="190">
        <v>28</v>
      </c>
      <c r="L23" s="190">
        <v>0</v>
      </c>
      <c r="M23" s="190">
        <v>15</v>
      </c>
      <c r="N23" s="190">
        <v>15</v>
      </c>
      <c r="O23" s="190">
        <v>0</v>
      </c>
      <c r="P23" s="190">
        <v>13</v>
      </c>
      <c r="Q23" s="190">
        <v>13</v>
      </c>
      <c r="R23" s="190">
        <v>0</v>
      </c>
      <c r="S23" s="190">
        <v>3</v>
      </c>
      <c r="T23" s="190">
        <v>3</v>
      </c>
      <c r="U23" s="190">
        <v>0</v>
      </c>
      <c r="V23" s="190">
        <v>8</v>
      </c>
      <c r="W23" s="190">
        <v>8</v>
      </c>
      <c r="X23" s="190">
        <v>4</v>
      </c>
      <c r="Y23" s="190">
        <v>111</v>
      </c>
      <c r="Z23" s="190">
        <v>115</v>
      </c>
      <c r="AA23" s="190">
        <v>1</v>
      </c>
      <c r="AB23" s="190">
        <v>58</v>
      </c>
      <c r="AC23" s="190">
        <v>59</v>
      </c>
      <c r="AD23" s="190">
        <v>1</v>
      </c>
      <c r="AE23" s="190">
        <v>41</v>
      </c>
      <c r="AF23" s="190">
        <v>42</v>
      </c>
      <c r="AG23" s="190">
        <v>0</v>
      </c>
      <c r="AH23" s="190">
        <v>13</v>
      </c>
      <c r="AI23" s="190">
        <v>13</v>
      </c>
      <c r="AJ23" s="190">
        <v>0</v>
      </c>
      <c r="AK23" s="190">
        <v>4</v>
      </c>
      <c r="AL23" s="190">
        <v>4</v>
      </c>
      <c r="AM23" s="190">
        <v>3</v>
      </c>
      <c r="AN23" s="190">
        <v>53</v>
      </c>
      <c r="AO23" s="190">
        <v>56</v>
      </c>
      <c r="AP23" s="190">
        <v>202</v>
      </c>
      <c r="AQ23" s="190">
        <v>1229</v>
      </c>
      <c r="AR23" s="190">
        <v>1431</v>
      </c>
      <c r="AS23" s="190">
        <v>202</v>
      </c>
      <c r="AT23" s="190">
        <v>1229</v>
      </c>
      <c r="AU23" s="190">
        <v>1431</v>
      </c>
      <c r="AV23" s="190">
        <v>0</v>
      </c>
      <c r="AW23" s="190">
        <v>0</v>
      </c>
      <c r="AX23" s="190">
        <v>0</v>
      </c>
      <c r="AY23" s="190">
        <v>23</v>
      </c>
      <c r="AZ23" s="190">
        <v>132</v>
      </c>
      <c r="BA23" s="190">
        <v>155</v>
      </c>
      <c r="BB23" s="190">
        <v>4</v>
      </c>
      <c r="BC23" s="190">
        <v>0</v>
      </c>
      <c r="BD23" s="190">
        <v>0</v>
      </c>
      <c r="BE23" s="190">
        <v>75</v>
      </c>
      <c r="BF23" s="190">
        <v>0</v>
      </c>
      <c r="BG23" s="190">
        <v>0</v>
      </c>
      <c r="BH23" s="190">
        <v>4</v>
      </c>
      <c r="BI23" s="190">
        <v>75</v>
      </c>
      <c r="BJ23" s="190">
        <v>79</v>
      </c>
      <c r="BK23" s="190">
        <v>3</v>
      </c>
      <c r="BL23" s="190">
        <v>-3</v>
      </c>
      <c r="BM23" s="190">
        <v>0</v>
      </c>
      <c r="BN23" s="190">
        <v>0</v>
      </c>
      <c r="BO23" s="190">
        <v>3</v>
      </c>
      <c r="BP23" s="190">
        <v>3</v>
      </c>
      <c r="BQ23" s="190">
        <v>4</v>
      </c>
      <c r="BR23" s="190">
        <v>25</v>
      </c>
      <c r="BS23" s="190">
        <v>29</v>
      </c>
      <c r="BT23" s="190">
        <v>12</v>
      </c>
      <c r="BU23" s="190">
        <v>32</v>
      </c>
      <c r="BV23" s="190">
        <v>44</v>
      </c>
      <c r="BW23" s="190">
        <v>225</v>
      </c>
      <c r="BX23" s="190">
        <v>1361</v>
      </c>
      <c r="BY23" s="190">
        <v>1586</v>
      </c>
      <c r="BZ23" s="190">
        <v>225</v>
      </c>
      <c r="CA23" s="190">
        <v>1358</v>
      </c>
      <c r="CB23" s="190">
        <v>1583</v>
      </c>
      <c r="CC23" s="190">
        <v>3150</v>
      </c>
      <c r="CD23" s="190">
        <v>0</v>
      </c>
      <c r="CE23" s="190">
        <v>4</v>
      </c>
      <c r="CF23" s="190">
        <v>0</v>
      </c>
      <c r="CG23" s="190">
        <v>3</v>
      </c>
      <c r="CH23" s="190">
        <v>3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16</v>
      </c>
      <c r="CO23" s="190">
        <v>152</v>
      </c>
      <c r="CP23" s="190">
        <v>168</v>
      </c>
      <c r="CQ23" s="190">
        <v>0</v>
      </c>
      <c r="CR23" s="190">
        <v>0</v>
      </c>
      <c r="CS23" s="190">
        <v>0</v>
      </c>
      <c r="CT23" s="190">
        <v>209</v>
      </c>
      <c r="CU23" s="190">
        <v>1209</v>
      </c>
      <c r="CV23" s="190">
        <v>1418</v>
      </c>
      <c r="CW23" s="190">
        <v>15</v>
      </c>
      <c r="CX23" s="190">
        <v>75</v>
      </c>
      <c r="CY23" s="190">
        <v>90</v>
      </c>
      <c r="CZ23" s="190">
        <v>15</v>
      </c>
      <c r="DA23" s="190">
        <v>0</v>
      </c>
      <c r="DB23" s="190">
        <v>0</v>
      </c>
      <c r="DC23" s="190">
        <v>75</v>
      </c>
      <c r="DD23" s="190">
        <v>0</v>
      </c>
      <c r="DE23" s="190">
        <v>0</v>
      </c>
      <c r="DF23" s="190">
        <v>15</v>
      </c>
      <c r="DG23" s="190">
        <v>75</v>
      </c>
      <c r="DH23" s="190">
        <v>90</v>
      </c>
      <c r="DI23" s="190">
        <v>0</v>
      </c>
      <c r="DJ23" s="190">
        <v>0</v>
      </c>
      <c r="DK23" s="190">
        <v>0</v>
      </c>
      <c r="DL23" s="190">
        <v>0</v>
      </c>
      <c r="DM23" s="190">
        <v>0</v>
      </c>
      <c r="DN23" s="190">
        <v>0</v>
      </c>
      <c r="DO23" s="190">
        <v>0</v>
      </c>
      <c r="DP23" s="190">
        <v>0</v>
      </c>
      <c r="DQ23" s="190">
        <v>0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37082</v>
      </c>
      <c r="C24" s="190">
        <v>7011</v>
      </c>
      <c r="D24" s="190">
        <v>36871</v>
      </c>
      <c r="E24" s="190">
        <v>26687</v>
      </c>
      <c r="F24" s="190">
        <v>219</v>
      </c>
      <c r="G24" s="190">
        <v>1044</v>
      </c>
      <c r="H24" s="190">
        <v>1263</v>
      </c>
      <c r="I24" s="190">
        <v>15</v>
      </c>
      <c r="J24" s="190">
        <v>8650</v>
      </c>
      <c r="K24" s="190">
        <v>8665</v>
      </c>
      <c r="L24" s="190">
        <v>1</v>
      </c>
      <c r="M24" s="190">
        <v>3288</v>
      </c>
      <c r="N24" s="190">
        <v>3289</v>
      </c>
      <c r="O24" s="190">
        <v>14</v>
      </c>
      <c r="P24" s="190">
        <v>5362</v>
      </c>
      <c r="Q24" s="190">
        <v>5376</v>
      </c>
      <c r="R24" s="190">
        <v>4</v>
      </c>
      <c r="S24" s="190">
        <v>367</v>
      </c>
      <c r="T24" s="190">
        <v>371</v>
      </c>
      <c r="U24" s="190">
        <v>0</v>
      </c>
      <c r="V24" s="190">
        <v>1519</v>
      </c>
      <c r="W24" s="190">
        <v>1519</v>
      </c>
      <c r="X24" s="190">
        <v>2353</v>
      </c>
      <c r="Y24" s="190">
        <v>34513</v>
      </c>
      <c r="Z24" s="190">
        <v>36866</v>
      </c>
      <c r="AA24" s="190">
        <v>1604</v>
      </c>
      <c r="AB24" s="190">
        <v>16442</v>
      </c>
      <c r="AC24" s="190">
        <v>18046</v>
      </c>
      <c r="AD24" s="190">
        <v>1065</v>
      </c>
      <c r="AE24" s="190">
        <v>13918</v>
      </c>
      <c r="AF24" s="190">
        <v>14983</v>
      </c>
      <c r="AG24" s="190">
        <v>123</v>
      </c>
      <c r="AH24" s="190">
        <v>769</v>
      </c>
      <c r="AI24" s="190">
        <v>892</v>
      </c>
      <c r="AJ24" s="190">
        <v>416</v>
      </c>
      <c r="AK24" s="190">
        <v>1755</v>
      </c>
      <c r="AL24" s="190">
        <v>2171</v>
      </c>
      <c r="AM24" s="190">
        <v>749</v>
      </c>
      <c r="AN24" s="190">
        <v>18071</v>
      </c>
      <c r="AO24" s="190">
        <v>18820</v>
      </c>
      <c r="AP24" s="190">
        <v>82954</v>
      </c>
      <c r="AQ24" s="190">
        <v>460719</v>
      </c>
      <c r="AR24" s="190">
        <v>543673</v>
      </c>
      <c r="AS24" s="190">
        <v>84199</v>
      </c>
      <c r="AT24" s="190">
        <v>455365</v>
      </c>
      <c r="AU24" s="190">
        <v>539564</v>
      </c>
      <c r="AV24" s="190">
        <v>-1245</v>
      </c>
      <c r="AW24" s="190">
        <v>5354</v>
      </c>
      <c r="AX24" s="190">
        <v>4109</v>
      </c>
      <c r="AY24" s="190">
        <v>4997</v>
      </c>
      <c r="AZ24" s="190">
        <v>32524</v>
      </c>
      <c r="BA24" s="190">
        <v>37521</v>
      </c>
      <c r="BB24" s="190">
        <v>2342</v>
      </c>
      <c r="BC24" s="190">
        <v>45</v>
      </c>
      <c r="BD24" s="190">
        <v>2</v>
      </c>
      <c r="BE24" s="190">
        <v>23720</v>
      </c>
      <c r="BF24" s="190">
        <v>286</v>
      </c>
      <c r="BG24" s="190">
        <v>292</v>
      </c>
      <c r="BH24" s="190">
        <v>2389</v>
      </c>
      <c r="BI24" s="190">
        <v>24298</v>
      </c>
      <c r="BJ24" s="190">
        <v>26687</v>
      </c>
      <c r="BK24" s="190">
        <v>657</v>
      </c>
      <c r="BL24" s="190">
        <v>-657</v>
      </c>
      <c r="BM24" s="190">
        <v>0</v>
      </c>
      <c r="BN24" s="190">
        <v>169</v>
      </c>
      <c r="BO24" s="190">
        <v>58</v>
      </c>
      <c r="BP24" s="190">
        <v>227</v>
      </c>
      <c r="BQ24" s="190">
        <v>225</v>
      </c>
      <c r="BR24" s="190">
        <v>1167</v>
      </c>
      <c r="BS24" s="190">
        <v>1392</v>
      </c>
      <c r="BT24" s="190">
        <v>1557</v>
      </c>
      <c r="BU24" s="190">
        <v>7658</v>
      </c>
      <c r="BV24" s="190">
        <v>9215</v>
      </c>
      <c r="BW24" s="190">
        <v>87951</v>
      </c>
      <c r="BX24" s="190">
        <v>493243</v>
      </c>
      <c r="BY24" s="190">
        <v>581194</v>
      </c>
      <c r="BZ24" s="190">
        <v>85632</v>
      </c>
      <c r="CA24" s="190">
        <v>483699</v>
      </c>
      <c r="CB24" s="190">
        <v>569331</v>
      </c>
      <c r="CC24" s="190">
        <v>1140432</v>
      </c>
      <c r="CD24" s="190">
        <v>685</v>
      </c>
      <c r="CE24" s="190">
        <v>9574</v>
      </c>
      <c r="CF24" s="190">
        <v>2286</v>
      </c>
      <c r="CG24" s="190">
        <v>5780</v>
      </c>
      <c r="CH24" s="190">
        <v>8066</v>
      </c>
      <c r="CI24" s="190">
        <v>4308</v>
      </c>
      <c r="CJ24" s="190">
        <v>559</v>
      </c>
      <c r="CK24" s="190">
        <v>33</v>
      </c>
      <c r="CL24" s="190">
        <v>3764</v>
      </c>
      <c r="CM24" s="190">
        <v>3797</v>
      </c>
      <c r="CN24" s="190">
        <v>6269</v>
      </c>
      <c r="CO24" s="190">
        <v>52301</v>
      </c>
      <c r="CP24" s="190">
        <v>58570</v>
      </c>
      <c r="CQ24" s="190">
        <v>78</v>
      </c>
      <c r="CR24" s="190">
        <v>244</v>
      </c>
      <c r="CS24" s="190">
        <v>322</v>
      </c>
      <c r="CT24" s="190">
        <v>81682</v>
      </c>
      <c r="CU24" s="190">
        <v>440942</v>
      </c>
      <c r="CV24" s="190">
        <v>522624</v>
      </c>
      <c r="CW24" s="190">
        <v>4894</v>
      </c>
      <c r="CX24" s="190">
        <v>15478</v>
      </c>
      <c r="CY24" s="190">
        <v>20372</v>
      </c>
      <c r="CZ24" s="190">
        <v>4582</v>
      </c>
      <c r="DA24" s="190">
        <v>168</v>
      </c>
      <c r="DB24" s="190">
        <v>1</v>
      </c>
      <c r="DC24" s="190">
        <v>14369</v>
      </c>
      <c r="DD24" s="190">
        <v>241</v>
      </c>
      <c r="DE24" s="190">
        <v>99</v>
      </c>
      <c r="DF24" s="190">
        <v>4751</v>
      </c>
      <c r="DG24" s="190">
        <v>14709</v>
      </c>
      <c r="DH24" s="190">
        <v>19460</v>
      </c>
      <c r="DI24" s="190">
        <v>139</v>
      </c>
      <c r="DJ24" s="190">
        <v>4</v>
      </c>
      <c r="DK24" s="190">
        <v>0</v>
      </c>
      <c r="DL24" s="190">
        <v>738</v>
      </c>
      <c r="DM24" s="190">
        <v>28</v>
      </c>
      <c r="DN24" s="190">
        <v>3</v>
      </c>
      <c r="DO24" s="190">
        <v>143</v>
      </c>
      <c r="DP24" s="190">
        <v>769</v>
      </c>
      <c r="DQ24" s="190">
        <v>912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798</v>
      </c>
      <c r="C25" s="190">
        <v>112</v>
      </c>
      <c r="D25" s="190">
        <v>743</v>
      </c>
      <c r="E25" s="190">
        <v>476</v>
      </c>
      <c r="F25" s="190">
        <v>2</v>
      </c>
      <c r="G25" s="190">
        <v>3</v>
      </c>
      <c r="H25" s="190">
        <v>5</v>
      </c>
      <c r="I25" s="190">
        <v>0</v>
      </c>
      <c r="J25" s="190">
        <v>240</v>
      </c>
      <c r="K25" s="190">
        <v>240</v>
      </c>
      <c r="L25" s="190">
        <v>0</v>
      </c>
      <c r="M25" s="190">
        <v>113</v>
      </c>
      <c r="N25" s="190">
        <v>113</v>
      </c>
      <c r="O25" s="190">
        <v>0</v>
      </c>
      <c r="P25" s="190">
        <v>127</v>
      </c>
      <c r="Q25" s="190">
        <v>127</v>
      </c>
      <c r="R25" s="190">
        <v>0</v>
      </c>
      <c r="S25" s="190">
        <v>3</v>
      </c>
      <c r="T25" s="190">
        <v>3</v>
      </c>
      <c r="U25" s="190">
        <v>0</v>
      </c>
      <c r="V25" s="190">
        <v>27</v>
      </c>
      <c r="W25" s="190">
        <v>27</v>
      </c>
      <c r="X25" s="190">
        <v>29</v>
      </c>
      <c r="Y25" s="190">
        <v>713</v>
      </c>
      <c r="Z25" s="190">
        <v>742</v>
      </c>
      <c r="AA25" s="190">
        <v>17</v>
      </c>
      <c r="AB25" s="190">
        <v>293</v>
      </c>
      <c r="AC25" s="190">
        <v>310</v>
      </c>
      <c r="AD25" s="190">
        <v>17</v>
      </c>
      <c r="AE25" s="190">
        <v>280</v>
      </c>
      <c r="AF25" s="190">
        <v>297</v>
      </c>
      <c r="AG25" s="190">
        <v>0</v>
      </c>
      <c r="AH25" s="190">
        <v>6</v>
      </c>
      <c r="AI25" s="190">
        <v>6</v>
      </c>
      <c r="AJ25" s="190">
        <v>0</v>
      </c>
      <c r="AK25" s="190">
        <v>7</v>
      </c>
      <c r="AL25" s="190">
        <v>7</v>
      </c>
      <c r="AM25" s="190">
        <v>12</v>
      </c>
      <c r="AN25" s="190">
        <v>420</v>
      </c>
      <c r="AO25" s="190">
        <v>432</v>
      </c>
      <c r="AP25" s="190">
        <v>1646</v>
      </c>
      <c r="AQ25" s="190">
        <v>9474</v>
      </c>
      <c r="AR25" s="190">
        <v>11120</v>
      </c>
      <c r="AS25" s="190">
        <v>1646</v>
      </c>
      <c r="AT25" s="190">
        <v>9474</v>
      </c>
      <c r="AU25" s="190">
        <v>11120</v>
      </c>
      <c r="AV25" s="190">
        <v>0</v>
      </c>
      <c r="AW25" s="190">
        <v>0</v>
      </c>
      <c r="AX25" s="190">
        <v>0</v>
      </c>
      <c r="AY25" s="190">
        <v>36</v>
      </c>
      <c r="AZ25" s="190">
        <v>743</v>
      </c>
      <c r="BA25" s="190">
        <v>779</v>
      </c>
      <c r="BB25" s="190">
        <v>33</v>
      </c>
      <c r="BC25" s="190">
        <v>0</v>
      </c>
      <c r="BD25" s="190">
        <v>0</v>
      </c>
      <c r="BE25" s="190">
        <v>441</v>
      </c>
      <c r="BF25" s="190">
        <v>2</v>
      </c>
      <c r="BG25" s="190">
        <v>0</v>
      </c>
      <c r="BH25" s="190">
        <v>33</v>
      </c>
      <c r="BI25" s="190">
        <v>443</v>
      </c>
      <c r="BJ25" s="190">
        <v>476</v>
      </c>
      <c r="BK25" s="190">
        <v>-35</v>
      </c>
      <c r="BL25" s="190">
        <v>35</v>
      </c>
      <c r="BM25" s="190">
        <v>0</v>
      </c>
      <c r="BN25" s="190">
        <v>4</v>
      </c>
      <c r="BO25" s="190">
        <v>23</v>
      </c>
      <c r="BP25" s="190">
        <v>27</v>
      </c>
      <c r="BQ25" s="190">
        <v>8</v>
      </c>
      <c r="BR25" s="190">
        <v>84</v>
      </c>
      <c r="BS25" s="190">
        <v>92</v>
      </c>
      <c r="BT25" s="190">
        <v>26</v>
      </c>
      <c r="BU25" s="190">
        <v>158</v>
      </c>
      <c r="BV25" s="190">
        <v>184</v>
      </c>
      <c r="BW25" s="190">
        <v>1682</v>
      </c>
      <c r="BX25" s="190">
        <v>10217</v>
      </c>
      <c r="BY25" s="190">
        <v>11899</v>
      </c>
      <c r="BZ25" s="190">
        <v>1673</v>
      </c>
      <c r="CA25" s="190">
        <v>10155</v>
      </c>
      <c r="CB25" s="190">
        <v>11828</v>
      </c>
      <c r="CC25" s="190">
        <v>28547</v>
      </c>
      <c r="CD25" s="190">
        <v>1</v>
      </c>
      <c r="CE25" s="190">
        <v>65</v>
      </c>
      <c r="CF25" s="190">
        <v>8</v>
      </c>
      <c r="CG25" s="190">
        <v>56</v>
      </c>
      <c r="CH25" s="190">
        <v>64</v>
      </c>
      <c r="CI25" s="190">
        <v>8</v>
      </c>
      <c r="CJ25" s="190">
        <v>2</v>
      </c>
      <c r="CK25" s="190">
        <v>1</v>
      </c>
      <c r="CL25" s="190">
        <v>6</v>
      </c>
      <c r="CM25" s="190">
        <v>7</v>
      </c>
      <c r="CN25" s="190">
        <v>100</v>
      </c>
      <c r="CO25" s="190">
        <v>716</v>
      </c>
      <c r="CP25" s="190">
        <v>816</v>
      </c>
      <c r="CQ25" s="190">
        <v>0</v>
      </c>
      <c r="CR25" s="190">
        <v>0</v>
      </c>
      <c r="CS25" s="190">
        <v>0</v>
      </c>
      <c r="CT25" s="190">
        <v>1582</v>
      </c>
      <c r="CU25" s="190">
        <v>9501</v>
      </c>
      <c r="CV25" s="190">
        <v>11083</v>
      </c>
      <c r="CW25" s="190">
        <v>106</v>
      </c>
      <c r="CX25" s="190">
        <v>502</v>
      </c>
      <c r="CY25" s="190">
        <v>608</v>
      </c>
      <c r="CZ25" s="190">
        <v>104</v>
      </c>
      <c r="DA25" s="190">
        <v>1</v>
      </c>
      <c r="DB25" s="190">
        <v>0</v>
      </c>
      <c r="DC25" s="190">
        <v>494</v>
      </c>
      <c r="DD25" s="190">
        <v>3</v>
      </c>
      <c r="DE25" s="190">
        <v>0</v>
      </c>
      <c r="DF25" s="190">
        <v>105</v>
      </c>
      <c r="DG25" s="190">
        <v>497</v>
      </c>
      <c r="DH25" s="190">
        <v>602</v>
      </c>
      <c r="DI25" s="190">
        <v>1</v>
      </c>
      <c r="DJ25" s="190">
        <v>0</v>
      </c>
      <c r="DK25" s="190">
        <v>0</v>
      </c>
      <c r="DL25" s="190">
        <v>5</v>
      </c>
      <c r="DM25" s="190">
        <v>0</v>
      </c>
      <c r="DN25" s="190">
        <v>0</v>
      </c>
      <c r="DO25" s="190">
        <v>1</v>
      </c>
      <c r="DP25" s="190">
        <v>5</v>
      </c>
      <c r="DQ25" s="190">
        <v>6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538</v>
      </c>
      <c r="C26" s="190">
        <v>128</v>
      </c>
      <c r="D26" s="190">
        <v>545</v>
      </c>
      <c r="E26" s="190">
        <v>354</v>
      </c>
      <c r="F26" s="190">
        <v>1</v>
      </c>
      <c r="G26" s="190">
        <v>5</v>
      </c>
      <c r="H26" s="190">
        <v>6</v>
      </c>
      <c r="I26" s="190">
        <v>0</v>
      </c>
      <c r="J26" s="190">
        <v>167</v>
      </c>
      <c r="K26" s="190">
        <v>167</v>
      </c>
      <c r="L26" s="190">
        <v>0</v>
      </c>
      <c r="M26" s="190">
        <v>73</v>
      </c>
      <c r="N26" s="190">
        <v>73</v>
      </c>
      <c r="O26" s="190">
        <v>0</v>
      </c>
      <c r="P26" s="190">
        <v>94</v>
      </c>
      <c r="Q26" s="190">
        <v>94</v>
      </c>
      <c r="R26" s="190">
        <v>0</v>
      </c>
      <c r="S26" s="190">
        <v>0</v>
      </c>
      <c r="T26" s="190">
        <v>0</v>
      </c>
      <c r="U26" s="190">
        <v>0</v>
      </c>
      <c r="V26" s="190">
        <v>24</v>
      </c>
      <c r="W26" s="190">
        <v>24</v>
      </c>
      <c r="X26" s="190">
        <v>11</v>
      </c>
      <c r="Y26" s="190">
        <v>534</v>
      </c>
      <c r="Z26" s="190">
        <v>545</v>
      </c>
      <c r="AA26" s="190">
        <v>9</v>
      </c>
      <c r="AB26" s="190">
        <v>218</v>
      </c>
      <c r="AC26" s="190">
        <v>227</v>
      </c>
      <c r="AD26" s="190">
        <v>8</v>
      </c>
      <c r="AE26" s="190">
        <v>198</v>
      </c>
      <c r="AF26" s="190">
        <v>206</v>
      </c>
      <c r="AG26" s="190">
        <v>1</v>
      </c>
      <c r="AH26" s="190">
        <v>14</v>
      </c>
      <c r="AI26" s="190">
        <v>15</v>
      </c>
      <c r="AJ26" s="190">
        <v>0</v>
      </c>
      <c r="AK26" s="190">
        <v>6</v>
      </c>
      <c r="AL26" s="190">
        <v>6</v>
      </c>
      <c r="AM26" s="190">
        <v>2</v>
      </c>
      <c r="AN26" s="190">
        <v>316</v>
      </c>
      <c r="AO26" s="190">
        <v>318</v>
      </c>
      <c r="AP26" s="190">
        <v>558</v>
      </c>
      <c r="AQ26" s="190">
        <v>5305</v>
      </c>
      <c r="AR26" s="190">
        <v>5863</v>
      </c>
      <c r="AS26" s="190">
        <v>558</v>
      </c>
      <c r="AT26" s="190">
        <v>5305</v>
      </c>
      <c r="AU26" s="190">
        <v>5863</v>
      </c>
      <c r="AV26" s="190">
        <v>0</v>
      </c>
      <c r="AW26" s="190">
        <v>0</v>
      </c>
      <c r="AX26" s="190">
        <v>0</v>
      </c>
      <c r="AY26" s="190">
        <v>19</v>
      </c>
      <c r="AZ26" s="190">
        <v>511</v>
      </c>
      <c r="BA26" s="190">
        <v>530</v>
      </c>
      <c r="BB26" s="190">
        <v>13</v>
      </c>
      <c r="BC26" s="190">
        <v>1</v>
      </c>
      <c r="BD26" s="190">
        <v>1</v>
      </c>
      <c r="BE26" s="190">
        <v>321</v>
      </c>
      <c r="BF26" s="190">
        <v>13</v>
      </c>
      <c r="BG26" s="190">
        <v>5</v>
      </c>
      <c r="BH26" s="190">
        <v>15</v>
      </c>
      <c r="BI26" s="190">
        <v>339</v>
      </c>
      <c r="BJ26" s="190">
        <v>354</v>
      </c>
      <c r="BK26" s="190">
        <v>-11</v>
      </c>
      <c r="BL26" s="190">
        <v>11</v>
      </c>
      <c r="BM26" s="190">
        <v>0</v>
      </c>
      <c r="BN26" s="190">
        <v>0</v>
      </c>
      <c r="BO26" s="190">
        <v>12</v>
      </c>
      <c r="BP26" s="190">
        <v>12</v>
      </c>
      <c r="BQ26" s="190">
        <v>2</v>
      </c>
      <c r="BR26" s="190">
        <v>33</v>
      </c>
      <c r="BS26" s="190">
        <v>35</v>
      </c>
      <c r="BT26" s="190">
        <v>13</v>
      </c>
      <c r="BU26" s="190">
        <v>116</v>
      </c>
      <c r="BV26" s="190">
        <v>129</v>
      </c>
      <c r="BW26" s="190">
        <v>577</v>
      </c>
      <c r="BX26" s="190">
        <v>5816</v>
      </c>
      <c r="BY26" s="190">
        <v>6393</v>
      </c>
      <c r="BZ26" s="190">
        <v>542</v>
      </c>
      <c r="CA26" s="190">
        <v>5522</v>
      </c>
      <c r="CB26" s="190">
        <v>6064</v>
      </c>
      <c r="CC26" s="190">
        <v>10069</v>
      </c>
      <c r="CD26" s="190">
        <v>5</v>
      </c>
      <c r="CE26" s="190">
        <v>300</v>
      </c>
      <c r="CF26" s="190">
        <v>32</v>
      </c>
      <c r="CG26" s="190">
        <v>220</v>
      </c>
      <c r="CH26" s="190">
        <v>252</v>
      </c>
      <c r="CI26" s="190">
        <v>68</v>
      </c>
      <c r="CJ26" s="190">
        <v>24</v>
      </c>
      <c r="CK26" s="190">
        <v>3</v>
      </c>
      <c r="CL26" s="190">
        <v>74</v>
      </c>
      <c r="CM26" s="190">
        <v>77</v>
      </c>
      <c r="CN26" s="190">
        <v>37</v>
      </c>
      <c r="CO26" s="190">
        <v>611</v>
      </c>
      <c r="CP26" s="190">
        <v>648</v>
      </c>
      <c r="CQ26" s="190">
        <v>0</v>
      </c>
      <c r="CR26" s="190">
        <v>0</v>
      </c>
      <c r="CS26" s="190">
        <v>0</v>
      </c>
      <c r="CT26" s="190">
        <v>540</v>
      </c>
      <c r="CU26" s="190">
        <v>5205</v>
      </c>
      <c r="CV26" s="190">
        <v>5745</v>
      </c>
      <c r="CW26" s="190">
        <v>40</v>
      </c>
      <c r="CX26" s="190">
        <v>241</v>
      </c>
      <c r="CY26" s="190">
        <v>281</v>
      </c>
      <c r="CZ26" s="190">
        <v>38</v>
      </c>
      <c r="DA26" s="190">
        <v>2</v>
      </c>
      <c r="DB26" s="190">
        <v>0</v>
      </c>
      <c r="DC26" s="190">
        <v>222</v>
      </c>
      <c r="DD26" s="190">
        <v>13</v>
      </c>
      <c r="DE26" s="190">
        <v>3</v>
      </c>
      <c r="DF26" s="190">
        <v>40</v>
      </c>
      <c r="DG26" s="190">
        <v>238</v>
      </c>
      <c r="DH26" s="190">
        <v>278</v>
      </c>
      <c r="DI26" s="190">
        <v>0</v>
      </c>
      <c r="DJ26" s="190">
        <v>0</v>
      </c>
      <c r="DK26" s="190">
        <v>0</v>
      </c>
      <c r="DL26" s="190">
        <v>3</v>
      </c>
      <c r="DM26" s="190">
        <v>0</v>
      </c>
      <c r="DN26" s="190">
        <v>0</v>
      </c>
      <c r="DO26" s="190">
        <v>0</v>
      </c>
      <c r="DP26" s="190">
        <v>3</v>
      </c>
      <c r="DQ26" s="190">
        <v>3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72</v>
      </c>
      <c r="C27" s="190">
        <v>11</v>
      </c>
      <c r="D27" s="190">
        <v>83</v>
      </c>
      <c r="E27" s="190">
        <v>44</v>
      </c>
      <c r="F27" s="190">
        <v>0</v>
      </c>
      <c r="G27" s="190">
        <v>3</v>
      </c>
      <c r="H27" s="190">
        <v>3</v>
      </c>
      <c r="I27" s="190">
        <v>0</v>
      </c>
      <c r="J27" s="190">
        <v>33</v>
      </c>
      <c r="K27" s="190">
        <v>33</v>
      </c>
      <c r="L27" s="190">
        <v>0</v>
      </c>
      <c r="M27" s="190">
        <v>13</v>
      </c>
      <c r="N27" s="190">
        <v>13</v>
      </c>
      <c r="O27" s="190">
        <v>0</v>
      </c>
      <c r="P27" s="190">
        <v>20</v>
      </c>
      <c r="Q27" s="190">
        <v>20</v>
      </c>
      <c r="R27" s="190">
        <v>0</v>
      </c>
      <c r="S27" s="190">
        <v>1</v>
      </c>
      <c r="T27" s="190">
        <v>1</v>
      </c>
      <c r="U27" s="190">
        <v>0</v>
      </c>
      <c r="V27" s="190">
        <v>6</v>
      </c>
      <c r="W27" s="190">
        <v>6</v>
      </c>
      <c r="X27" s="190">
        <v>1</v>
      </c>
      <c r="Y27" s="190">
        <v>82</v>
      </c>
      <c r="Z27" s="190">
        <v>83</v>
      </c>
      <c r="AA27" s="190">
        <v>1</v>
      </c>
      <c r="AB27" s="190">
        <v>34</v>
      </c>
      <c r="AC27" s="190">
        <v>35</v>
      </c>
      <c r="AD27" s="190">
        <v>1</v>
      </c>
      <c r="AE27" s="190">
        <v>31</v>
      </c>
      <c r="AF27" s="190">
        <v>32</v>
      </c>
      <c r="AG27" s="190">
        <v>0</v>
      </c>
      <c r="AH27" s="190">
        <v>2</v>
      </c>
      <c r="AI27" s="190">
        <v>2</v>
      </c>
      <c r="AJ27" s="190">
        <v>0</v>
      </c>
      <c r="AK27" s="190">
        <v>1</v>
      </c>
      <c r="AL27" s="190">
        <v>1</v>
      </c>
      <c r="AM27" s="190">
        <v>0</v>
      </c>
      <c r="AN27" s="190">
        <v>48</v>
      </c>
      <c r="AO27" s="190">
        <v>48</v>
      </c>
      <c r="AP27" s="190">
        <v>108</v>
      </c>
      <c r="AQ27" s="190">
        <v>924</v>
      </c>
      <c r="AR27" s="190">
        <v>1032</v>
      </c>
      <c r="AS27" s="190">
        <v>108</v>
      </c>
      <c r="AT27" s="190">
        <v>924</v>
      </c>
      <c r="AU27" s="190">
        <v>1032</v>
      </c>
      <c r="AV27" s="190">
        <v>0</v>
      </c>
      <c r="AW27" s="190">
        <v>0</v>
      </c>
      <c r="AX27" s="190">
        <v>0</v>
      </c>
      <c r="AY27" s="190">
        <v>-7</v>
      </c>
      <c r="AZ27" s="190">
        <v>75</v>
      </c>
      <c r="BA27" s="190">
        <v>68</v>
      </c>
      <c r="BB27" s="190">
        <v>1</v>
      </c>
      <c r="BC27" s="190">
        <v>0</v>
      </c>
      <c r="BD27" s="190">
        <v>0</v>
      </c>
      <c r="BE27" s="190">
        <v>43</v>
      </c>
      <c r="BF27" s="190">
        <v>0</v>
      </c>
      <c r="BG27" s="190">
        <v>0</v>
      </c>
      <c r="BH27" s="190">
        <v>1</v>
      </c>
      <c r="BI27" s="190">
        <v>43</v>
      </c>
      <c r="BJ27" s="190">
        <v>44</v>
      </c>
      <c r="BK27" s="190">
        <v>-9</v>
      </c>
      <c r="BL27" s="190">
        <v>9</v>
      </c>
      <c r="BM27" s="190">
        <v>0</v>
      </c>
      <c r="BN27" s="190">
        <v>1</v>
      </c>
      <c r="BO27" s="190">
        <v>5</v>
      </c>
      <c r="BP27" s="190">
        <v>6</v>
      </c>
      <c r="BQ27" s="190">
        <v>0</v>
      </c>
      <c r="BR27" s="190">
        <v>5</v>
      </c>
      <c r="BS27" s="190">
        <v>5</v>
      </c>
      <c r="BT27" s="190">
        <v>0</v>
      </c>
      <c r="BU27" s="190">
        <v>13</v>
      </c>
      <c r="BV27" s="190">
        <v>13</v>
      </c>
      <c r="BW27" s="190">
        <v>101</v>
      </c>
      <c r="BX27" s="190">
        <v>999</v>
      </c>
      <c r="BY27" s="190">
        <v>1100</v>
      </c>
      <c r="BZ27" s="190">
        <v>100</v>
      </c>
      <c r="CA27" s="190">
        <v>995</v>
      </c>
      <c r="CB27" s="190">
        <v>1095</v>
      </c>
      <c r="CC27" s="190">
        <v>2014</v>
      </c>
      <c r="CD27" s="190">
        <v>1</v>
      </c>
      <c r="CE27" s="190">
        <v>2</v>
      </c>
      <c r="CF27" s="190">
        <v>1</v>
      </c>
      <c r="CG27" s="190">
        <v>2</v>
      </c>
      <c r="CH27" s="190">
        <v>3</v>
      </c>
      <c r="CI27" s="190">
        <v>2</v>
      </c>
      <c r="CJ27" s="190">
        <v>0</v>
      </c>
      <c r="CK27" s="190">
        <v>0</v>
      </c>
      <c r="CL27" s="190">
        <v>2</v>
      </c>
      <c r="CM27" s="190">
        <v>2</v>
      </c>
      <c r="CN27" s="190">
        <v>3</v>
      </c>
      <c r="CO27" s="190">
        <v>74</v>
      </c>
      <c r="CP27" s="190">
        <v>77</v>
      </c>
      <c r="CQ27" s="190">
        <v>0</v>
      </c>
      <c r="CR27" s="190">
        <v>0</v>
      </c>
      <c r="CS27" s="190">
        <v>0</v>
      </c>
      <c r="CT27" s="190">
        <v>98</v>
      </c>
      <c r="CU27" s="190">
        <v>925</v>
      </c>
      <c r="CV27" s="190">
        <v>1023</v>
      </c>
      <c r="CW27" s="190">
        <v>6</v>
      </c>
      <c r="CX27" s="190">
        <v>45</v>
      </c>
      <c r="CY27" s="190">
        <v>51</v>
      </c>
      <c r="CZ27" s="190">
        <v>6</v>
      </c>
      <c r="DA27" s="190">
        <v>0</v>
      </c>
      <c r="DB27" s="190">
        <v>0</v>
      </c>
      <c r="DC27" s="190">
        <v>45</v>
      </c>
      <c r="DD27" s="190">
        <v>0</v>
      </c>
      <c r="DE27" s="190">
        <v>0</v>
      </c>
      <c r="DF27" s="190">
        <v>6</v>
      </c>
      <c r="DG27" s="190">
        <v>45</v>
      </c>
      <c r="DH27" s="190">
        <v>51</v>
      </c>
      <c r="DI27" s="190">
        <v>0</v>
      </c>
      <c r="DJ27" s="190">
        <v>0</v>
      </c>
      <c r="DK27" s="190">
        <v>0</v>
      </c>
      <c r="DL27" s="190">
        <v>0</v>
      </c>
      <c r="DM27" s="190">
        <v>0</v>
      </c>
      <c r="DN27" s="190">
        <v>0</v>
      </c>
      <c r="DO27" s="190">
        <v>0</v>
      </c>
      <c r="DP27" s="190">
        <v>0</v>
      </c>
      <c r="DQ27" s="190">
        <v>0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632</v>
      </c>
      <c r="C28" s="190">
        <v>61</v>
      </c>
      <c r="D28" s="190">
        <v>584</v>
      </c>
      <c r="E28" s="190">
        <v>460</v>
      </c>
      <c r="F28" s="190">
        <v>2</v>
      </c>
      <c r="G28" s="190">
        <v>29</v>
      </c>
      <c r="H28" s="190">
        <v>31</v>
      </c>
      <c r="I28" s="190">
        <v>1</v>
      </c>
      <c r="J28" s="190">
        <v>102</v>
      </c>
      <c r="K28" s="190">
        <v>103</v>
      </c>
      <c r="L28" s="190">
        <v>1</v>
      </c>
      <c r="M28" s="190">
        <v>52</v>
      </c>
      <c r="N28" s="190">
        <v>53</v>
      </c>
      <c r="O28" s="190">
        <v>0</v>
      </c>
      <c r="P28" s="190">
        <v>50</v>
      </c>
      <c r="Q28" s="190">
        <v>50</v>
      </c>
      <c r="R28" s="190">
        <v>0</v>
      </c>
      <c r="S28" s="190">
        <v>6</v>
      </c>
      <c r="T28" s="190">
        <v>6</v>
      </c>
      <c r="U28" s="190">
        <v>0</v>
      </c>
      <c r="V28" s="190">
        <v>21</v>
      </c>
      <c r="W28" s="190">
        <v>21</v>
      </c>
      <c r="X28" s="190">
        <v>18</v>
      </c>
      <c r="Y28" s="190">
        <v>565</v>
      </c>
      <c r="Z28" s="190">
        <v>583</v>
      </c>
      <c r="AA28" s="190">
        <v>6</v>
      </c>
      <c r="AB28" s="190">
        <v>279</v>
      </c>
      <c r="AC28" s="190">
        <v>285</v>
      </c>
      <c r="AD28" s="190">
        <v>6</v>
      </c>
      <c r="AE28" s="190">
        <v>270</v>
      </c>
      <c r="AF28" s="190">
        <v>276</v>
      </c>
      <c r="AG28" s="190">
        <v>0</v>
      </c>
      <c r="AH28" s="190">
        <v>4</v>
      </c>
      <c r="AI28" s="190">
        <v>4</v>
      </c>
      <c r="AJ28" s="190">
        <v>0</v>
      </c>
      <c r="AK28" s="190">
        <v>5</v>
      </c>
      <c r="AL28" s="190">
        <v>5</v>
      </c>
      <c r="AM28" s="190">
        <v>12</v>
      </c>
      <c r="AN28" s="190">
        <v>286</v>
      </c>
      <c r="AO28" s="190">
        <v>298</v>
      </c>
      <c r="AP28" s="190">
        <v>561</v>
      </c>
      <c r="AQ28" s="190">
        <v>5648</v>
      </c>
      <c r="AR28" s="190">
        <v>6209</v>
      </c>
      <c r="AS28" s="190">
        <v>561</v>
      </c>
      <c r="AT28" s="190">
        <v>5648</v>
      </c>
      <c r="AU28" s="190">
        <v>6209</v>
      </c>
      <c r="AV28" s="190">
        <v>0</v>
      </c>
      <c r="AW28" s="190">
        <v>0</v>
      </c>
      <c r="AX28" s="190">
        <v>0</v>
      </c>
      <c r="AY28" s="190">
        <v>24</v>
      </c>
      <c r="AZ28" s="190">
        <v>631</v>
      </c>
      <c r="BA28" s="190">
        <v>655</v>
      </c>
      <c r="BB28" s="190">
        <v>20</v>
      </c>
      <c r="BC28" s="190">
        <v>0</v>
      </c>
      <c r="BD28" s="190">
        <v>0</v>
      </c>
      <c r="BE28" s="190">
        <v>439</v>
      </c>
      <c r="BF28" s="190">
        <v>1</v>
      </c>
      <c r="BG28" s="190">
        <v>0</v>
      </c>
      <c r="BH28" s="190">
        <v>20</v>
      </c>
      <c r="BI28" s="190">
        <v>440</v>
      </c>
      <c r="BJ28" s="190">
        <v>460</v>
      </c>
      <c r="BK28" s="190">
        <v>-21</v>
      </c>
      <c r="BL28" s="190">
        <v>21</v>
      </c>
      <c r="BM28" s="190">
        <v>0</v>
      </c>
      <c r="BN28" s="190">
        <v>1</v>
      </c>
      <c r="BO28" s="190">
        <v>6</v>
      </c>
      <c r="BP28" s="190">
        <v>7</v>
      </c>
      <c r="BQ28" s="190">
        <v>9</v>
      </c>
      <c r="BR28" s="190">
        <v>77</v>
      </c>
      <c r="BS28" s="190">
        <v>86</v>
      </c>
      <c r="BT28" s="190">
        <v>15</v>
      </c>
      <c r="BU28" s="190">
        <v>87</v>
      </c>
      <c r="BV28" s="190">
        <v>102</v>
      </c>
      <c r="BW28" s="190">
        <v>585</v>
      </c>
      <c r="BX28" s="190">
        <v>6279</v>
      </c>
      <c r="BY28" s="190">
        <v>6864</v>
      </c>
      <c r="BZ28" s="190">
        <v>581</v>
      </c>
      <c r="CA28" s="190">
        <v>6230</v>
      </c>
      <c r="CB28" s="190">
        <v>6811</v>
      </c>
      <c r="CC28" s="190">
        <v>12700</v>
      </c>
      <c r="CD28" s="190">
        <v>4</v>
      </c>
      <c r="CE28" s="190">
        <v>42</v>
      </c>
      <c r="CF28" s="190">
        <v>4</v>
      </c>
      <c r="CG28" s="190">
        <v>40</v>
      </c>
      <c r="CH28" s="190">
        <v>44</v>
      </c>
      <c r="CI28" s="190">
        <v>10</v>
      </c>
      <c r="CJ28" s="190">
        <v>1</v>
      </c>
      <c r="CK28" s="190">
        <v>0</v>
      </c>
      <c r="CL28" s="190">
        <v>9</v>
      </c>
      <c r="CM28" s="190">
        <v>9</v>
      </c>
      <c r="CN28" s="190">
        <v>31</v>
      </c>
      <c r="CO28" s="190">
        <v>645</v>
      </c>
      <c r="CP28" s="190">
        <v>676</v>
      </c>
      <c r="CQ28" s="190">
        <v>0</v>
      </c>
      <c r="CR28" s="190">
        <v>0</v>
      </c>
      <c r="CS28" s="190">
        <v>0</v>
      </c>
      <c r="CT28" s="190">
        <v>554</v>
      </c>
      <c r="CU28" s="190">
        <v>5634</v>
      </c>
      <c r="CV28" s="190">
        <v>6188</v>
      </c>
      <c r="CW28" s="190">
        <v>28</v>
      </c>
      <c r="CX28" s="190">
        <v>209</v>
      </c>
      <c r="CY28" s="190">
        <v>237</v>
      </c>
      <c r="CZ28" s="190">
        <v>27</v>
      </c>
      <c r="DA28" s="190">
        <v>1</v>
      </c>
      <c r="DB28" s="190">
        <v>0</v>
      </c>
      <c r="DC28" s="190">
        <v>205</v>
      </c>
      <c r="DD28" s="190">
        <v>1</v>
      </c>
      <c r="DE28" s="190">
        <v>0</v>
      </c>
      <c r="DF28" s="190">
        <v>28</v>
      </c>
      <c r="DG28" s="190">
        <v>206</v>
      </c>
      <c r="DH28" s="190">
        <v>234</v>
      </c>
      <c r="DI28" s="190">
        <v>0</v>
      </c>
      <c r="DJ28" s="190">
        <v>0</v>
      </c>
      <c r="DK28" s="190">
        <v>0</v>
      </c>
      <c r="DL28" s="190">
        <v>3</v>
      </c>
      <c r="DM28" s="190">
        <v>0</v>
      </c>
      <c r="DN28" s="190">
        <v>0</v>
      </c>
      <c r="DO28" s="190">
        <v>0</v>
      </c>
      <c r="DP28" s="190">
        <v>3</v>
      </c>
      <c r="DQ28" s="190">
        <v>3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1756</v>
      </c>
      <c r="C29" s="190">
        <v>273</v>
      </c>
      <c r="D29" s="190">
        <v>1774</v>
      </c>
      <c r="E29" s="190">
        <v>1007</v>
      </c>
      <c r="F29" s="190">
        <v>4</v>
      </c>
      <c r="G29" s="190">
        <v>82</v>
      </c>
      <c r="H29" s="190">
        <v>86</v>
      </c>
      <c r="I29" s="190">
        <v>0</v>
      </c>
      <c r="J29" s="190">
        <v>604</v>
      </c>
      <c r="K29" s="190">
        <v>604</v>
      </c>
      <c r="L29" s="190">
        <v>0</v>
      </c>
      <c r="M29" s="190">
        <v>265</v>
      </c>
      <c r="N29" s="190">
        <v>265</v>
      </c>
      <c r="O29" s="190">
        <v>0</v>
      </c>
      <c r="P29" s="190">
        <v>339</v>
      </c>
      <c r="Q29" s="190">
        <v>339</v>
      </c>
      <c r="R29" s="190">
        <v>0</v>
      </c>
      <c r="S29" s="190">
        <v>50</v>
      </c>
      <c r="T29" s="190">
        <v>50</v>
      </c>
      <c r="U29" s="190">
        <v>0</v>
      </c>
      <c r="V29" s="190">
        <v>163</v>
      </c>
      <c r="W29" s="190">
        <v>163</v>
      </c>
      <c r="X29" s="190">
        <v>59</v>
      </c>
      <c r="Y29" s="190">
        <v>1714</v>
      </c>
      <c r="Z29" s="190">
        <v>1773</v>
      </c>
      <c r="AA29" s="190">
        <v>35</v>
      </c>
      <c r="AB29" s="190">
        <v>627</v>
      </c>
      <c r="AC29" s="190">
        <v>662</v>
      </c>
      <c r="AD29" s="190">
        <v>33</v>
      </c>
      <c r="AE29" s="190">
        <v>602</v>
      </c>
      <c r="AF29" s="190">
        <v>635</v>
      </c>
      <c r="AG29" s="190">
        <v>2</v>
      </c>
      <c r="AH29" s="190">
        <v>11</v>
      </c>
      <c r="AI29" s="190">
        <v>13</v>
      </c>
      <c r="AJ29" s="190">
        <v>0</v>
      </c>
      <c r="AK29" s="190">
        <v>14</v>
      </c>
      <c r="AL29" s="190">
        <v>14</v>
      </c>
      <c r="AM29" s="190">
        <v>24</v>
      </c>
      <c r="AN29" s="190">
        <v>1087</v>
      </c>
      <c r="AO29" s="190">
        <v>1111</v>
      </c>
      <c r="AP29" s="190">
        <v>3805</v>
      </c>
      <c r="AQ29" s="190">
        <v>19253</v>
      </c>
      <c r="AR29" s="190">
        <v>23058</v>
      </c>
      <c r="AS29" s="190">
        <v>3805</v>
      </c>
      <c r="AT29" s="190">
        <v>19253</v>
      </c>
      <c r="AU29" s="190">
        <v>23058</v>
      </c>
      <c r="AV29" s="190">
        <v>0</v>
      </c>
      <c r="AW29" s="190">
        <v>0</v>
      </c>
      <c r="AX29" s="190">
        <v>0</v>
      </c>
      <c r="AY29" s="190">
        <v>104</v>
      </c>
      <c r="AZ29" s="190">
        <v>1666</v>
      </c>
      <c r="BA29" s="190">
        <v>1770</v>
      </c>
      <c r="BB29" s="190">
        <v>68</v>
      </c>
      <c r="BC29" s="190">
        <v>1</v>
      </c>
      <c r="BD29" s="190">
        <v>0</v>
      </c>
      <c r="BE29" s="190">
        <v>933</v>
      </c>
      <c r="BF29" s="190">
        <v>4</v>
      </c>
      <c r="BG29" s="190">
        <v>1</v>
      </c>
      <c r="BH29" s="190">
        <v>69</v>
      </c>
      <c r="BI29" s="190">
        <v>938</v>
      </c>
      <c r="BJ29" s="190">
        <v>1007</v>
      </c>
      <c r="BK29" s="190">
        <v>-89</v>
      </c>
      <c r="BL29" s="190">
        <v>89</v>
      </c>
      <c r="BM29" s="190">
        <v>0</v>
      </c>
      <c r="BN29" s="190">
        <v>14</v>
      </c>
      <c r="BO29" s="190">
        <v>35</v>
      </c>
      <c r="BP29" s="190">
        <v>49</v>
      </c>
      <c r="BQ29" s="190">
        <v>29</v>
      </c>
      <c r="BR29" s="190">
        <v>192</v>
      </c>
      <c r="BS29" s="190">
        <v>221</v>
      </c>
      <c r="BT29" s="190">
        <v>81</v>
      </c>
      <c r="BU29" s="190">
        <v>412</v>
      </c>
      <c r="BV29" s="190">
        <v>493</v>
      </c>
      <c r="BW29" s="190">
        <v>3909</v>
      </c>
      <c r="BX29" s="190">
        <v>20919</v>
      </c>
      <c r="BY29" s="190">
        <v>24828</v>
      </c>
      <c r="BZ29" s="190">
        <v>3882</v>
      </c>
      <c r="CA29" s="190">
        <v>20822</v>
      </c>
      <c r="CB29" s="190">
        <v>24704</v>
      </c>
      <c r="CC29" s="190">
        <v>56829</v>
      </c>
      <c r="CD29" s="190">
        <v>5</v>
      </c>
      <c r="CE29" s="190">
        <v>117</v>
      </c>
      <c r="CF29" s="190">
        <v>27</v>
      </c>
      <c r="CG29" s="190">
        <v>83</v>
      </c>
      <c r="CH29" s="190">
        <v>110</v>
      </c>
      <c r="CI29" s="190">
        <v>11</v>
      </c>
      <c r="CJ29" s="190">
        <v>4</v>
      </c>
      <c r="CK29" s="190">
        <v>0</v>
      </c>
      <c r="CL29" s="190">
        <v>14</v>
      </c>
      <c r="CM29" s="190">
        <v>14</v>
      </c>
      <c r="CN29" s="190">
        <v>197</v>
      </c>
      <c r="CO29" s="190">
        <v>1816</v>
      </c>
      <c r="CP29" s="190">
        <v>2013</v>
      </c>
      <c r="CQ29" s="190">
        <v>0</v>
      </c>
      <c r="CR29" s="190">
        <v>0</v>
      </c>
      <c r="CS29" s="190">
        <v>0</v>
      </c>
      <c r="CT29" s="190">
        <v>3712</v>
      </c>
      <c r="CU29" s="190">
        <v>19103</v>
      </c>
      <c r="CV29" s="190">
        <v>22815</v>
      </c>
      <c r="CW29" s="190">
        <v>264</v>
      </c>
      <c r="CX29" s="190">
        <v>982</v>
      </c>
      <c r="CY29" s="190">
        <v>1246</v>
      </c>
      <c r="CZ29" s="190">
        <v>260</v>
      </c>
      <c r="DA29" s="190">
        <v>2</v>
      </c>
      <c r="DB29" s="190">
        <v>0</v>
      </c>
      <c r="DC29" s="190">
        <v>957</v>
      </c>
      <c r="DD29" s="190">
        <v>7</v>
      </c>
      <c r="DE29" s="190">
        <v>0</v>
      </c>
      <c r="DF29" s="190">
        <v>262</v>
      </c>
      <c r="DG29" s="190">
        <v>964</v>
      </c>
      <c r="DH29" s="190">
        <v>1226</v>
      </c>
      <c r="DI29" s="190">
        <v>2</v>
      </c>
      <c r="DJ29" s="190">
        <v>0</v>
      </c>
      <c r="DK29" s="190">
        <v>0</v>
      </c>
      <c r="DL29" s="190">
        <v>18</v>
      </c>
      <c r="DM29" s="190">
        <v>0</v>
      </c>
      <c r="DN29" s="190">
        <v>0</v>
      </c>
      <c r="DO29" s="190">
        <v>2</v>
      </c>
      <c r="DP29" s="190">
        <v>18</v>
      </c>
      <c r="DQ29" s="190">
        <v>20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43</v>
      </c>
      <c r="C30" s="190">
        <v>2</v>
      </c>
      <c r="D30" s="190">
        <v>40</v>
      </c>
      <c r="E30" s="190">
        <v>26</v>
      </c>
      <c r="F30" s="190">
        <v>0</v>
      </c>
      <c r="G30" s="190">
        <v>1</v>
      </c>
      <c r="H30" s="190">
        <v>1</v>
      </c>
      <c r="I30" s="190">
        <v>0</v>
      </c>
      <c r="J30" s="190">
        <v>12</v>
      </c>
      <c r="K30" s="190">
        <v>12</v>
      </c>
      <c r="L30" s="190">
        <v>0</v>
      </c>
      <c r="M30" s="190">
        <v>1</v>
      </c>
      <c r="N30" s="190">
        <v>1</v>
      </c>
      <c r="O30" s="190">
        <v>0</v>
      </c>
      <c r="P30" s="190">
        <v>11</v>
      </c>
      <c r="Q30" s="190">
        <v>11</v>
      </c>
      <c r="R30" s="190">
        <v>0</v>
      </c>
      <c r="S30" s="190">
        <v>0</v>
      </c>
      <c r="T30" s="190">
        <v>0</v>
      </c>
      <c r="U30" s="190">
        <v>0</v>
      </c>
      <c r="V30" s="190">
        <v>2</v>
      </c>
      <c r="W30" s="190">
        <v>2</v>
      </c>
      <c r="X30" s="190">
        <v>2</v>
      </c>
      <c r="Y30" s="190">
        <v>38</v>
      </c>
      <c r="Z30" s="190">
        <v>40</v>
      </c>
      <c r="AA30" s="190">
        <v>0</v>
      </c>
      <c r="AB30" s="190">
        <v>22</v>
      </c>
      <c r="AC30" s="190">
        <v>22</v>
      </c>
      <c r="AD30" s="190">
        <v>0</v>
      </c>
      <c r="AE30" s="190">
        <v>20</v>
      </c>
      <c r="AF30" s="190">
        <v>20</v>
      </c>
      <c r="AG30" s="190">
        <v>0</v>
      </c>
      <c r="AH30" s="190">
        <v>1</v>
      </c>
      <c r="AI30" s="190">
        <v>1</v>
      </c>
      <c r="AJ30" s="190">
        <v>0</v>
      </c>
      <c r="AK30" s="190">
        <v>1</v>
      </c>
      <c r="AL30" s="190">
        <v>1</v>
      </c>
      <c r="AM30" s="190">
        <v>2</v>
      </c>
      <c r="AN30" s="190">
        <v>16</v>
      </c>
      <c r="AO30" s="190">
        <v>18</v>
      </c>
      <c r="AP30" s="190">
        <v>67</v>
      </c>
      <c r="AQ30" s="190">
        <v>424</v>
      </c>
      <c r="AR30" s="190">
        <v>491</v>
      </c>
      <c r="AS30" s="190">
        <v>67</v>
      </c>
      <c r="AT30" s="190">
        <v>424</v>
      </c>
      <c r="AU30" s="190">
        <v>491</v>
      </c>
      <c r="AV30" s="190">
        <v>0</v>
      </c>
      <c r="AW30" s="190">
        <v>0</v>
      </c>
      <c r="AX30" s="190">
        <v>0</v>
      </c>
      <c r="AY30" s="190">
        <v>7</v>
      </c>
      <c r="AZ30" s="190">
        <v>34</v>
      </c>
      <c r="BA30" s="190">
        <v>41</v>
      </c>
      <c r="BB30" s="190">
        <v>2</v>
      </c>
      <c r="BC30" s="190">
        <v>0</v>
      </c>
      <c r="BD30" s="190">
        <v>0</v>
      </c>
      <c r="BE30" s="190">
        <v>24</v>
      </c>
      <c r="BF30" s="190">
        <v>0</v>
      </c>
      <c r="BG30" s="190">
        <v>0</v>
      </c>
      <c r="BH30" s="190">
        <v>2</v>
      </c>
      <c r="BI30" s="190">
        <v>24</v>
      </c>
      <c r="BJ30" s="190">
        <v>26</v>
      </c>
      <c r="BK30" s="190">
        <v>3</v>
      </c>
      <c r="BL30" s="190">
        <v>-3</v>
      </c>
      <c r="BM30" s="190">
        <v>0</v>
      </c>
      <c r="BN30" s="190">
        <v>0</v>
      </c>
      <c r="BO30" s="190">
        <v>2</v>
      </c>
      <c r="BP30" s="190">
        <v>2</v>
      </c>
      <c r="BQ30" s="190">
        <v>1</v>
      </c>
      <c r="BR30" s="190">
        <v>1</v>
      </c>
      <c r="BS30" s="190">
        <v>2</v>
      </c>
      <c r="BT30" s="190">
        <v>1</v>
      </c>
      <c r="BU30" s="190">
        <v>10</v>
      </c>
      <c r="BV30" s="190">
        <v>11</v>
      </c>
      <c r="BW30" s="190">
        <v>74</v>
      </c>
      <c r="BX30" s="190">
        <v>458</v>
      </c>
      <c r="BY30" s="190">
        <v>532</v>
      </c>
      <c r="BZ30" s="190">
        <v>72</v>
      </c>
      <c r="CA30" s="190">
        <v>457</v>
      </c>
      <c r="CB30" s="190">
        <v>529</v>
      </c>
      <c r="CC30" s="190">
        <v>1090</v>
      </c>
      <c r="CD30" s="190">
        <v>0</v>
      </c>
      <c r="CE30" s="190">
        <v>3</v>
      </c>
      <c r="CF30" s="190">
        <v>2</v>
      </c>
      <c r="CG30" s="190">
        <v>1</v>
      </c>
      <c r="CH30" s="190">
        <v>3</v>
      </c>
      <c r="CI30" s="190">
        <v>0</v>
      </c>
      <c r="CJ30" s="190">
        <v>0</v>
      </c>
      <c r="CK30" s="190">
        <v>0</v>
      </c>
      <c r="CL30" s="190">
        <v>0</v>
      </c>
      <c r="CM30" s="190">
        <v>0</v>
      </c>
      <c r="CN30" s="190">
        <v>4</v>
      </c>
      <c r="CO30" s="190">
        <v>33</v>
      </c>
      <c r="CP30" s="190">
        <v>37</v>
      </c>
      <c r="CQ30" s="190">
        <v>0</v>
      </c>
      <c r="CR30" s="190">
        <v>0</v>
      </c>
      <c r="CS30" s="190">
        <v>0</v>
      </c>
      <c r="CT30" s="190">
        <v>70</v>
      </c>
      <c r="CU30" s="190">
        <v>425</v>
      </c>
      <c r="CV30" s="190">
        <v>495</v>
      </c>
      <c r="CW30" s="190">
        <v>2</v>
      </c>
      <c r="CX30" s="190">
        <v>13</v>
      </c>
      <c r="CY30" s="190">
        <v>15</v>
      </c>
      <c r="CZ30" s="190">
        <v>2</v>
      </c>
      <c r="DA30" s="190">
        <v>0</v>
      </c>
      <c r="DB30" s="190">
        <v>0</v>
      </c>
      <c r="DC30" s="190">
        <v>13</v>
      </c>
      <c r="DD30" s="190">
        <v>0</v>
      </c>
      <c r="DE30" s="190">
        <v>0</v>
      </c>
      <c r="DF30" s="190">
        <v>2</v>
      </c>
      <c r="DG30" s="190">
        <v>13</v>
      </c>
      <c r="DH30" s="190">
        <v>15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39</v>
      </c>
      <c r="C31" s="190">
        <v>8</v>
      </c>
      <c r="D31" s="190">
        <v>42</v>
      </c>
      <c r="E31" s="190">
        <v>24</v>
      </c>
      <c r="F31" s="190">
        <v>0</v>
      </c>
      <c r="G31" s="190">
        <v>0</v>
      </c>
      <c r="H31" s="190">
        <v>0</v>
      </c>
      <c r="I31" s="190">
        <v>0</v>
      </c>
      <c r="J31" s="190">
        <v>16</v>
      </c>
      <c r="K31" s="190">
        <v>16</v>
      </c>
      <c r="L31" s="190">
        <v>0</v>
      </c>
      <c r="M31" s="190">
        <v>4</v>
      </c>
      <c r="N31" s="190">
        <v>4</v>
      </c>
      <c r="O31" s="190">
        <v>0</v>
      </c>
      <c r="P31" s="190">
        <v>12</v>
      </c>
      <c r="Q31" s="190">
        <v>12</v>
      </c>
      <c r="R31" s="190">
        <v>0</v>
      </c>
      <c r="S31" s="190">
        <v>0</v>
      </c>
      <c r="T31" s="190">
        <v>0</v>
      </c>
      <c r="U31" s="190">
        <v>0</v>
      </c>
      <c r="V31" s="190">
        <v>2</v>
      </c>
      <c r="W31" s="190">
        <v>2</v>
      </c>
      <c r="X31" s="190">
        <v>0</v>
      </c>
      <c r="Y31" s="190">
        <v>42</v>
      </c>
      <c r="Z31" s="190">
        <v>42</v>
      </c>
      <c r="AA31" s="190">
        <v>0</v>
      </c>
      <c r="AB31" s="190">
        <v>14</v>
      </c>
      <c r="AC31" s="190">
        <v>14</v>
      </c>
      <c r="AD31" s="190">
        <v>0</v>
      </c>
      <c r="AE31" s="190">
        <v>14</v>
      </c>
      <c r="AF31" s="190">
        <v>14</v>
      </c>
      <c r="AG31" s="190">
        <v>0</v>
      </c>
      <c r="AH31" s="190">
        <v>0</v>
      </c>
      <c r="AI31" s="190">
        <v>0</v>
      </c>
      <c r="AJ31" s="190">
        <v>0</v>
      </c>
      <c r="AK31" s="190">
        <v>0</v>
      </c>
      <c r="AL31" s="190">
        <v>0</v>
      </c>
      <c r="AM31" s="190">
        <v>0</v>
      </c>
      <c r="AN31" s="190">
        <v>28</v>
      </c>
      <c r="AO31" s="190">
        <v>28</v>
      </c>
      <c r="AP31" s="190">
        <v>13</v>
      </c>
      <c r="AQ31" s="190">
        <v>409</v>
      </c>
      <c r="AR31" s="190">
        <v>422</v>
      </c>
      <c r="AS31" s="190">
        <v>13</v>
      </c>
      <c r="AT31" s="190">
        <v>409</v>
      </c>
      <c r="AU31" s="190">
        <v>422</v>
      </c>
      <c r="AV31" s="190">
        <v>0</v>
      </c>
      <c r="AW31" s="190">
        <v>0</v>
      </c>
      <c r="AX31" s="190">
        <v>0</v>
      </c>
      <c r="AY31" s="190">
        <v>3</v>
      </c>
      <c r="AZ31" s="190">
        <v>37</v>
      </c>
      <c r="BA31" s="190">
        <v>40</v>
      </c>
      <c r="BB31" s="190">
        <v>0</v>
      </c>
      <c r="BC31" s="190">
        <v>0</v>
      </c>
      <c r="BD31" s="190">
        <v>0</v>
      </c>
      <c r="BE31" s="190">
        <v>24</v>
      </c>
      <c r="BF31" s="190">
        <v>0</v>
      </c>
      <c r="BG31" s="190">
        <v>0</v>
      </c>
      <c r="BH31" s="190">
        <v>0</v>
      </c>
      <c r="BI31" s="190">
        <v>24</v>
      </c>
      <c r="BJ31" s="190">
        <v>24</v>
      </c>
      <c r="BK31" s="190">
        <v>1</v>
      </c>
      <c r="BL31" s="190">
        <v>-1</v>
      </c>
      <c r="BM31" s="190">
        <v>0</v>
      </c>
      <c r="BN31" s="190">
        <v>1</v>
      </c>
      <c r="BO31" s="190">
        <v>1</v>
      </c>
      <c r="BP31" s="190">
        <v>2</v>
      </c>
      <c r="BQ31" s="190">
        <v>1</v>
      </c>
      <c r="BR31" s="190">
        <v>4</v>
      </c>
      <c r="BS31" s="190">
        <v>5</v>
      </c>
      <c r="BT31" s="190">
        <v>0</v>
      </c>
      <c r="BU31" s="190">
        <v>9</v>
      </c>
      <c r="BV31" s="190">
        <v>9</v>
      </c>
      <c r="BW31" s="190">
        <v>16</v>
      </c>
      <c r="BX31" s="190">
        <v>446</v>
      </c>
      <c r="BY31" s="190">
        <v>462</v>
      </c>
      <c r="BZ31" s="190">
        <v>16</v>
      </c>
      <c r="CA31" s="190">
        <v>443</v>
      </c>
      <c r="CB31" s="190">
        <v>459</v>
      </c>
      <c r="CC31" s="190">
        <v>807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2</v>
      </c>
      <c r="CO31" s="190">
        <v>42</v>
      </c>
      <c r="CP31" s="190">
        <v>44</v>
      </c>
      <c r="CQ31" s="190">
        <v>0</v>
      </c>
      <c r="CR31" s="190">
        <v>0</v>
      </c>
      <c r="CS31" s="190">
        <v>0</v>
      </c>
      <c r="CT31" s="190">
        <v>14</v>
      </c>
      <c r="CU31" s="190">
        <v>404</v>
      </c>
      <c r="CV31" s="190">
        <v>418</v>
      </c>
      <c r="CW31" s="190">
        <v>0</v>
      </c>
      <c r="CX31" s="190">
        <v>17</v>
      </c>
      <c r="CY31" s="190">
        <v>17</v>
      </c>
      <c r="CZ31" s="190">
        <v>0</v>
      </c>
      <c r="DA31" s="190">
        <v>0</v>
      </c>
      <c r="DB31" s="190">
        <v>0</v>
      </c>
      <c r="DC31" s="190">
        <v>17</v>
      </c>
      <c r="DD31" s="190">
        <v>0</v>
      </c>
      <c r="DE31" s="190">
        <v>0</v>
      </c>
      <c r="DF31" s="190">
        <v>0</v>
      </c>
      <c r="DG31" s="190">
        <v>17</v>
      </c>
      <c r="DH31" s="190">
        <v>17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2022</v>
      </c>
      <c r="C32" s="190">
        <v>471</v>
      </c>
      <c r="D32" s="190">
        <v>1867</v>
      </c>
      <c r="E32" s="190">
        <v>1127</v>
      </c>
      <c r="F32" s="190">
        <v>0</v>
      </c>
      <c r="G32" s="190">
        <v>9</v>
      </c>
      <c r="H32" s="190">
        <v>9</v>
      </c>
      <c r="I32" s="190">
        <v>1</v>
      </c>
      <c r="J32" s="190">
        <v>633</v>
      </c>
      <c r="K32" s="190">
        <v>634</v>
      </c>
      <c r="L32" s="190">
        <v>1</v>
      </c>
      <c r="M32" s="190">
        <v>418</v>
      </c>
      <c r="N32" s="190">
        <v>419</v>
      </c>
      <c r="O32" s="190">
        <v>0</v>
      </c>
      <c r="P32" s="190">
        <v>215</v>
      </c>
      <c r="Q32" s="190">
        <v>215</v>
      </c>
      <c r="R32" s="190">
        <v>0</v>
      </c>
      <c r="S32" s="190">
        <v>8</v>
      </c>
      <c r="T32" s="190">
        <v>8</v>
      </c>
      <c r="U32" s="190">
        <v>0</v>
      </c>
      <c r="V32" s="190">
        <v>106</v>
      </c>
      <c r="W32" s="190">
        <v>106</v>
      </c>
      <c r="X32" s="190">
        <v>32</v>
      </c>
      <c r="Y32" s="190">
        <v>1834</v>
      </c>
      <c r="Z32" s="190">
        <v>1866</v>
      </c>
      <c r="AA32" s="190">
        <v>24</v>
      </c>
      <c r="AB32" s="190">
        <v>589</v>
      </c>
      <c r="AC32" s="190">
        <v>613</v>
      </c>
      <c r="AD32" s="190">
        <v>23</v>
      </c>
      <c r="AE32" s="190">
        <v>572</v>
      </c>
      <c r="AF32" s="190">
        <v>595</v>
      </c>
      <c r="AG32" s="190">
        <v>1</v>
      </c>
      <c r="AH32" s="190">
        <v>9</v>
      </c>
      <c r="AI32" s="190">
        <v>10</v>
      </c>
      <c r="AJ32" s="190">
        <v>0</v>
      </c>
      <c r="AK32" s="190">
        <v>8</v>
      </c>
      <c r="AL32" s="190">
        <v>8</v>
      </c>
      <c r="AM32" s="190">
        <v>8</v>
      </c>
      <c r="AN32" s="190">
        <v>1245</v>
      </c>
      <c r="AO32" s="190">
        <v>1253</v>
      </c>
      <c r="AP32" s="190">
        <v>2230</v>
      </c>
      <c r="AQ32" s="190">
        <v>17786</v>
      </c>
      <c r="AR32" s="190">
        <v>20016</v>
      </c>
      <c r="AS32" s="190">
        <v>2230</v>
      </c>
      <c r="AT32" s="190">
        <v>17786</v>
      </c>
      <c r="AU32" s="190">
        <v>20016</v>
      </c>
      <c r="AV32" s="190">
        <v>0</v>
      </c>
      <c r="AW32" s="190">
        <v>0</v>
      </c>
      <c r="AX32" s="190">
        <v>0</v>
      </c>
      <c r="AY32" s="190">
        <v>-13</v>
      </c>
      <c r="AZ32" s="190">
        <v>1804</v>
      </c>
      <c r="BA32" s="190">
        <v>1791</v>
      </c>
      <c r="BB32" s="190">
        <v>47</v>
      </c>
      <c r="BC32" s="190">
        <v>0</v>
      </c>
      <c r="BD32" s="190">
        <v>0</v>
      </c>
      <c r="BE32" s="190">
        <v>1069</v>
      </c>
      <c r="BF32" s="190">
        <v>10</v>
      </c>
      <c r="BG32" s="190">
        <v>1</v>
      </c>
      <c r="BH32" s="190">
        <v>47</v>
      </c>
      <c r="BI32" s="190">
        <v>1080</v>
      </c>
      <c r="BJ32" s="190">
        <v>1127</v>
      </c>
      <c r="BK32" s="190">
        <v>-149</v>
      </c>
      <c r="BL32" s="190">
        <v>149</v>
      </c>
      <c r="BM32" s="190">
        <v>0</v>
      </c>
      <c r="BN32" s="190">
        <v>5</v>
      </c>
      <c r="BO32" s="190">
        <v>32</v>
      </c>
      <c r="BP32" s="190">
        <v>37</v>
      </c>
      <c r="BQ32" s="190">
        <v>10</v>
      </c>
      <c r="BR32" s="190">
        <v>126</v>
      </c>
      <c r="BS32" s="190">
        <v>136</v>
      </c>
      <c r="BT32" s="190">
        <v>74</v>
      </c>
      <c r="BU32" s="190">
        <v>417</v>
      </c>
      <c r="BV32" s="190">
        <v>491</v>
      </c>
      <c r="BW32" s="190">
        <v>2217</v>
      </c>
      <c r="BX32" s="190">
        <v>19590</v>
      </c>
      <c r="BY32" s="190">
        <v>21807</v>
      </c>
      <c r="BZ32" s="190">
        <v>2200</v>
      </c>
      <c r="CA32" s="190">
        <v>19359</v>
      </c>
      <c r="CB32" s="190">
        <v>21559</v>
      </c>
      <c r="CC32" s="190">
        <v>47230</v>
      </c>
      <c r="CD32" s="190">
        <v>10</v>
      </c>
      <c r="CE32" s="190">
        <v>228</v>
      </c>
      <c r="CF32" s="190">
        <v>17</v>
      </c>
      <c r="CG32" s="190">
        <v>193</v>
      </c>
      <c r="CH32" s="190">
        <v>210</v>
      </c>
      <c r="CI32" s="190">
        <v>42</v>
      </c>
      <c r="CJ32" s="190">
        <v>8</v>
      </c>
      <c r="CK32" s="190">
        <v>0</v>
      </c>
      <c r="CL32" s="190">
        <v>38</v>
      </c>
      <c r="CM32" s="190">
        <v>38</v>
      </c>
      <c r="CN32" s="190">
        <v>151</v>
      </c>
      <c r="CO32" s="190">
        <v>2083</v>
      </c>
      <c r="CP32" s="190">
        <v>2234</v>
      </c>
      <c r="CQ32" s="190">
        <v>0</v>
      </c>
      <c r="CR32" s="190">
        <v>0</v>
      </c>
      <c r="CS32" s="190">
        <v>0</v>
      </c>
      <c r="CT32" s="190">
        <v>2066</v>
      </c>
      <c r="CU32" s="190">
        <v>17507</v>
      </c>
      <c r="CV32" s="190">
        <v>19573</v>
      </c>
      <c r="CW32" s="190">
        <v>199</v>
      </c>
      <c r="CX32" s="190">
        <v>833</v>
      </c>
      <c r="CY32" s="190">
        <v>1032</v>
      </c>
      <c r="CZ32" s="190">
        <v>195</v>
      </c>
      <c r="DA32" s="190">
        <v>4</v>
      </c>
      <c r="DB32" s="190">
        <v>0</v>
      </c>
      <c r="DC32" s="190">
        <v>788</v>
      </c>
      <c r="DD32" s="190">
        <v>7</v>
      </c>
      <c r="DE32" s="190">
        <v>1</v>
      </c>
      <c r="DF32" s="190">
        <v>199</v>
      </c>
      <c r="DG32" s="190">
        <v>796</v>
      </c>
      <c r="DH32" s="190">
        <v>995</v>
      </c>
      <c r="DI32" s="190">
        <v>0</v>
      </c>
      <c r="DJ32" s="190">
        <v>0</v>
      </c>
      <c r="DK32" s="190">
        <v>0</v>
      </c>
      <c r="DL32" s="190">
        <v>37</v>
      </c>
      <c r="DM32" s="190">
        <v>0</v>
      </c>
      <c r="DN32" s="190">
        <v>0</v>
      </c>
      <c r="DO32" s="190">
        <v>0</v>
      </c>
      <c r="DP32" s="190">
        <v>37</v>
      </c>
      <c r="DQ32" s="190">
        <v>37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339</v>
      </c>
      <c r="C33" s="190">
        <v>73</v>
      </c>
      <c r="D33" s="190">
        <v>339</v>
      </c>
      <c r="E33" s="190">
        <v>166</v>
      </c>
      <c r="F33" s="190">
        <v>0</v>
      </c>
      <c r="G33" s="190">
        <v>2</v>
      </c>
      <c r="H33" s="190">
        <v>2</v>
      </c>
      <c r="I33" s="190">
        <v>0</v>
      </c>
      <c r="J33" s="190">
        <v>134</v>
      </c>
      <c r="K33" s="190">
        <v>134</v>
      </c>
      <c r="L33" s="190">
        <v>0</v>
      </c>
      <c r="M33" s="190">
        <v>37</v>
      </c>
      <c r="N33" s="190">
        <v>37</v>
      </c>
      <c r="O33" s="190">
        <v>0</v>
      </c>
      <c r="P33" s="190">
        <v>97</v>
      </c>
      <c r="Q33" s="190">
        <v>97</v>
      </c>
      <c r="R33" s="190">
        <v>0</v>
      </c>
      <c r="S33" s="190">
        <v>4</v>
      </c>
      <c r="T33" s="190">
        <v>4</v>
      </c>
      <c r="U33" s="190">
        <v>0</v>
      </c>
      <c r="V33" s="190">
        <v>39</v>
      </c>
      <c r="W33" s="190">
        <v>39</v>
      </c>
      <c r="X33" s="190">
        <v>7</v>
      </c>
      <c r="Y33" s="190">
        <v>332</v>
      </c>
      <c r="Z33" s="190">
        <v>339</v>
      </c>
      <c r="AA33" s="190">
        <v>3</v>
      </c>
      <c r="AB33" s="190">
        <v>87</v>
      </c>
      <c r="AC33" s="190">
        <v>90</v>
      </c>
      <c r="AD33" s="190">
        <v>2</v>
      </c>
      <c r="AE33" s="190">
        <v>81</v>
      </c>
      <c r="AF33" s="190">
        <v>83</v>
      </c>
      <c r="AG33" s="190">
        <v>0</v>
      </c>
      <c r="AH33" s="190">
        <v>3</v>
      </c>
      <c r="AI33" s="190">
        <v>3</v>
      </c>
      <c r="AJ33" s="190">
        <v>1</v>
      </c>
      <c r="AK33" s="190">
        <v>3</v>
      </c>
      <c r="AL33" s="190">
        <v>4</v>
      </c>
      <c r="AM33" s="190">
        <v>4</v>
      </c>
      <c r="AN33" s="190">
        <v>245</v>
      </c>
      <c r="AO33" s="190">
        <v>249</v>
      </c>
      <c r="AP33" s="190">
        <v>292</v>
      </c>
      <c r="AQ33" s="190">
        <v>2946</v>
      </c>
      <c r="AR33" s="190">
        <v>3238</v>
      </c>
      <c r="AS33" s="190">
        <v>292</v>
      </c>
      <c r="AT33" s="190">
        <v>2946</v>
      </c>
      <c r="AU33" s="190">
        <v>3238</v>
      </c>
      <c r="AV33" s="190">
        <v>0</v>
      </c>
      <c r="AW33" s="190">
        <v>0</v>
      </c>
      <c r="AX33" s="190">
        <v>0</v>
      </c>
      <c r="AY33" s="190">
        <v>11</v>
      </c>
      <c r="AZ33" s="190">
        <v>316</v>
      </c>
      <c r="BA33" s="190">
        <v>327</v>
      </c>
      <c r="BB33" s="190">
        <v>10</v>
      </c>
      <c r="BC33" s="190">
        <v>0</v>
      </c>
      <c r="BD33" s="190">
        <v>0</v>
      </c>
      <c r="BE33" s="190">
        <v>154</v>
      </c>
      <c r="BF33" s="190">
        <v>2</v>
      </c>
      <c r="BG33" s="190">
        <v>0</v>
      </c>
      <c r="BH33" s="190">
        <v>10</v>
      </c>
      <c r="BI33" s="190">
        <v>156</v>
      </c>
      <c r="BJ33" s="190">
        <v>166</v>
      </c>
      <c r="BK33" s="190">
        <v>-6</v>
      </c>
      <c r="BL33" s="190">
        <v>6</v>
      </c>
      <c r="BM33" s="190">
        <v>0</v>
      </c>
      <c r="BN33" s="190">
        <v>0</v>
      </c>
      <c r="BO33" s="190">
        <v>5</v>
      </c>
      <c r="BP33" s="190">
        <v>5</v>
      </c>
      <c r="BQ33" s="190">
        <v>3</v>
      </c>
      <c r="BR33" s="190">
        <v>12</v>
      </c>
      <c r="BS33" s="190">
        <v>15</v>
      </c>
      <c r="BT33" s="190">
        <v>4</v>
      </c>
      <c r="BU33" s="190">
        <v>137</v>
      </c>
      <c r="BV33" s="190">
        <v>141</v>
      </c>
      <c r="BW33" s="190">
        <v>303</v>
      </c>
      <c r="BX33" s="190">
        <v>3262</v>
      </c>
      <c r="BY33" s="190">
        <v>3565</v>
      </c>
      <c r="BZ33" s="190">
        <v>295</v>
      </c>
      <c r="CA33" s="190">
        <v>3211</v>
      </c>
      <c r="CB33" s="190">
        <v>3506</v>
      </c>
      <c r="CC33" s="190">
        <v>7214</v>
      </c>
      <c r="CD33" s="190">
        <v>2</v>
      </c>
      <c r="CE33" s="190">
        <v>53</v>
      </c>
      <c r="CF33" s="190">
        <v>8</v>
      </c>
      <c r="CG33" s="190">
        <v>43</v>
      </c>
      <c r="CH33" s="190">
        <v>51</v>
      </c>
      <c r="CI33" s="190">
        <v>7</v>
      </c>
      <c r="CJ33" s="190">
        <v>4</v>
      </c>
      <c r="CK33" s="190">
        <v>0</v>
      </c>
      <c r="CL33" s="190">
        <v>8</v>
      </c>
      <c r="CM33" s="190">
        <v>8</v>
      </c>
      <c r="CN33" s="190">
        <v>9</v>
      </c>
      <c r="CO33" s="190">
        <v>325</v>
      </c>
      <c r="CP33" s="190">
        <v>334</v>
      </c>
      <c r="CQ33" s="190">
        <v>0</v>
      </c>
      <c r="CR33" s="190">
        <v>0</v>
      </c>
      <c r="CS33" s="190">
        <v>0</v>
      </c>
      <c r="CT33" s="190">
        <v>294</v>
      </c>
      <c r="CU33" s="190">
        <v>2937</v>
      </c>
      <c r="CV33" s="190">
        <v>3231</v>
      </c>
      <c r="CW33" s="190">
        <v>21</v>
      </c>
      <c r="CX33" s="190">
        <v>183</v>
      </c>
      <c r="CY33" s="190">
        <v>204</v>
      </c>
      <c r="CZ33" s="190">
        <v>21</v>
      </c>
      <c r="DA33" s="190">
        <v>0</v>
      </c>
      <c r="DB33" s="190">
        <v>0</v>
      </c>
      <c r="DC33" s="190">
        <v>180</v>
      </c>
      <c r="DD33" s="190">
        <v>0</v>
      </c>
      <c r="DE33" s="190">
        <v>0</v>
      </c>
      <c r="DF33" s="190">
        <v>21</v>
      </c>
      <c r="DG33" s="190">
        <v>180</v>
      </c>
      <c r="DH33" s="190">
        <v>201</v>
      </c>
      <c r="DI33" s="190">
        <v>0</v>
      </c>
      <c r="DJ33" s="190">
        <v>0</v>
      </c>
      <c r="DK33" s="190">
        <v>0</v>
      </c>
      <c r="DL33" s="190">
        <v>2</v>
      </c>
      <c r="DM33" s="190">
        <v>1</v>
      </c>
      <c r="DN33" s="190">
        <v>0</v>
      </c>
      <c r="DO33" s="190">
        <v>0</v>
      </c>
      <c r="DP33" s="190">
        <v>3</v>
      </c>
      <c r="DQ33" s="190">
        <v>3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421</v>
      </c>
      <c r="C34" s="190">
        <v>110</v>
      </c>
      <c r="D34" s="190">
        <v>374</v>
      </c>
      <c r="E34" s="190">
        <v>237</v>
      </c>
      <c r="F34" s="190">
        <v>0</v>
      </c>
      <c r="G34" s="190">
        <v>12</v>
      </c>
      <c r="H34" s="190">
        <v>12</v>
      </c>
      <c r="I34" s="190">
        <v>0</v>
      </c>
      <c r="J34" s="190">
        <v>130</v>
      </c>
      <c r="K34" s="190">
        <v>130</v>
      </c>
      <c r="L34" s="190">
        <v>0</v>
      </c>
      <c r="M34" s="190">
        <v>66</v>
      </c>
      <c r="N34" s="190">
        <v>66</v>
      </c>
      <c r="O34" s="190">
        <v>0</v>
      </c>
      <c r="P34" s="190">
        <v>64</v>
      </c>
      <c r="Q34" s="190">
        <v>64</v>
      </c>
      <c r="R34" s="190">
        <v>0</v>
      </c>
      <c r="S34" s="190">
        <v>12</v>
      </c>
      <c r="T34" s="190">
        <v>12</v>
      </c>
      <c r="U34" s="190">
        <v>0</v>
      </c>
      <c r="V34" s="190">
        <v>7</v>
      </c>
      <c r="W34" s="190">
        <v>7</v>
      </c>
      <c r="X34" s="190">
        <v>3</v>
      </c>
      <c r="Y34" s="190">
        <v>371</v>
      </c>
      <c r="Z34" s="190">
        <v>374</v>
      </c>
      <c r="AA34" s="190">
        <v>2</v>
      </c>
      <c r="AB34" s="190">
        <v>166</v>
      </c>
      <c r="AC34" s="190">
        <v>168</v>
      </c>
      <c r="AD34" s="190">
        <v>2</v>
      </c>
      <c r="AE34" s="190">
        <v>139</v>
      </c>
      <c r="AF34" s="190">
        <v>141</v>
      </c>
      <c r="AG34" s="190">
        <v>0</v>
      </c>
      <c r="AH34" s="190">
        <v>10</v>
      </c>
      <c r="AI34" s="190">
        <v>10</v>
      </c>
      <c r="AJ34" s="190">
        <v>0</v>
      </c>
      <c r="AK34" s="190">
        <v>17</v>
      </c>
      <c r="AL34" s="190">
        <v>17</v>
      </c>
      <c r="AM34" s="190">
        <v>1</v>
      </c>
      <c r="AN34" s="190">
        <v>205</v>
      </c>
      <c r="AO34" s="190">
        <v>206</v>
      </c>
      <c r="AP34" s="190">
        <v>256</v>
      </c>
      <c r="AQ34" s="190">
        <v>3828</v>
      </c>
      <c r="AR34" s="190">
        <v>4084</v>
      </c>
      <c r="AS34" s="190">
        <v>256</v>
      </c>
      <c r="AT34" s="190">
        <v>3828</v>
      </c>
      <c r="AU34" s="190">
        <v>4084</v>
      </c>
      <c r="AV34" s="190">
        <v>0</v>
      </c>
      <c r="AW34" s="190">
        <v>0</v>
      </c>
      <c r="AX34" s="190">
        <v>0</v>
      </c>
      <c r="AY34" s="190">
        <v>0</v>
      </c>
      <c r="AZ34" s="190">
        <v>356</v>
      </c>
      <c r="BA34" s="190">
        <v>356</v>
      </c>
      <c r="BB34" s="190">
        <v>3</v>
      </c>
      <c r="BC34" s="190">
        <v>0</v>
      </c>
      <c r="BD34" s="190">
        <v>0</v>
      </c>
      <c r="BE34" s="190">
        <v>233</v>
      </c>
      <c r="BF34" s="190">
        <v>0</v>
      </c>
      <c r="BG34" s="190">
        <v>1</v>
      </c>
      <c r="BH34" s="190">
        <v>3</v>
      </c>
      <c r="BI34" s="190">
        <v>234</v>
      </c>
      <c r="BJ34" s="190">
        <v>237</v>
      </c>
      <c r="BK34" s="190">
        <v>-6</v>
      </c>
      <c r="BL34" s="190">
        <v>6</v>
      </c>
      <c r="BM34" s="190">
        <v>0</v>
      </c>
      <c r="BN34" s="190">
        <v>2</v>
      </c>
      <c r="BO34" s="190">
        <v>11</v>
      </c>
      <c r="BP34" s="190">
        <v>13</v>
      </c>
      <c r="BQ34" s="190">
        <v>0</v>
      </c>
      <c r="BR34" s="190">
        <v>20</v>
      </c>
      <c r="BS34" s="190">
        <v>20</v>
      </c>
      <c r="BT34" s="190">
        <v>1</v>
      </c>
      <c r="BU34" s="190">
        <v>85</v>
      </c>
      <c r="BV34" s="190">
        <v>86</v>
      </c>
      <c r="BW34" s="190">
        <v>256</v>
      </c>
      <c r="BX34" s="190">
        <v>4184</v>
      </c>
      <c r="BY34" s="190">
        <v>4440</v>
      </c>
      <c r="BZ34" s="190">
        <v>256</v>
      </c>
      <c r="CA34" s="190">
        <v>4169</v>
      </c>
      <c r="CB34" s="190">
        <v>4425</v>
      </c>
      <c r="CC34" s="190">
        <v>7708</v>
      </c>
      <c r="CD34" s="190">
        <v>0</v>
      </c>
      <c r="CE34" s="190">
        <v>13</v>
      </c>
      <c r="CF34" s="190">
        <v>0</v>
      </c>
      <c r="CG34" s="190">
        <v>11</v>
      </c>
      <c r="CH34" s="190">
        <v>11</v>
      </c>
      <c r="CI34" s="190">
        <v>5</v>
      </c>
      <c r="CJ34" s="190">
        <v>0</v>
      </c>
      <c r="CK34" s="190">
        <v>0</v>
      </c>
      <c r="CL34" s="190">
        <v>4</v>
      </c>
      <c r="CM34" s="190">
        <v>4</v>
      </c>
      <c r="CN34" s="190">
        <v>15</v>
      </c>
      <c r="CO34" s="190">
        <v>365</v>
      </c>
      <c r="CP34" s="190">
        <v>380</v>
      </c>
      <c r="CQ34" s="190">
        <v>0</v>
      </c>
      <c r="CR34" s="190">
        <v>0</v>
      </c>
      <c r="CS34" s="190">
        <v>0</v>
      </c>
      <c r="CT34" s="190">
        <v>241</v>
      </c>
      <c r="CU34" s="190">
        <v>3819</v>
      </c>
      <c r="CV34" s="190">
        <v>4060</v>
      </c>
      <c r="CW34" s="190">
        <v>19</v>
      </c>
      <c r="CX34" s="190">
        <v>169</v>
      </c>
      <c r="CY34" s="190">
        <v>188</v>
      </c>
      <c r="CZ34" s="190">
        <v>19</v>
      </c>
      <c r="DA34" s="190">
        <v>0</v>
      </c>
      <c r="DB34" s="190">
        <v>0</v>
      </c>
      <c r="DC34" s="190">
        <v>168</v>
      </c>
      <c r="DD34" s="190">
        <v>0</v>
      </c>
      <c r="DE34" s="190">
        <v>0</v>
      </c>
      <c r="DF34" s="190">
        <v>19</v>
      </c>
      <c r="DG34" s="190">
        <v>168</v>
      </c>
      <c r="DH34" s="190">
        <v>187</v>
      </c>
      <c r="DI34" s="190">
        <v>0</v>
      </c>
      <c r="DJ34" s="190">
        <v>0</v>
      </c>
      <c r="DK34" s="190">
        <v>0</v>
      </c>
      <c r="DL34" s="190">
        <v>1</v>
      </c>
      <c r="DM34" s="190">
        <v>0</v>
      </c>
      <c r="DN34" s="190">
        <v>0</v>
      </c>
      <c r="DO34" s="190">
        <v>0</v>
      </c>
      <c r="DP34" s="190">
        <v>1</v>
      </c>
      <c r="DQ34" s="190">
        <v>1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9258</v>
      </c>
      <c r="C35" s="190">
        <v>2459</v>
      </c>
      <c r="D35" s="190">
        <v>8801</v>
      </c>
      <c r="E35" s="190">
        <v>6601</v>
      </c>
      <c r="F35" s="190">
        <v>3</v>
      </c>
      <c r="G35" s="190">
        <v>62</v>
      </c>
      <c r="H35" s="190">
        <v>65</v>
      </c>
      <c r="I35" s="190">
        <v>1</v>
      </c>
      <c r="J35" s="190">
        <v>1901</v>
      </c>
      <c r="K35" s="190">
        <v>1902</v>
      </c>
      <c r="L35" s="190">
        <v>1</v>
      </c>
      <c r="M35" s="190">
        <v>1896</v>
      </c>
      <c r="N35" s="190">
        <v>1897</v>
      </c>
      <c r="O35" s="190">
        <v>0</v>
      </c>
      <c r="P35" s="190">
        <v>5</v>
      </c>
      <c r="Q35" s="190">
        <v>5</v>
      </c>
      <c r="R35" s="190">
        <v>1</v>
      </c>
      <c r="S35" s="190">
        <v>142</v>
      </c>
      <c r="T35" s="190">
        <v>143</v>
      </c>
      <c r="U35" s="190">
        <v>0</v>
      </c>
      <c r="V35" s="190">
        <v>298</v>
      </c>
      <c r="W35" s="190">
        <v>298</v>
      </c>
      <c r="X35" s="190">
        <v>122</v>
      </c>
      <c r="Y35" s="190">
        <v>5779</v>
      </c>
      <c r="Z35" s="190">
        <v>5901</v>
      </c>
      <c r="AA35" s="190">
        <v>71</v>
      </c>
      <c r="AB35" s="190">
        <v>2167</v>
      </c>
      <c r="AC35" s="190">
        <v>2238</v>
      </c>
      <c r="AD35" s="190">
        <v>71</v>
      </c>
      <c r="AE35" s="190">
        <v>2167</v>
      </c>
      <c r="AF35" s="190">
        <v>2238</v>
      </c>
      <c r="AG35" s="190">
        <v>0</v>
      </c>
      <c r="AH35" s="190">
        <v>0</v>
      </c>
      <c r="AI35" s="190">
        <v>0</v>
      </c>
      <c r="AJ35" s="190">
        <v>0</v>
      </c>
      <c r="AK35" s="190">
        <v>0</v>
      </c>
      <c r="AL35" s="190">
        <v>0</v>
      </c>
      <c r="AM35" s="190">
        <v>51</v>
      </c>
      <c r="AN35" s="190">
        <v>3612</v>
      </c>
      <c r="AO35" s="190">
        <v>3663</v>
      </c>
      <c r="AP35" s="190">
        <v>10401</v>
      </c>
      <c r="AQ35" s="190">
        <v>103862</v>
      </c>
      <c r="AR35" s="190">
        <v>114263</v>
      </c>
      <c r="AS35" s="190">
        <v>10461</v>
      </c>
      <c r="AT35" s="190">
        <v>104189</v>
      </c>
      <c r="AU35" s="190">
        <v>114650</v>
      </c>
      <c r="AV35" s="190">
        <v>-60</v>
      </c>
      <c r="AW35" s="190">
        <v>-327</v>
      </c>
      <c r="AX35" s="190">
        <v>-387</v>
      </c>
      <c r="AY35" s="190">
        <v>448</v>
      </c>
      <c r="AZ35" s="190">
        <v>9372</v>
      </c>
      <c r="BA35" s="190">
        <v>9820</v>
      </c>
      <c r="BB35" s="190">
        <v>296</v>
      </c>
      <c r="BC35" s="190">
        <v>17</v>
      </c>
      <c r="BD35" s="190">
        <v>0</v>
      </c>
      <c r="BE35" s="190">
        <v>6104</v>
      </c>
      <c r="BF35" s="190">
        <v>105</v>
      </c>
      <c r="BG35" s="190">
        <v>79</v>
      </c>
      <c r="BH35" s="190">
        <v>313</v>
      </c>
      <c r="BI35" s="190">
        <v>6288</v>
      </c>
      <c r="BJ35" s="190">
        <v>6601</v>
      </c>
      <c r="BK35" s="190">
        <v>-166</v>
      </c>
      <c r="BL35" s="190">
        <v>166</v>
      </c>
      <c r="BM35" s="190">
        <v>0</v>
      </c>
      <c r="BN35" s="190">
        <v>5</v>
      </c>
      <c r="BO35" s="190">
        <v>55</v>
      </c>
      <c r="BP35" s="190">
        <v>60</v>
      </c>
      <c r="BQ35" s="190">
        <v>1</v>
      </c>
      <c r="BR35" s="190">
        <v>6</v>
      </c>
      <c r="BS35" s="190">
        <v>7</v>
      </c>
      <c r="BT35" s="190">
        <v>295</v>
      </c>
      <c r="BU35" s="190">
        <v>2857</v>
      </c>
      <c r="BV35" s="190">
        <v>3152</v>
      </c>
      <c r="BW35" s="190">
        <v>10849</v>
      </c>
      <c r="BX35" s="190">
        <v>113234</v>
      </c>
      <c r="BY35" s="190">
        <v>124083</v>
      </c>
      <c r="BZ35" s="190">
        <v>10629</v>
      </c>
      <c r="CA35" s="190">
        <v>110002</v>
      </c>
      <c r="CB35" s="190">
        <v>120631</v>
      </c>
      <c r="CC35" s="190">
        <v>254200</v>
      </c>
      <c r="CD35" s="190">
        <v>565</v>
      </c>
      <c r="CE35" s="190">
        <v>2934</v>
      </c>
      <c r="CF35" s="190">
        <v>214</v>
      </c>
      <c r="CG35" s="190">
        <v>2058</v>
      </c>
      <c r="CH35" s="190">
        <v>2272</v>
      </c>
      <c r="CI35" s="190">
        <v>1605</v>
      </c>
      <c r="CJ35" s="190">
        <v>17</v>
      </c>
      <c r="CK35" s="190">
        <v>6</v>
      </c>
      <c r="CL35" s="190">
        <v>1174</v>
      </c>
      <c r="CM35" s="190">
        <v>1180</v>
      </c>
      <c r="CN35" s="190">
        <v>505</v>
      </c>
      <c r="CO35" s="190">
        <v>8694</v>
      </c>
      <c r="CP35" s="190">
        <v>9199</v>
      </c>
      <c r="CQ35" s="190">
        <v>3</v>
      </c>
      <c r="CR35" s="190">
        <v>63</v>
      </c>
      <c r="CS35" s="190">
        <v>66</v>
      </c>
      <c r="CT35" s="190">
        <v>10344</v>
      </c>
      <c r="CU35" s="190">
        <v>104540</v>
      </c>
      <c r="CV35" s="190">
        <v>114884</v>
      </c>
      <c r="CW35" s="190">
        <v>881</v>
      </c>
      <c r="CX35" s="190">
        <v>7206</v>
      </c>
      <c r="CY35" s="190">
        <v>8087</v>
      </c>
      <c r="CZ35" s="190">
        <v>855</v>
      </c>
      <c r="DA35" s="190">
        <v>12</v>
      </c>
      <c r="DB35" s="190">
        <v>0</v>
      </c>
      <c r="DC35" s="190">
        <v>5891</v>
      </c>
      <c r="DD35" s="190">
        <v>134</v>
      </c>
      <c r="DE35" s="190">
        <v>35</v>
      </c>
      <c r="DF35" s="190">
        <v>867</v>
      </c>
      <c r="DG35" s="190">
        <v>6060</v>
      </c>
      <c r="DH35" s="190">
        <v>6927</v>
      </c>
      <c r="DI35" s="190">
        <v>14</v>
      </c>
      <c r="DJ35" s="190">
        <v>0</v>
      </c>
      <c r="DK35" s="190">
        <v>0</v>
      </c>
      <c r="DL35" s="190">
        <v>1112</v>
      </c>
      <c r="DM35" s="190">
        <v>26</v>
      </c>
      <c r="DN35" s="190">
        <v>8</v>
      </c>
      <c r="DO35" s="190">
        <v>14</v>
      </c>
      <c r="DP35" s="190">
        <v>1146</v>
      </c>
      <c r="DQ35" s="190">
        <v>1160</v>
      </c>
      <c r="DR35" s="190">
        <v>0</v>
      </c>
      <c r="DS35" s="190">
        <v>0</v>
      </c>
      <c r="DT35" s="191">
        <v>0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735</v>
      </c>
      <c r="C36" s="190">
        <v>292</v>
      </c>
      <c r="D36" s="190">
        <v>492</v>
      </c>
      <c r="E36" s="190">
        <v>217</v>
      </c>
      <c r="F36" s="190">
        <v>0</v>
      </c>
      <c r="G36" s="190">
        <v>0</v>
      </c>
      <c r="H36" s="190">
        <v>0</v>
      </c>
      <c r="I36" s="190">
        <v>0</v>
      </c>
      <c r="J36" s="190">
        <v>252</v>
      </c>
      <c r="K36" s="190">
        <v>252</v>
      </c>
      <c r="L36" s="190">
        <v>0</v>
      </c>
      <c r="M36" s="190">
        <v>67</v>
      </c>
      <c r="N36" s="190">
        <v>67</v>
      </c>
      <c r="O36" s="190">
        <v>0</v>
      </c>
      <c r="P36" s="190">
        <v>185</v>
      </c>
      <c r="Q36" s="190">
        <v>185</v>
      </c>
      <c r="R36" s="190">
        <v>0</v>
      </c>
      <c r="S36" s="190">
        <v>11</v>
      </c>
      <c r="T36" s="190">
        <v>11</v>
      </c>
      <c r="U36" s="190">
        <v>0</v>
      </c>
      <c r="V36" s="190">
        <v>23</v>
      </c>
      <c r="W36" s="190">
        <v>23</v>
      </c>
      <c r="X36" s="190">
        <v>4</v>
      </c>
      <c r="Y36" s="190">
        <v>371</v>
      </c>
      <c r="Z36" s="190">
        <v>375</v>
      </c>
      <c r="AA36" s="190">
        <v>4</v>
      </c>
      <c r="AB36" s="190">
        <v>173</v>
      </c>
      <c r="AC36" s="190">
        <v>177</v>
      </c>
      <c r="AD36" s="190">
        <v>4</v>
      </c>
      <c r="AE36" s="190">
        <v>165</v>
      </c>
      <c r="AF36" s="190">
        <v>169</v>
      </c>
      <c r="AG36" s="190">
        <v>0</v>
      </c>
      <c r="AH36" s="190">
        <v>5</v>
      </c>
      <c r="AI36" s="190">
        <v>5</v>
      </c>
      <c r="AJ36" s="190">
        <v>0</v>
      </c>
      <c r="AK36" s="190">
        <v>3</v>
      </c>
      <c r="AL36" s="190">
        <v>3</v>
      </c>
      <c r="AM36" s="190">
        <v>0</v>
      </c>
      <c r="AN36" s="190">
        <v>198</v>
      </c>
      <c r="AO36" s="190">
        <v>198</v>
      </c>
      <c r="AP36" s="190">
        <v>662</v>
      </c>
      <c r="AQ36" s="190">
        <v>7959</v>
      </c>
      <c r="AR36" s="190">
        <v>8621</v>
      </c>
      <c r="AS36" s="190">
        <v>643</v>
      </c>
      <c r="AT36" s="190">
        <v>7876</v>
      </c>
      <c r="AU36" s="190">
        <v>8519</v>
      </c>
      <c r="AV36" s="190">
        <v>19</v>
      </c>
      <c r="AW36" s="190">
        <v>83</v>
      </c>
      <c r="AX36" s="190">
        <v>102</v>
      </c>
      <c r="AY36" s="190">
        <v>20</v>
      </c>
      <c r="AZ36" s="190">
        <v>577</v>
      </c>
      <c r="BA36" s="190">
        <v>597</v>
      </c>
      <c r="BB36" s="190">
        <v>22</v>
      </c>
      <c r="BC36" s="190">
        <v>0</v>
      </c>
      <c r="BD36" s="190">
        <v>0</v>
      </c>
      <c r="BE36" s="190">
        <v>193</v>
      </c>
      <c r="BF36" s="190">
        <v>2</v>
      </c>
      <c r="BG36" s="190">
        <v>0</v>
      </c>
      <c r="BH36" s="190">
        <v>22</v>
      </c>
      <c r="BI36" s="190">
        <v>195</v>
      </c>
      <c r="BJ36" s="190">
        <v>217</v>
      </c>
      <c r="BK36" s="190">
        <v>-33</v>
      </c>
      <c r="BL36" s="190">
        <v>33</v>
      </c>
      <c r="BM36" s="190">
        <v>0</v>
      </c>
      <c r="BN36" s="190">
        <v>4</v>
      </c>
      <c r="BO36" s="190">
        <v>58</v>
      </c>
      <c r="BP36" s="190">
        <v>62</v>
      </c>
      <c r="BQ36" s="190">
        <v>8</v>
      </c>
      <c r="BR36" s="190">
        <v>102</v>
      </c>
      <c r="BS36" s="190">
        <v>110</v>
      </c>
      <c r="BT36" s="190">
        <v>19</v>
      </c>
      <c r="BU36" s="190">
        <v>189</v>
      </c>
      <c r="BV36" s="190">
        <v>208</v>
      </c>
      <c r="BW36" s="190">
        <v>682</v>
      </c>
      <c r="BX36" s="190">
        <v>8536</v>
      </c>
      <c r="BY36" s="190">
        <v>9218</v>
      </c>
      <c r="BZ36" s="190">
        <v>673</v>
      </c>
      <c r="CA36" s="190">
        <v>8471</v>
      </c>
      <c r="CB36" s="190">
        <v>9144</v>
      </c>
      <c r="CC36" s="190">
        <v>17369</v>
      </c>
      <c r="CD36" s="190">
        <v>3</v>
      </c>
      <c r="CE36" s="190">
        <v>55</v>
      </c>
      <c r="CF36" s="190">
        <v>9</v>
      </c>
      <c r="CG36" s="190">
        <v>35</v>
      </c>
      <c r="CH36" s="190">
        <v>44</v>
      </c>
      <c r="CI36" s="190">
        <v>46</v>
      </c>
      <c r="CJ36" s="190">
        <v>2</v>
      </c>
      <c r="CK36" s="190">
        <v>0</v>
      </c>
      <c r="CL36" s="190">
        <v>30</v>
      </c>
      <c r="CM36" s="190">
        <v>30</v>
      </c>
      <c r="CN36" s="190">
        <v>46</v>
      </c>
      <c r="CO36" s="190">
        <v>901</v>
      </c>
      <c r="CP36" s="190">
        <v>947</v>
      </c>
      <c r="CQ36" s="190">
        <v>0</v>
      </c>
      <c r="CR36" s="190">
        <v>4</v>
      </c>
      <c r="CS36" s="190">
        <v>4</v>
      </c>
      <c r="CT36" s="190">
        <v>636</v>
      </c>
      <c r="CU36" s="190">
        <v>7635</v>
      </c>
      <c r="CV36" s="190">
        <v>8271</v>
      </c>
      <c r="CW36" s="190">
        <v>31</v>
      </c>
      <c r="CX36" s="190">
        <v>388</v>
      </c>
      <c r="CY36" s="190">
        <v>419</v>
      </c>
      <c r="CZ36" s="190">
        <v>29</v>
      </c>
      <c r="DA36" s="190">
        <v>2</v>
      </c>
      <c r="DB36" s="190">
        <v>0</v>
      </c>
      <c r="DC36" s="190">
        <v>366</v>
      </c>
      <c r="DD36" s="190">
        <v>2</v>
      </c>
      <c r="DE36" s="190">
        <v>0</v>
      </c>
      <c r="DF36" s="190">
        <v>31</v>
      </c>
      <c r="DG36" s="190">
        <v>368</v>
      </c>
      <c r="DH36" s="190">
        <v>399</v>
      </c>
      <c r="DI36" s="190">
        <v>0</v>
      </c>
      <c r="DJ36" s="190">
        <v>0</v>
      </c>
      <c r="DK36" s="190">
        <v>0</v>
      </c>
      <c r="DL36" s="190">
        <v>20</v>
      </c>
      <c r="DM36" s="190">
        <v>0</v>
      </c>
      <c r="DN36" s="190">
        <v>0</v>
      </c>
      <c r="DO36" s="190">
        <v>0</v>
      </c>
      <c r="DP36" s="190">
        <v>20</v>
      </c>
      <c r="DQ36" s="190">
        <v>20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151</v>
      </c>
      <c r="C37" s="190">
        <v>24</v>
      </c>
      <c r="D37" s="190">
        <v>150</v>
      </c>
      <c r="E37" s="190">
        <v>96</v>
      </c>
      <c r="F37" s="190">
        <v>0</v>
      </c>
      <c r="G37" s="190">
        <v>0</v>
      </c>
      <c r="H37" s="190">
        <v>0</v>
      </c>
      <c r="I37" s="190">
        <v>0</v>
      </c>
      <c r="J37" s="190">
        <v>52</v>
      </c>
      <c r="K37" s="190">
        <v>52</v>
      </c>
      <c r="L37" s="190">
        <v>0</v>
      </c>
      <c r="M37" s="190">
        <v>17</v>
      </c>
      <c r="N37" s="190">
        <v>17</v>
      </c>
      <c r="O37" s="190">
        <v>0</v>
      </c>
      <c r="P37" s="190">
        <v>35</v>
      </c>
      <c r="Q37" s="190">
        <v>35</v>
      </c>
      <c r="R37" s="190">
        <v>0</v>
      </c>
      <c r="S37" s="190">
        <v>0</v>
      </c>
      <c r="T37" s="190">
        <v>0</v>
      </c>
      <c r="U37" s="190">
        <v>0</v>
      </c>
      <c r="V37" s="190">
        <v>2</v>
      </c>
      <c r="W37" s="190">
        <v>2</v>
      </c>
      <c r="X37" s="190">
        <v>0</v>
      </c>
      <c r="Y37" s="190">
        <v>150</v>
      </c>
      <c r="Z37" s="190">
        <v>150</v>
      </c>
      <c r="AA37" s="190">
        <v>0</v>
      </c>
      <c r="AB37" s="190">
        <v>81</v>
      </c>
      <c r="AC37" s="190">
        <v>81</v>
      </c>
      <c r="AD37" s="190">
        <v>0</v>
      </c>
      <c r="AE37" s="190">
        <v>78</v>
      </c>
      <c r="AF37" s="190">
        <v>78</v>
      </c>
      <c r="AG37" s="190">
        <v>0</v>
      </c>
      <c r="AH37" s="190">
        <v>2</v>
      </c>
      <c r="AI37" s="190">
        <v>2</v>
      </c>
      <c r="AJ37" s="190">
        <v>0</v>
      </c>
      <c r="AK37" s="190">
        <v>1</v>
      </c>
      <c r="AL37" s="190">
        <v>1</v>
      </c>
      <c r="AM37" s="190">
        <v>0</v>
      </c>
      <c r="AN37" s="190">
        <v>69</v>
      </c>
      <c r="AO37" s="190">
        <v>69</v>
      </c>
      <c r="AP37" s="190">
        <v>71</v>
      </c>
      <c r="AQ37" s="190">
        <v>934</v>
      </c>
      <c r="AR37" s="190">
        <v>1005</v>
      </c>
      <c r="AS37" s="190">
        <v>71</v>
      </c>
      <c r="AT37" s="190">
        <v>934</v>
      </c>
      <c r="AU37" s="190">
        <v>1005</v>
      </c>
      <c r="AV37" s="190">
        <v>0</v>
      </c>
      <c r="AW37" s="190">
        <v>0</v>
      </c>
      <c r="AX37" s="190">
        <v>0</v>
      </c>
      <c r="AY37" s="190">
        <v>10</v>
      </c>
      <c r="AZ37" s="190">
        <v>148</v>
      </c>
      <c r="BA37" s="190">
        <v>158</v>
      </c>
      <c r="BB37" s="190">
        <v>2</v>
      </c>
      <c r="BC37" s="190">
        <v>0</v>
      </c>
      <c r="BD37" s="190">
        <v>0</v>
      </c>
      <c r="BE37" s="190">
        <v>94</v>
      </c>
      <c r="BF37" s="190">
        <v>0</v>
      </c>
      <c r="BG37" s="190">
        <v>0</v>
      </c>
      <c r="BH37" s="190">
        <v>2</v>
      </c>
      <c r="BI37" s="190">
        <v>94</v>
      </c>
      <c r="BJ37" s="190">
        <v>96</v>
      </c>
      <c r="BK37" s="190">
        <v>2</v>
      </c>
      <c r="BL37" s="190">
        <v>-2</v>
      </c>
      <c r="BM37" s="190">
        <v>0</v>
      </c>
      <c r="BN37" s="190">
        <v>0</v>
      </c>
      <c r="BO37" s="190">
        <v>4</v>
      </c>
      <c r="BP37" s="190">
        <v>4</v>
      </c>
      <c r="BQ37" s="190">
        <v>0</v>
      </c>
      <c r="BR37" s="190">
        <v>16</v>
      </c>
      <c r="BS37" s="190">
        <v>16</v>
      </c>
      <c r="BT37" s="190">
        <v>6</v>
      </c>
      <c r="BU37" s="190">
        <v>36</v>
      </c>
      <c r="BV37" s="190">
        <v>42</v>
      </c>
      <c r="BW37" s="190">
        <v>81</v>
      </c>
      <c r="BX37" s="190">
        <v>1082</v>
      </c>
      <c r="BY37" s="190">
        <v>1163</v>
      </c>
      <c r="BZ37" s="190">
        <v>81</v>
      </c>
      <c r="CA37" s="190">
        <v>1081</v>
      </c>
      <c r="CB37" s="190">
        <v>1162</v>
      </c>
      <c r="CC37" s="190">
        <v>2074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6</v>
      </c>
      <c r="CO37" s="190">
        <v>111</v>
      </c>
      <c r="CP37" s="190">
        <v>117</v>
      </c>
      <c r="CQ37" s="190">
        <v>0</v>
      </c>
      <c r="CR37" s="190">
        <v>0</v>
      </c>
      <c r="CS37" s="190">
        <v>0</v>
      </c>
      <c r="CT37" s="190">
        <v>75</v>
      </c>
      <c r="CU37" s="190">
        <v>971</v>
      </c>
      <c r="CV37" s="190">
        <v>1046</v>
      </c>
      <c r="CW37" s="190">
        <v>7</v>
      </c>
      <c r="CX37" s="190">
        <v>63</v>
      </c>
      <c r="CY37" s="190">
        <v>70</v>
      </c>
      <c r="CZ37" s="190">
        <v>7</v>
      </c>
      <c r="DA37" s="190">
        <v>0</v>
      </c>
      <c r="DB37" s="190">
        <v>0</v>
      </c>
      <c r="DC37" s="190">
        <v>61</v>
      </c>
      <c r="DD37" s="190">
        <v>0</v>
      </c>
      <c r="DE37" s="190">
        <v>0</v>
      </c>
      <c r="DF37" s="190">
        <v>7</v>
      </c>
      <c r="DG37" s="190">
        <v>61</v>
      </c>
      <c r="DH37" s="190">
        <v>68</v>
      </c>
      <c r="DI37" s="190">
        <v>0</v>
      </c>
      <c r="DJ37" s="190">
        <v>0</v>
      </c>
      <c r="DK37" s="190">
        <v>0</v>
      </c>
      <c r="DL37" s="190">
        <v>2</v>
      </c>
      <c r="DM37" s="190">
        <v>0</v>
      </c>
      <c r="DN37" s="190">
        <v>0</v>
      </c>
      <c r="DO37" s="190">
        <v>0</v>
      </c>
      <c r="DP37" s="190">
        <v>2</v>
      </c>
      <c r="DQ37" s="190">
        <v>2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12411</v>
      </c>
      <c r="C38" s="190">
        <v>3392</v>
      </c>
      <c r="D38" s="190">
        <v>12269</v>
      </c>
      <c r="E38" s="190">
        <v>7185</v>
      </c>
      <c r="F38" s="190">
        <v>4</v>
      </c>
      <c r="G38" s="190">
        <v>29</v>
      </c>
      <c r="H38" s="190">
        <v>33</v>
      </c>
      <c r="I38" s="190">
        <v>0</v>
      </c>
      <c r="J38" s="190">
        <v>4667</v>
      </c>
      <c r="K38" s="190">
        <v>4667</v>
      </c>
      <c r="L38" s="190">
        <v>0</v>
      </c>
      <c r="M38" s="190">
        <v>2123</v>
      </c>
      <c r="N38" s="190">
        <v>2123</v>
      </c>
      <c r="O38" s="190">
        <v>0</v>
      </c>
      <c r="P38" s="190">
        <v>2544</v>
      </c>
      <c r="Q38" s="190">
        <v>2544</v>
      </c>
      <c r="R38" s="190">
        <v>0</v>
      </c>
      <c r="S38" s="190">
        <v>51</v>
      </c>
      <c r="T38" s="190">
        <v>51</v>
      </c>
      <c r="U38" s="190">
        <v>0</v>
      </c>
      <c r="V38" s="190">
        <v>417</v>
      </c>
      <c r="W38" s="190">
        <v>417</v>
      </c>
      <c r="X38" s="190">
        <v>393</v>
      </c>
      <c r="Y38" s="190">
        <v>11874</v>
      </c>
      <c r="Z38" s="190">
        <v>12267</v>
      </c>
      <c r="AA38" s="190">
        <v>278</v>
      </c>
      <c r="AB38" s="190">
        <v>4604</v>
      </c>
      <c r="AC38" s="190">
        <v>4882</v>
      </c>
      <c r="AD38" s="190">
        <v>263</v>
      </c>
      <c r="AE38" s="190">
        <v>4341</v>
      </c>
      <c r="AF38" s="190">
        <v>4604</v>
      </c>
      <c r="AG38" s="190">
        <v>8</v>
      </c>
      <c r="AH38" s="190">
        <v>138</v>
      </c>
      <c r="AI38" s="190">
        <v>146</v>
      </c>
      <c r="AJ38" s="190">
        <v>7</v>
      </c>
      <c r="AK38" s="190">
        <v>125</v>
      </c>
      <c r="AL38" s="190">
        <v>132</v>
      </c>
      <c r="AM38" s="190">
        <v>115</v>
      </c>
      <c r="AN38" s="190">
        <v>7270</v>
      </c>
      <c r="AO38" s="190">
        <v>7385</v>
      </c>
      <c r="AP38" s="190">
        <v>14616</v>
      </c>
      <c r="AQ38" s="190">
        <v>105883</v>
      </c>
      <c r="AR38" s="190">
        <v>120499</v>
      </c>
      <c r="AS38" s="190">
        <v>14616</v>
      </c>
      <c r="AT38" s="190">
        <v>105883</v>
      </c>
      <c r="AU38" s="190">
        <v>120499</v>
      </c>
      <c r="AV38" s="190">
        <v>0</v>
      </c>
      <c r="AW38" s="190">
        <v>0</v>
      </c>
      <c r="AX38" s="190">
        <v>0</v>
      </c>
      <c r="AY38" s="190">
        <v>928</v>
      </c>
      <c r="AZ38" s="190">
        <v>10828</v>
      </c>
      <c r="BA38" s="190">
        <v>11756</v>
      </c>
      <c r="BB38" s="190">
        <v>443</v>
      </c>
      <c r="BC38" s="190">
        <v>7</v>
      </c>
      <c r="BD38" s="190">
        <v>1</v>
      </c>
      <c r="BE38" s="190">
        <v>6677</v>
      </c>
      <c r="BF38" s="190">
        <v>38</v>
      </c>
      <c r="BG38" s="190">
        <v>19</v>
      </c>
      <c r="BH38" s="190">
        <v>451</v>
      </c>
      <c r="BI38" s="190">
        <v>6734</v>
      </c>
      <c r="BJ38" s="190">
        <v>7185</v>
      </c>
      <c r="BK38" s="190">
        <v>-62</v>
      </c>
      <c r="BL38" s="190">
        <v>62</v>
      </c>
      <c r="BM38" s="190">
        <v>0</v>
      </c>
      <c r="BN38" s="190">
        <v>21</v>
      </c>
      <c r="BO38" s="190">
        <v>195</v>
      </c>
      <c r="BP38" s="190">
        <v>216</v>
      </c>
      <c r="BQ38" s="190">
        <v>93</v>
      </c>
      <c r="BR38" s="190">
        <v>1165</v>
      </c>
      <c r="BS38" s="190">
        <v>1258</v>
      </c>
      <c r="BT38" s="190">
        <v>425</v>
      </c>
      <c r="BU38" s="190">
        <v>2672</v>
      </c>
      <c r="BV38" s="190">
        <v>3097</v>
      </c>
      <c r="BW38" s="190">
        <v>15544</v>
      </c>
      <c r="BX38" s="190">
        <v>116711</v>
      </c>
      <c r="BY38" s="190">
        <v>132255</v>
      </c>
      <c r="BZ38" s="190">
        <v>15416</v>
      </c>
      <c r="CA38" s="190">
        <v>115671</v>
      </c>
      <c r="CB38" s="190">
        <v>131087</v>
      </c>
      <c r="CC38" s="190">
        <v>291311</v>
      </c>
      <c r="CD38" s="190">
        <v>108</v>
      </c>
      <c r="CE38" s="190">
        <v>972</v>
      </c>
      <c r="CF38" s="190">
        <v>114</v>
      </c>
      <c r="CG38" s="190">
        <v>844</v>
      </c>
      <c r="CH38" s="190">
        <v>958</v>
      </c>
      <c r="CI38" s="190">
        <v>238</v>
      </c>
      <c r="CJ38" s="190">
        <v>23</v>
      </c>
      <c r="CK38" s="190">
        <v>14</v>
      </c>
      <c r="CL38" s="190">
        <v>196</v>
      </c>
      <c r="CM38" s="190">
        <v>210</v>
      </c>
      <c r="CN38" s="190">
        <v>783</v>
      </c>
      <c r="CO38" s="190">
        <v>10506</v>
      </c>
      <c r="CP38" s="190">
        <v>11289</v>
      </c>
      <c r="CQ38" s="190">
        <v>0</v>
      </c>
      <c r="CR38" s="190">
        <v>90</v>
      </c>
      <c r="CS38" s="190">
        <v>90</v>
      </c>
      <c r="CT38" s="190">
        <v>14761</v>
      </c>
      <c r="CU38" s="190">
        <v>106205</v>
      </c>
      <c r="CV38" s="190">
        <v>120966</v>
      </c>
      <c r="CW38" s="190">
        <v>1109</v>
      </c>
      <c r="CX38" s="190">
        <v>5728</v>
      </c>
      <c r="CY38" s="190">
        <v>6837</v>
      </c>
      <c r="CZ38" s="190">
        <v>1095</v>
      </c>
      <c r="DA38" s="190">
        <v>10</v>
      </c>
      <c r="DB38" s="190">
        <v>1</v>
      </c>
      <c r="DC38" s="190">
        <v>5617</v>
      </c>
      <c r="DD38" s="190">
        <v>45</v>
      </c>
      <c r="DE38" s="190">
        <v>11</v>
      </c>
      <c r="DF38" s="190">
        <v>1106</v>
      </c>
      <c r="DG38" s="190">
        <v>5673</v>
      </c>
      <c r="DH38" s="190">
        <v>6779</v>
      </c>
      <c r="DI38" s="190">
        <v>3</v>
      </c>
      <c r="DJ38" s="190">
        <v>0</v>
      </c>
      <c r="DK38" s="190">
        <v>0</v>
      </c>
      <c r="DL38" s="190">
        <v>55</v>
      </c>
      <c r="DM38" s="190">
        <v>0</v>
      </c>
      <c r="DN38" s="190">
        <v>0</v>
      </c>
      <c r="DO38" s="190">
        <v>3</v>
      </c>
      <c r="DP38" s="190">
        <v>55</v>
      </c>
      <c r="DQ38" s="190">
        <v>58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9172</v>
      </c>
      <c r="C39" s="190">
        <v>2573</v>
      </c>
      <c r="D39" s="190">
        <v>7202</v>
      </c>
      <c r="E39" s="190">
        <v>4521</v>
      </c>
      <c r="F39" s="190">
        <v>1</v>
      </c>
      <c r="G39" s="190">
        <v>27</v>
      </c>
      <c r="H39" s="190">
        <v>28</v>
      </c>
      <c r="I39" s="190">
        <v>4</v>
      </c>
      <c r="J39" s="190">
        <v>2472</v>
      </c>
      <c r="K39" s="190">
        <v>2476</v>
      </c>
      <c r="L39" s="190">
        <v>1</v>
      </c>
      <c r="M39" s="190">
        <v>849</v>
      </c>
      <c r="N39" s="190">
        <v>850</v>
      </c>
      <c r="O39" s="190">
        <v>3</v>
      </c>
      <c r="P39" s="190">
        <v>1623</v>
      </c>
      <c r="Q39" s="190">
        <v>1626</v>
      </c>
      <c r="R39" s="190">
        <v>0</v>
      </c>
      <c r="S39" s="190">
        <v>75</v>
      </c>
      <c r="T39" s="190">
        <v>75</v>
      </c>
      <c r="U39" s="190">
        <v>0</v>
      </c>
      <c r="V39" s="190">
        <v>205</v>
      </c>
      <c r="W39" s="190">
        <v>205</v>
      </c>
      <c r="X39" s="190">
        <v>314</v>
      </c>
      <c r="Y39" s="190">
        <v>6868</v>
      </c>
      <c r="Z39" s="190">
        <v>7182</v>
      </c>
      <c r="AA39" s="190">
        <v>169</v>
      </c>
      <c r="AB39" s="190">
        <v>1993</v>
      </c>
      <c r="AC39" s="190">
        <v>2162</v>
      </c>
      <c r="AD39" s="190">
        <v>167</v>
      </c>
      <c r="AE39" s="190">
        <v>1976</v>
      </c>
      <c r="AF39" s="190">
        <v>2143</v>
      </c>
      <c r="AG39" s="190">
        <v>1</v>
      </c>
      <c r="AH39" s="190">
        <v>17</v>
      </c>
      <c r="AI39" s="190">
        <v>18</v>
      </c>
      <c r="AJ39" s="190">
        <v>1</v>
      </c>
      <c r="AK39" s="190">
        <v>0</v>
      </c>
      <c r="AL39" s="190">
        <v>1</v>
      </c>
      <c r="AM39" s="190">
        <v>145</v>
      </c>
      <c r="AN39" s="190">
        <v>4875</v>
      </c>
      <c r="AO39" s="190">
        <v>5020</v>
      </c>
      <c r="AP39" s="190">
        <v>13576</v>
      </c>
      <c r="AQ39" s="190">
        <v>79919</v>
      </c>
      <c r="AR39" s="190">
        <v>93495</v>
      </c>
      <c r="AS39" s="190">
        <v>14022</v>
      </c>
      <c r="AT39" s="190">
        <v>80964</v>
      </c>
      <c r="AU39" s="190">
        <v>94986</v>
      </c>
      <c r="AV39" s="190">
        <v>-446</v>
      </c>
      <c r="AW39" s="190">
        <v>-1045</v>
      </c>
      <c r="AX39" s="190">
        <v>-1491</v>
      </c>
      <c r="AY39" s="190">
        <v>852</v>
      </c>
      <c r="AZ39" s="190">
        <v>8204</v>
      </c>
      <c r="BA39" s="190">
        <v>9056</v>
      </c>
      <c r="BB39" s="190">
        <v>463</v>
      </c>
      <c r="BC39" s="190">
        <v>18</v>
      </c>
      <c r="BD39" s="190">
        <v>1</v>
      </c>
      <c r="BE39" s="190">
        <v>3956</v>
      </c>
      <c r="BF39" s="190">
        <v>41</v>
      </c>
      <c r="BG39" s="190">
        <v>42</v>
      </c>
      <c r="BH39" s="190">
        <v>482</v>
      </c>
      <c r="BI39" s="190">
        <v>4039</v>
      </c>
      <c r="BJ39" s="190">
        <v>4521</v>
      </c>
      <c r="BK39" s="190">
        <v>-277</v>
      </c>
      <c r="BL39" s="190">
        <v>277</v>
      </c>
      <c r="BM39" s="190">
        <v>0</v>
      </c>
      <c r="BN39" s="190">
        <v>31</v>
      </c>
      <c r="BO39" s="190">
        <v>126</v>
      </c>
      <c r="BP39" s="190">
        <v>157</v>
      </c>
      <c r="BQ39" s="190">
        <v>66</v>
      </c>
      <c r="BR39" s="190">
        <v>630</v>
      </c>
      <c r="BS39" s="190">
        <v>696</v>
      </c>
      <c r="BT39" s="190">
        <v>550</v>
      </c>
      <c r="BU39" s="190">
        <v>3132</v>
      </c>
      <c r="BV39" s="190">
        <v>3682</v>
      </c>
      <c r="BW39" s="190">
        <v>14428</v>
      </c>
      <c r="BX39" s="190">
        <v>88123</v>
      </c>
      <c r="BY39" s="190">
        <v>102551</v>
      </c>
      <c r="BZ39" s="190">
        <v>13895</v>
      </c>
      <c r="CA39" s="190">
        <v>86424</v>
      </c>
      <c r="CB39" s="190">
        <v>100319</v>
      </c>
      <c r="CC39" s="190">
        <v>213603</v>
      </c>
      <c r="CD39" s="190">
        <v>118</v>
      </c>
      <c r="CE39" s="190">
        <v>2454</v>
      </c>
      <c r="CF39" s="190">
        <v>523</v>
      </c>
      <c r="CG39" s="190">
        <v>1091</v>
      </c>
      <c r="CH39" s="190">
        <v>1614</v>
      </c>
      <c r="CI39" s="190">
        <v>818</v>
      </c>
      <c r="CJ39" s="190">
        <v>22</v>
      </c>
      <c r="CK39" s="190">
        <v>10</v>
      </c>
      <c r="CL39" s="190">
        <v>608</v>
      </c>
      <c r="CM39" s="190">
        <v>618</v>
      </c>
      <c r="CN39" s="190">
        <v>908</v>
      </c>
      <c r="CO39" s="190">
        <v>8903</v>
      </c>
      <c r="CP39" s="190">
        <v>9811</v>
      </c>
      <c r="CQ39" s="190">
        <v>0</v>
      </c>
      <c r="CR39" s="190">
        <v>36</v>
      </c>
      <c r="CS39" s="190">
        <v>36</v>
      </c>
      <c r="CT39" s="190">
        <v>13520</v>
      </c>
      <c r="CU39" s="190">
        <v>79220</v>
      </c>
      <c r="CV39" s="190">
        <v>92740</v>
      </c>
      <c r="CW39" s="190">
        <v>1028</v>
      </c>
      <c r="CX39" s="190">
        <v>4440</v>
      </c>
      <c r="CY39" s="190">
        <v>5468</v>
      </c>
      <c r="CZ39" s="190">
        <v>959</v>
      </c>
      <c r="DA39" s="190">
        <v>43</v>
      </c>
      <c r="DB39" s="190">
        <v>1</v>
      </c>
      <c r="DC39" s="190">
        <v>4092</v>
      </c>
      <c r="DD39" s="190">
        <v>88</v>
      </c>
      <c r="DE39" s="190">
        <v>13</v>
      </c>
      <c r="DF39" s="190">
        <v>1003</v>
      </c>
      <c r="DG39" s="190">
        <v>4193</v>
      </c>
      <c r="DH39" s="190">
        <v>5196</v>
      </c>
      <c r="DI39" s="190">
        <v>25</v>
      </c>
      <c r="DJ39" s="190">
        <v>0</v>
      </c>
      <c r="DK39" s="190">
        <v>0</v>
      </c>
      <c r="DL39" s="190">
        <v>237</v>
      </c>
      <c r="DM39" s="190">
        <v>7</v>
      </c>
      <c r="DN39" s="190">
        <v>3</v>
      </c>
      <c r="DO39" s="190">
        <v>25</v>
      </c>
      <c r="DP39" s="190">
        <v>247</v>
      </c>
      <c r="DQ39" s="190">
        <v>272</v>
      </c>
      <c r="DR39" s="190">
        <v>3</v>
      </c>
      <c r="DS39" s="190">
        <v>10</v>
      </c>
      <c r="DT39" s="191">
        <v>13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192</v>
      </c>
      <c r="C40" s="190">
        <v>44</v>
      </c>
      <c r="D40" s="190">
        <v>175</v>
      </c>
      <c r="E40" s="190">
        <v>99</v>
      </c>
      <c r="F40" s="190">
        <v>0</v>
      </c>
      <c r="G40" s="190">
        <v>5</v>
      </c>
      <c r="H40" s="190">
        <v>5</v>
      </c>
      <c r="I40" s="190">
        <v>0</v>
      </c>
      <c r="J40" s="190">
        <v>66</v>
      </c>
      <c r="K40" s="190">
        <v>66</v>
      </c>
      <c r="L40" s="190">
        <v>0</v>
      </c>
      <c r="M40" s="190">
        <v>18</v>
      </c>
      <c r="N40" s="190">
        <v>18</v>
      </c>
      <c r="O40" s="190">
        <v>0</v>
      </c>
      <c r="P40" s="190">
        <v>48</v>
      </c>
      <c r="Q40" s="190">
        <v>48</v>
      </c>
      <c r="R40" s="190">
        <v>0</v>
      </c>
      <c r="S40" s="190">
        <v>0</v>
      </c>
      <c r="T40" s="190">
        <v>0</v>
      </c>
      <c r="U40" s="190">
        <v>0</v>
      </c>
      <c r="V40" s="190">
        <v>10</v>
      </c>
      <c r="W40" s="190">
        <v>10</v>
      </c>
      <c r="X40" s="190">
        <v>9</v>
      </c>
      <c r="Y40" s="190">
        <v>166</v>
      </c>
      <c r="Z40" s="190">
        <v>175</v>
      </c>
      <c r="AA40" s="190">
        <v>2</v>
      </c>
      <c r="AB40" s="190">
        <v>59</v>
      </c>
      <c r="AC40" s="190">
        <v>61</v>
      </c>
      <c r="AD40" s="190">
        <v>2</v>
      </c>
      <c r="AE40" s="190">
        <v>56</v>
      </c>
      <c r="AF40" s="190">
        <v>58</v>
      </c>
      <c r="AG40" s="190">
        <v>0</v>
      </c>
      <c r="AH40" s="190">
        <v>2</v>
      </c>
      <c r="AI40" s="190">
        <v>2</v>
      </c>
      <c r="AJ40" s="190">
        <v>0</v>
      </c>
      <c r="AK40" s="190">
        <v>1</v>
      </c>
      <c r="AL40" s="190">
        <v>1</v>
      </c>
      <c r="AM40" s="190">
        <v>7</v>
      </c>
      <c r="AN40" s="190">
        <v>107</v>
      </c>
      <c r="AO40" s="190">
        <v>114</v>
      </c>
      <c r="AP40" s="190">
        <v>238</v>
      </c>
      <c r="AQ40" s="190">
        <v>2088</v>
      </c>
      <c r="AR40" s="190">
        <v>2326</v>
      </c>
      <c r="AS40" s="190">
        <v>238</v>
      </c>
      <c r="AT40" s="190">
        <v>2089</v>
      </c>
      <c r="AU40" s="190">
        <v>2327</v>
      </c>
      <c r="AV40" s="190">
        <v>0</v>
      </c>
      <c r="AW40" s="190">
        <v>-1</v>
      </c>
      <c r="AX40" s="190">
        <v>-1</v>
      </c>
      <c r="AY40" s="190">
        <v>20</v>
      </c>
      <c r="AZ40" s="190">
        <v>170</v>
      </c>
      <c r="BA40" s="190">
        <v>190</v>
      </c>
      <c r="BB40" s="190">
        <v>11</v>
      </c>
      <c r="BC40" s="190">
        <v>0</v>
      </c>
      <c r="BD40" s="190">
        <v>0</v>
      </c>
      <c r="BE40" s="190">
        <v>88</v>
      </c>
      <c r="BF40" s="190">
        <v>0</v>
      </c>
      <c r="BG40" s="190">
        <v>0</v>
      </c>
      <c r="BH40" s="190">
        <v>11</v>
      </c>
      <c r="BI40" s="190">
        <v>88</v>
      </c>
      <c r="BJ40" s="190">
        <v>99</v>
      </c>
      <c r="BK40" s="190">
        <v>-3</v>
      </c>
      <c r="BL40" s="190">
        <v>3</v>
      </c>
      <c r="BM40" s="190">
        <v>0</v>
      </c>
      <c r="BN40" s="190">
        <v>4</v>
      </c>
      <c r="BO40" s="190">
        <v>6</v>
      </c>
      <c r="BP40" s="190">
        <v>10</v>
      </c>
      <c r="BQ40" s="190">
        <v>0</v>
      </c>
      <c r="BR40" s="190">
        <v>22</v>
      </c>
      <c r="BS40" s="190">
        <v>22</v>
      </c>
      <c r="BT40" s="190">
        <v>8</v>
      </c>
      <c r="BU40" s="190">
        <v>51</v>
      </c>
      <c r="BV40" s="190">
        <v>59</v>
      </c>
      <c r="BW40" s="190">
        <v>258</v>
      </c>
      <c r="BX40" s="190">
        <v>2258</v>
      </c>
      <c r="BY40" s="190">
        <v>2516</v>
      </c>
      <c r="BZ40" s="190">
        <v>255</v>
      </c>
      <c r="CA40" s="190">
        <v>2239</v>
      </c>
      <c r="CB40" s="190">
        <v>2494</v>
      </c>
      <c r="CC40" s="190">
        <v>5504</v>
      </c>
      <c r="CD40" s="190">
        <v>1</v>
      </c>
      <c r="CE40" s="190">
        <v>22</v>
      </c>
      <c r="CF40" s="190">
        <v>3</v>
      </c>
      <c r="CG40" s="190">
        <v>18</v>
      </c>
      <c r="CH40" s="190">
        <v>21</v>
      </c>
      <c r="CI40" s="190">
        <v>1</v>
      </c>
      <c r="CJ40" s="190">
        <v>0</v>
      </c>
      <c r="CK40" s="190">
        <v>0</v>
      </c>
      <c r="CL40" s="190">
        <v>1</v>
      </c>
      <c r="CM40" s="190">
        <v>1</v>
      </c>
      <c r="CN40" s="190">
        <v>18</v>
      </c>
      <c r="CO40" s="190">
        <v>228</v>
      </c>
      <c r="CP40" s="190">
        <v>246</v>
      </c>
      <c r="CQ40" s="190">
        <v>0</v>
      </c>
      <c r="CR40" s="190">
        <v>0</v>
      </c>
      <c r="CS40" s="190">
        <v>0</v>
      </c>
      <c r="CT40" s="190">
        <v>240</v>
      </c>
      <c r="CU40" s="190">
        <v>2030</v>
      </c>
      <c r="CV40" s="190">
        <v>2270</v>
      </c>
      <c r="CW40" s="190">
        <v>18</v>
      </c>
      <c r="CX40" s="190">
        <v>75</v>
      </c>
      <c r="CY40" s="190">
        <v>93</v>
      </c>
      <c r="CZ40" s="190">
        <v>17</v>
      </c>
      <c r="DA40" s="190">
        <v>1</v>
      </c>
      <c r="DB40" s="190">
        <v>0</v>
      </c>
      <c r="DC40" s="190">
        <v>72</v>
      </c>
      <c r="DD40" s="190">
        <v>0</v>
      </c>
      <c r="DE40" s="190">
        <v>1</v>
      </c>
      <c r="DF40" s="190">
        <v>18</v>
      </c>
      <c r="DG40" s="190">
        <v>73</v>
      </c>
      <c r="DH40" s="190">
        <v>91</v>
      </c>
      <c r="DI40" s="190">
        <v>0</v>
      </c>
      <c r="DJ40" s="190">
        <v>0</v>
      </c>
      <c r="DK40" s="190">
        <v>0</v>
      </c>
      <c r="DL40" s="190">
        <v>2</v>
      </c>
      <c r="DM40" s="190">
        <v>0</v>
      </c>
      <c r="DN40" s="190">
        <v>0</v>
      </c>
      <c r="DO40" s="190">
        <v>0</v>
      </c>
      <c r="DP40" s="190">
        <v>2</v>
      </c>
      <c r="DQ40" s="190">
        <v>2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14400</v>
      </c>
      <c r="C41" s="190">
        <v>3916</v>
      </c>
      <c r="D41" s="190">
        <v>13889</v>
      </c>
      <c r="E41" s="190">
        <v>9655</v>
      </c>
      <c r="F41" s="190">
        <v>6</v>
      </c>
      <c r="G41" s="190">
        <v>39</v>
      </c>
      <c r="H41" s="190">
        <v>45</v>
      </c>
      <c r="I41" s="190">
        <v>4</v>
      </c>
      <c r="J41" s="190">
        <v>3881</v>
      </c>
      <c r="K41" s="190">
        <v>3885</v>
      </c>
      <c r="L41" s="190">
        <v>4</v>
      </c>
      <c r="M41" s="190">
        <v>1806</v>
      </c>
      <c r="N41" s="190">
        <v>1810</v>
      </c>
      <c r="O41" s="190">
        <v>0</v>
      </c>
      <c r="P41" s="190">
        <v>2075</v>
      </c>
      <c r="Q41" s="190">
        <v>2075</v>
      </c>
      <c r="R41" s="190">
        <v>0</v>
      </c>
      <c r="S41" s="190">
        <v>53</v>
      </c>
      <c r="T41" s="190">
        <v>53</v>
      </c>
      <c r="U41" s="190">
        <v>0</v>
      </c>
      <c r="V41" s="190">
        <v>349</v>
      </c>
      <c r="W41" s="190">
        <v>349</v>
      </c>
      <c r="X41" s="190">
        <v>423</v>
      </c>
      <c r="Y41" s="190">
        <v>13466</v>
      </c>
      <c r="Z41" s="190">
        <v>13889</v>
      </c>
      <c r="AA41" s="190">
        <v>261</v>
      </c>
      <c r="AB41" s="190">
        <v>6235</v>
      </c>
      <c r="AC41" s="190">
        <v>6496</v>
      </c>
      <c r="AD41" s="190">
        <v>244</v>
      </c>
      <c r="AE41" s="190">
        <v>5951</v>
      </c>
      <c r="AF41" s="190">
        <v>6195</v>
      </c>
      <c r="AG41" s="190">
        <v>13</v>
      </c>
      <c r="AH41" s="190">
        <v>194</v>
      </c>
      <c r="AI41" s="190">
        <v>207</v>
      </c>
      <c r="AJ41" s="190">
        <v>4</v>
      </c>
      <c r="AK41" s="190">
        <v>90</v>
      </c>
      <c r="AL41" s="190">
        <v>94</v>
      </c>
      <c r="AM41" s="190">
        <v>162</v>
      </c>
      <c r="AN41" s="190">
        <v>7231</v>
      </c>
      <c r="AO41" s="190">
        <v>7393</v>
      </c>
      <c r="AP41" s="190">
        <v>23547</v>
      </c>
      <c r="AQ41" s="190">
        <v>144991</v>
      </c>
      <c r="AR41" s="190">
        <v>168538</v>
      </c>
      <c r="AS41" s="190">
        <v>23547</v>
      </c>
      <c r="AT41" s="190">
        <v>144992</v>
      </c>
      <c r="AU41" s="190">
        <v>168539</v>
      </c>
      <c r="AV41" s="190">
        <v>0</v>
      </c>
      <c r="AW41" s="190">
        <v>-1</v>
      </c>
      <c r="AX41" s="190">
        <v>-1</v>
      </c>
      <c r="AY41" s="190">
        <v>1436</v>
      </c>
      <c r="AZ41" s="190">
        <v>13124</v>
      </c>
      <c r="BA41" s="190">
        <v>14560</v>
      </c>
      <c r="BB41" s="190">
        <v>481</v>
      </c>
      <c r="BC41" s="190">
        <v>3</v>
      </c>
      <c r="BD41" s="190">
        <v>0</v>
      </c>
      <c r="BE41" s="190">
        <v>9073</v>
      </c>
      <c r="BF41" s="190">
        <v>71</v>
      </c>
      <c r="BG41" s="190">
        <v>27</v>
      </c>
      <c r="BH41" s="190">
        <v>484</v>
      </c>
      <c r="BI41" s="190">
        <v>9171</v>
      </c>
      <c r="BJ41" s="190">
        <v>9655</v>
      </c>
      <c r="BK41" s="190">
        <v>35</v>
      </c>
      <c r="BL41" s="190">
        <v>-35</v>
      </c>
      <c r="BM41" s="190">
        <v>0</v>
      </c>
      <c r="BN41" s="190">
        <v>25</v>
      </c>
      <c r="BO41" s="190">
        <v>149</v>
      </c>
      <c r="BP41" s="190">
        <v>174</v>
      </c>
      <c r="BQ41" s="190">
        <v>84</v>
      </c>
      <c r="BR41" s="190">
        <v>823</v>
      </c>
      <c r="BS41" s="190">
        <v>907</v>
      </c>
      <c r="BT41" s="190">
        <v>808</v>
      </c>
      <c r="BU41" s="190">
        <v>3016</v>
      </c>
      <c r="BV41" s="190">
        <v>3824</v>
      </c>
      <c r="BW41" s="190">
        <v>24983</v>
      </c>
      <c r="BX41" s="190">
        <v>158115</v>
      </c>
      <c r="BY41" s="190">
        <v>183098</v>
      </c>
      <c r="BZ41" s="190">
        <v>24812</v>
      </c>
      <c r="CA41" s="190">
        <v>156783</v>
      </c>
      <c r="CB41" s="190">
        <v>181595</v>
      </c>
      <c r="CC41" s="190">
        <v>396130</v>
      </c>
      <c r="CD41" s="190">
        <v>121</v>
      </c>
      <c r="CE41" s="190">
        <v>1184</v>
      </c>
      <c r="CF41" s="190">
        <v>165</v>
      </c>
      <c r="CG41" s="190">
        <v>943</v>
      </c>
      <c r="CH41" s="190">
        <v>1108</v>
      </c>
      <c r="CI41" s="190">
        <v>444</v>
      </c>
      <c r="CJ41" s="190">
        <v>66</v>
      </c>
      <c r="CK41" s="190">
        <v>6</v>
      </c>
      <c r="CL41" s="190">
        <v>389</v>
      </c>
      <c r="CM41" s="190">
        <v>395</v>
      </c>
      <c r="CN41" s="190">
        <v>1457</v>
      </c>
      <c r="CO41" s="190">
        <v>13124</v>
      </c>
      <c r="CP41" s="190">
        <v>14581</v>
      </c>
      <c r="CQ41" s="190">
        <v>0</v>
      </c>
      <c r="CR41" s="190">
        <v>0</v>
      </c>
      <c r="CS41" s="190">
        <v>0</v>
      </c>
      <c r="CT41" s="190">
        <v>23526</v>
      </c>
      <c r="CU41" s="190">
        <v>144991</v>
      </c>
      <c r="CV41" s="190">
        <v>168517</v>
      </c>
      <c r="CW41" s="190">
        <v>1826</v>
      </c>
      <c r="CX41" s="190">
        <v>7571</v>
      </c>
      <c r="CY41" s="190">
        <v>9397</v>
      </c>
      <c r="CZ41" s="190">
        <v>1813</v>
      </c>
      <c r="DA41" s="190">
        <v>11</v>
      </c>
      <c r="DB41" s="190">
        <v>0</v>
      </c>
      <c r="DC41" s="190">
        <v>7439</v>
      </c>
      <c r="DD41" s="190">
        <v>54</v>
      </c>
      <c r="DE41" s="190">
        <v>13</v>
      </c>
      <c r="DF41" s="190">
        <v>1824</v>
      </c>
      <c r="DG41" s="190">
        <v>7506</v>
      </c>
      <c r="DH41" s="190">
        <v>9330</v>
      </c>
      <c r="DI41" s="190">
        <v>2</v>
      </c>
      <c r="DJ41" s="190">
        <v>0</v>
      </c>
      <c r="DK41" s="190">
        <v>0</v>
      </c>
      <c r="DL41" s="190">
        <v>64</v>
      </c>
      <c r="DM41" s="190">
        <v>0</v>
      </c>
      <c r="DN41" s="190">
        <v>1</v>
      </c>
      <c r="DO41" s="190">
        <v>2</v>
      </c>
      <c r="DP41" s="190">
        <v>65</v>
      </c>
      <c r="DQ41" s="190">
        <v>67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12825</v>
      </c>
      <c r="C42" s="190">
        <v>4251</v>
      </c>
      <c r="D42" s="190">
        <v>11588</v>
      </c>
      <c r="E42" s="190">
        <v>6811</v>
      </c>
      <c r="F42" s="190">
        <v>5</v>
      </c>
      <c r="G42" s="190">
        <v>94</v>
      </c>
      <c r="H42" s="190">
        <v>99</v>
      </c>
      <c r="I42" s="190">
        <v>11</v>
      </c>
      <c r="J42" s="190">
        <v>4360</v>
      </c>
      <c r="K42" s="190">
        <v>4371</v>
      </c>
      <c r="L42" s="190">
        <v>11</v>
      </c>
      <c r="M42" s="190">
        <v>4349</v>
      </c>
      <c r="N42" s="190">
        <v>4360</v>
      </c>
      <c r="O42" s="190">
        <v>0</v>
      </c>
      <c r="P42" s="190">
        <v>11</v>
      </c>
      <c r="Q42" s="190">
        <v>11</v>
      </c>
      <c r="R42" s="190">
        <v>1</v>
      </c>
      <c r="S42" s="190">
        <v>491</v>
      </c>
      <c r="T42" s="190">
        <v>492</v>
      </c>
      <c r="U42" s="190">
        <v>0</v>
      </c>
      <c r="V42" s="190">
        <v>406</v>
      </c>
      <c r="W42" s="190">
        <v>406</v>
      </c>
      <c r="X42" s="190">
        <v>214</v>
      </c>
      <c r="Y42" s="190">
        <v>7601</v>
      </c>
      <c r="Z42" s="190">
        <v>7815</v>
      </c>
      <c r="AA42" s="190">
        <v>114</v>
      </c>
      <c r="AB42" s="190">
        <v>2555</v>
      </c>
      <c r="AC42" s="190">
        <v>2669</v>
      </c>
      <c r="AD42" s="190">
        <v>111</v>
      </c>
      <c r="AE42" s="190">
        <v>2508</v>
      </c>
      <c r="AF42" s="190">
        <v>2619</v>
      </c>
      <c r="AG42" s="190">
        <v>2</v>
      </c>
      <c r="AH42" s="190">
        <v>32</v>
      </c>
      <c r="AI42" s="190">
        <v>34</v>
      </c>
      <c r="AJ42" s="190">
        <v>1</v>
      </c>
      <c r="AK42" s="190">
        <v>15</v>
      </c>
      <c r="AL42" s="190">
        <v>16</v>
      </c>
      <c r="AM42" s="190">
        <v>100</v>
      </c>
      <c r="AN42" s="190">
        <v>5046</v>
      </c>
      <c r="AO42" s="190">
        <v>5146</v>
      </c>
      <c r="AP42" s="190">
        <v>12743</v>
      </c>
      <c r="AQ42" s="190">
        <v>118673</v>
      </c>
      <c r="AR42" s="190">
        <v>131416</v>
      </c>
      <c r="AS42" s="190">
        <v>12703</v>
      </c>
      <c r="AT42" s="190">
        <v>117961</v>
      </c>
      <c r="AU42" s="190">
        <v>130664</v>
      </c>
      <c r="AV42" s="190">
        <v>40</v>
      </c>
      <c r="AW42" s="190">
        <v>712</v>
      </c>
      <c r="AX42" s="190">
        <v>752</v>
      </c>
      <c r="AY42" s="190">
        <v>595</v>
      </c>
      <c r="AZ42" s="190">
        <v>10945</v>
      </c>
      <c r="BA42" s="190">
        <v>11540</v>
      </c>
      <c r="BB42" s="190">
        <v>336</v>
      </c>
      <c r="BC42" s="190">
        <v>7</v>
      </c>
      <c r="BD42" s="190">
        <v>1</v>
      </c>
      <c r="BE42" s="190">
        <v>6335</v>
      </c>
      <c r="BF42" s="190">
        <v>101</v>
      </c>
      <c r="BG42" s="190">
        <v>31</v>
      </c>
      <c r="BH42" s="190">
        <v>344</v>
      </c>
      <c r="BI42" s="190">
        <v>6467</v>
      </c>
      <c r="BJ42" s="190">
        <v>6811</v>
      </c>
      <c r="BK42" s="190">
        <v>-244</v>
      </c>
      <c r="BL42" s="190">
        <v>244</v>
      </c>
      <c r="BM42" s="190">
        <v>0</v>
      </c>
      <c r="BN42" s="190">
        <v>14</v>
      </c>
      <c r="BO42" s="190">
        <v>140</v>
      </c>
      <c r="BP42" s="190">
        <v>154</v>
      </c>
      <c r="BQ42" s="190">
        <v>15</v>
      </c>
      <c r="BR42" s="190">
        <v>249</v>
      </c>
      <c r="BS42" s="190">
        <v>264</v>
      </c>
      <c r="BT42" s="190">
        <v>466</v>
      </c>
      <c r="BU42" s="190">
        <v>3845</v>
      </c>
      <c r="BV42" s="190">
        <v>4311</v>
      </c>
      <c r="BW42" s="190">
        <v>13338</v>
      </c>
      <c r="BX42" s="190">
        <v>129618</v>
      </c>
      <c r="BY42" s="190">
        <v>142956</v>
      </c>
      <c r="BZ42" s="190">
        <v>13029</v>
      </c>
      <c r="CA42" s="190">
        <v>127069</v>
      </c>
      <c r="CB42" s="190">
        <v>140098</v>
      </c>
      <c r="CC42" s="190">
        <v>288100</v>
      </c>
      <c r="CD42" s="190">
        <v>270</v>
      </c>
      <c r="CE42" s="190">
        <v>2507</v>
      </c>
      <c r="CF42" s="190">
        <v>302</v>
      </c>
      <c r="CG42" s="190">
        <v>1777</v>
      </c>
      <c r="CH42" s="190">
        <v>2079</v>
      </c>
      <c r="CI42" s="190">
        <v>965</v>
      </c>
      <c r="CJ42" s="190">
        <v>46</v>
      </c>
      <c r="CK42" s="190">
        <v>7</v>
      </c>
      <c r="CL42" s="190">
        <v>772</v>
      </c>
      <c r="CM42" s="190">
        <v>779</v>
      </c>
      <c r="CN42" s="190">
        <v>785</v>
      </c>
      <c r="CO42" s="190">
        <v>11501</v>
      </c>
      <c r="CP42" s="190">
        <v>12286</v>
      </c>
      <c r="CQ42" s="190">
        <v>1</v>
      </c>
      <c r="CR42" s="190">
        <v>13</v>
      </c>
      <c r="CS42" s="190">
        <v>14</v>
      </c>
      <c r="CT42" s="190">
        <v>12553</v>
      </c>
      <c r="CU42" s="190">
        <v>118117</v>
      </c>
      <c r="CV42" s="190">
        <v>130670</v>
      </c>
      <c r="CW42" s="190">
        <v>1134</v>
      </c>
      <c r="CX42" s="190">
        <v>6753</v>
      </c>
      <c r="CY42" s="190">
        <v>7887</v>
      </c>
      <c r="CZ42" s="190">
        <v>1049</v>
      </c>
      <c r="DA42" s="190">
        <v>25</v>
      </c>
      <c r="DB42" s="190">
        <v>1</v>
      </c>
      <c r="DC42" s="190">
        <v>5978</v>
      </c>
      <c r="DD42" s="190">
        <v>106</v>
      </c>
      <c r="DE42" s="190">
        <v>24</v>
      </c>
      <c r="DF42" s="190">
        <v>1075</v>
      </c>
      <c r="DG42" s="190">
        <v>6108</v>
      </c>
      <c r="DH42" s="190">
        <v>7183</v>
      </c>
      <c r="DI42" s="190">
        <v>57</v>
      </c>
      <c r="DJ42" s="190">
        <v>2</v>
      </c>
      <c r="DK42" s="190">
        <v>0</v>
      </c>
      <c r="DL42" s="190">
        <v>631</v>
      </c>
      <c r="DM42" s="190">
        <v>11</v>
      </c>
      <c r="DN42" s="190">
        <v>3</v>
      </c>
      <c r="DO42" s="190">
        <v>59</v>
      </c>
      <c r="DP42" s="190">
        <v>645</v>
      </c>
      <c r="DQ42" s="190">
        <v>704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3107</v>
      </c>
      <c r="C43" s="190">
        <v>852</v>
      </c>
      <c r="D43" s="190">
        <v>2588</v>
      </c>
      <c r="E43" s="190">
        <v>1738</v>
      </c>
      <c r="F43" s="190">
        <v>2</v>
      </c>
      <c r="G43" s="190">
        <v>21</v>
      </c>
      <c r="H43" s="190">
        <v>23</v>
      </c>
      <c r="I43" s="190">
        <v>1</v>
      </c>
      <c r="J43" s="190">
        <v>718</v>
      </c>
      <c r="K43" s="190">
        <v>719</v>
      </c>
      <c r="L43" s="190">
        <v>0</v>
      </c>
      <c r="M43" s="190">
        <v>292</v>
      </c>
      <c r="N43" s="190">
        <v>292</v>
      </c>
      <c r="O43" s="190">
        <v>1</v>
      </c>
      <c r="P43" s="190">
        <v>426</v>
      </c>
      <c r="Q43" s="190">
        <v>427</v>
      </c>
      <c r="R43" s="190">
        <v>0</v>
      </c>
      <c r="S43" s="190">
        <v>27</v>
      </c>
      <c r="T43" s="190">
        <v>27</v>
      </c>
      <c r="U43" s="190">
        <v>0</v>
      </c>
      <c r="V43" s="190">
        <v>131</v>
      </c>
      <c r="W43" s="190">
        <v>131</v>
      </c>
      <c r="X43" s="190">
        <v>66</v>
      </c>
      <c r="Y43" s="190">
        <v>1910</v>
      </c>
      <c r="Z43" s="190">
        <v>1976</v>
      </c>
      <c r="AA43" s="190">
        <v>34</v>
      </c>
      <c r="AB43" s="190">
        <v>794</v>
      </c>
      <c r="AC43" s="190">
        <v>828</v>
      </c>
      <c r="AD43" s="190">
        <v>29</v>
      </c>
      <c r="AE43" s="190">
        <v>739</v>
      </c>
      <c r="AF43" s="190">
        <v>768</v>
      </c>
      <c r="AG43" s="190">
        <v>4</v>
      </c>
      <c r="AH43" s="190">
        <v>45</v>
      </c>
      <c r="AI43" s="190">
        <v>49</v>
      </c>
      <c r="AJ43" s="190">
        <v>1</v>
      </c>
      <c r="AK43" s="190">
        <v>10</v>
      </c>
      <c r="AL43" s="190">
        <v>11</v>
      </c>
      <c r="AM43" s="190">
        <v>32</v>
      </c>
      <c r="AN43" s="190">
        <v>1116</v>
      </c>
      <c r="AO43" s="190">
        <v>1148</v>
      </c>
      <c r="AP43" s="190">
        <v>2189</v>
      </c>
      <c r="AQ43" s="190">
        <v>29971</v>
      </c>
      <c r="AR43" s="190">
        <v>32160</v>
      </c>
      <c r="AS43" s="190">
        <v>2158</v>
      </c>
      <c r="AT43" s="190">
        <v>29929</v>
      </c>
      <c r="AU43" s="190">
        <v>32087</v>
      </c>
      <c r="AV43" s="190">
        <v>31</v>
      </c>
      <c r="AW43" s="190">
        <v>42</v>
      </c>
      <c r="AX43" s="190">
        <v>73</v>
      </c>
      <c r="AY43" s="190">
        <v>159</v>
      </c>
      <c r="AZ43" s="190">
        <v>2878</v>
      </c>
      <c r="BA43" s="190">
        <v>3037</v>
      </c>
      <c r="BB43" s="190">
        <v>68</v>
      </c>
      <c r="BC43" s="190">
        <v>1</v>
      </c>
      <c r="BD43" s="190">
        <v>1</v>
      </c>
      <c r="BE43" s="190">
        <v>1546</v>
      </c>
      <c r="BF43" s="190">
        <v>50</v>
      </c>
      <c r="BG43" s="190">
        <v>72</v>
      </c>
      <c r="BH43" s="190">
        <v>70</v>
      </c>
      <c r="BI43" s="190">
        <v>1668</v>
      </c>
      <c r="BJ43" s="190">
        <v>1738</v>
      </c>
      <c r="BK43" s="190">
        <v>-36</v>
      </c>
      <c r="BL43" s="190">
        <v>36</v>
      </c>
      <c r="BM43" s="190">
        <v>0</v>
      </c>
      <c r="BN43" s="190">
        <v>7</v>
      </c>
      <c r="BO43" s="190">
        <v>44</v>
      </c>
      <c r="BP43" s="190">
        <v>51</v>
      </c>
      <c r="BQ43" s="190">
        <v>12</v>
      </c>
      <c r="BR43" s="190">
        <v>277</v>
      </c>
      <c r="BS43" s="190">
        <v>289</v>
      </c>
      <c r="BT43" s="190">
        <v>106</v>
      </c>
      <c r="BU43" s="190">
        <v>853</v>
      </c>
      <c r="BV43" s="190">
        <v>959</v>
      </c>
      <c r="BW43" s="190">
        <v>2348</v>
      </c>
      <c r="BX43" s="190">
        <v>32849</v>
      </c>
      <c r="BY43" s="190">
        <v>35197</v>
      </c>
      <c r="BZ43" s="190">
        <v>2202</v>
      </c>
      <c r="CA43" s="190">
        <v>31128</v>
      </c>
      <c r="CB43" s="190">
        <v>33330</v>
      </c>
      <c r="CC43" s="190">
        <v>52255</v>
      </c>
      <c r="CD43" s="190">
        <v>92</v>
      </c>
      <c r="CE43" s="190">
        <v>1236</v>
      </c>
      <c r="CF43" s="190">
        <v>138</v>
      </c>
      <c r="CG43" s="190">
        <v>830</v>
      </c>
      <c r="CH43" s="190">
        <v>968</v>
      </c>
      <c r="CI43" s="190">
        <v>1205</v>
      </c>
      <c r="CJ43" s="190">
        <v>66</v>
      </c>
      <c r="CK43" s="190">
        <v>8</v>
      </c>
      <c r="CL43" s="190">
        <v>891</v>
      </c>
      <c r="CM43" s="190">
        <v>899</v>
      </c>
      <c r="CN43" s="190">
        <v>177</v>
      </c>
      <c r="CO43" s="190">
        <v>2803</v>
      </c>
      <c r="CP43" s="190">
        <v>2980</v>
      </c>
      <c r="CQ43" s="190">
        <v>0</v>
      </c>
      <c r="CR43" s="190">
        <v>5</v>
      </c>
      <c r="CS43" s="190">
        <v>5</v>
      </c>
      <c r="CT43" s="190">
        <v>2171</v>
      </c>
      <c r="CU43" s="190">
        <v>30046</v>
      </c>
      <c r="CV43" s="190">
        <v>32217</v>
      </c>
      <c r="CW43" s="190">
        <v>194</v>
      </c>
      <c r="CX43" s="190">
        <v>1442</v>
      </c>
      <c r="CY43" s="190">
        <v>1636</v>
      </c>
      <c r="CZ43" s="190">
        <v>182</v>
      </c>
      <c r="DA43" s="190">
        <v>10</v>
      </c>
      <c r="DB43" s="190">
        <v>0</v>
      </c>
      <c r="DC43" s="190">
        <v>1326</v>
      </c>
      <c r="DD43" s="190">
        <v>47</v>
      </c>
      <c r="DE43" s="190">
        <v>33</v>
      </c>
      <c r="DF43" s="190">
        <v>192</v>
      </c>
      <c r="DG43" s="190">
        <v>1406</v>
      </c>
      <c r="DH43" s="190">
        <v>1598</v>
      </c>
      <c r="DI43" s="190">
        <v>2</v>
      </c>
      <c r="DJ43" s="190">
        <v>0</v>
      </c>
      <c r="DK43" s="190">
        <v>0</v>
      </c>
      <c r="DL43" s="190">
        <v>35</v>
      </c>
      <c r="DM43" s="190">
        <v>1</v>
      </c>
      <c r="DN43" s="190">
        <v>0</v>
      </c>
      <c r="DO43" s="190">
        <v>2</v>
      </c>
      <c r="DP43" s="190">
        <v>36</v>
      </c>
      <c r="DQ43" s="190">
        <v>38</v>
      </c>
      <c r="DR43" s="190">
        <v>4</v>
      </c>
      <c r="DS43" s="190">
        <v>3</v>
      </c>
      <c r="DT43" s="191">
        <v>7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3619</v>
      </c>
      <c r="C44" s="190">
        <v>1264</v>
      </c>
      <c r="D44" s="190">
        <v>3593</v>
      </c>
      <c r="E44" s="190">
        <v>2171</v>
      </c>
      <c r="F44" s="190">
        <v>7</v>
      </c>
      <c r="G44" s="190">
        <v>59</v>
      </c>
      <c r="H44" s="190">
        <v>66</v>
      </c>
      <c r="I44" s="190">
        <v>1</v>
      </c>
      <c r="J44" s="190">
        <v>1244</v>
      </c>
      <c r="K44" s="190">
        <v>1245</v>
      </c>
      <c r="L44" s="190">
        <v>1</v>
      </c>
      <c r="M44" s="190">
        <v>577</v>
      </c>
      <c r="N44" s="190">
        <v>578</v>
      </c>
      <c r="O44" s="190">
        <v>0</v>
      </c>
      <c r="P44" s="190">
        <v>667</v>
      </c>
      <c r="Q44" s="190">
        <v>667</v>
      </c>
      <c r="R44" s="190">
        <v>0</v>
      </c>
      <c r="S44" s="190">
        <v>26</v>
      </c>
      <c r="T44" s="190">
        <v>26</v>
      </c>
      <c r="U44" s="190">
        <v>0</v>
      </c>
      <c r="V44" s="190">
        <v>177</v>
      </c>
      <c r="W44" s="190">
        <v>177</v>
      </c>
      <c r="X44" s="190">
        <v>146</v>
      </c>
      <c r="Y44" s="190">
        <v>3445</v>
      </c>
      <c r="Z44" s="190">
        <v>3591</v>
      </c>
      <c r="AA44" s="190">
        <v>89</v>
      </c>
      <c r="AB44" s="190">
        <v>1264</v>
      </c>
      <c r="AC44" s="190">
        <v>1353</v>
      </c>
      <c r="AD44" s="190">
        <v>75</v>
      </c>
      <c r="AE44" s="190">
        <v>1088</v>
      </c>
      <c r="AF44" s="190">
        <v>1163</v>
      </c>
      <c r="AG44" s="190">
        <v>6</v>
      </c>
      <c r="AH44" s="190">
        <v>111</v>
      </c>
      <c r="AI44" s="190">
        <v>117</v>
      </c>
      <c r="AJ44" s="190">
        <v>8</v>
      </c>
      <c r="AK44" s="190">
        <v>65</v>
      </c>
      <c r="AL44" s="190">
        <v>73</v>
      </c>
      <c r="AM44" s="190">
        <v>57</v>
      </c>
      <c r="AN44" s="190">
        <v>2181</v>
      </c>
      <c r="AO44" s="190">
        <v>2238</v>
      </c>
      <c r="AP44" s="190">
        <v>6957</v>
      </c>
      <c r="AQ44" s="190">
        <v>41349</v>
      </c>
      <c r="AR44" s="190">
        <v>48306</v>
      </c>
      <c r="AS44" s="190">
        <v>6958</v>
      </c>
      <c r="AT44" s="190">
        <v>41350</v>
      </c>
      <c r="AU44" s="190">
        <v>48308</v>
      </c>
      <c r="AV44" s="190">
        <v>-1</v>
      </c>
      <c r="AW44" s="190">
        <v>-1</v>
      </c>
      <c r="AX44" s="190">
        <v>-2</v>
      </c>
      <c r="AY44" s="190">
        <v>351</v>
      </c>
      <c r="AZ44" s="190">
        <v>3637</v>
      </c>
      <c r="BA44" s="190">
        <v>3988</v>
      </c>
      <c r="BB44" s="190">
        <v>187</v>
      </c>
      <c r="BC44" s="190">
        <v>2</v>
      </c>
      <c r="BD44" s="190">
        <v>0</v>
      </c>
      <c r="BE44" s="190">
        <v>1940</v>
      </c>
      <c r="BF44" s="190">
        <v>32</v>
      </c>
      <c r="BG44" s="190">
        <v>10</v>
      </c>
      <c r="BH44" s="190">
        <v>189</v>
      </c>
      <c r="BI44" s="190">
        <v>1982</v>
      </c>
      <c r="BJ44" s="190">
        <v>2171</v>
      </c>
      <c r="BK44" s="190">
        <v>-116</v>
      </c>
      <c r="BL44" s="190">
        <v>116</v>
      </c>
      <c r="BM44" s="190">
        <v>0</v>
      </c>
      <c r="BN44" s="190">
        <v>33</v>
      </c>
      <c r="BO44" s="190">
        <v>91</v>
      </c>
      <c r="BP44" s="190">
        <v>124</v>
      </c>
      <c r="BQ44" s="190">
        <v>50</v>
      </c>
      <c r="BR44" s="190">
        <v>437</v>
      </c>
      <c r="BS44" s="190">
        <v>487</v>
      </c>
      <c r="BT44" s="190">
        <v>195</v>
      </c>
      <c r="BU44" s="190">
        <v>1011</v>
      </c>
      <c r="BV44" s="190">
        <v>1206</v>
      </c>
      <c r="BW44" s="190">
        <v>7308</v>
      </c>
      <c r="BX44" s="190">
        <v>44986</v>
      </c>
      <c r="BY44" s="190">
        <v>52294</v>
      </c>
      <c r="BZ44" s="190">
        <v>7242</v>
      </c>
      <c r="CA44" s="190">
        <v>44351</v>
      </c>
      <c r="CB44" s="190">
        <v>51593</v>
      </c>
      <c r="CC44" s="190">
        <v>116067</v>
      </c>
      <c r="CD44" s="190">
        <v>45</v>
      </c>
      <c r="CE44" s="190">
        <v>622</v>
      </c>
      <c r="CF44" s="190">
        <v>66</v>
      </c>
      <c r="CG44" s="190">
        <v>479</v>
      </c>
      <c r="CH44" s="190">
        <v>545</v>
      </c>
      <c r="CI44" s="190">
        <v>203</v>
      </c>
      <c r="CJ44" s="190">
        <v>20</v>
      </c>
      <c r="CK44" s="190">
        <v>0</v>
      </c>
      <c r="CL44" s="190">
        <v>156</v>
      </c>
      <c r="CM44" s="190">
        <v>156</v>
      </c>
      <c r="CN44" s="190">
        <v>357</v>
      </c>
      <c r="CO44" s="190">
        <v>3733</v>
      </c>
      <c r="CP44" s="190">
        <v>4090</v>
      </c>
      <c r="CQ44" s="190">
        <v>0</v>
      </c>
      <c r="CR44" s="190">
        <v>0</v>
      </c>
      <c r="CS44" s="190">
        <v>0</v>
      </c>
      <c r="CT44" s="190">
        <v>6951</v>
      </c>
      <c r="CU44" s="190">
        <v>41253</v>
      </c>
      <c r="CV44" s="190">
        <v>48204</v>
      </c>
      <c r="CW44" s="190">
        <v>526</v>
      </c>
      <c r="CX44" s="190">
        <v>2506</v>
      </c>
      <c r="CY44" s="190">
        <v>3032</v>
      </c>
      <c r="CZ44" s="190">
        <v>521</v>
      </c>
      <c r="DA44" s="190">
        <v>4</v>
      </c>
      <c r="DB44" s="190">
        <v>0</v>
      </c>
      <c r="DC44" s="190">
        <v>2438</v>
      </c>
      <c r="DD44" s="190">
        <v>25</v>
      </c>
      <c r="DE44" s="190">
        <v>5</v>
      </c>
      <c r="DF44" s="190">
        <v>525</v>
      </c>
      <c r="DG44" s="190">
        <v>2468</v>
      </c>
      <c r="DH44" s="190">
        <v>2993</v>
      </c>
      <c r="DI44" s="190">
        <v>1</v>
      </c>
      <c r="DJ44" s="190">
        <v>0</v>
      </c>
      <c r="DK44" s="190">
        <v>0</v>
      </c>
      <c r="DL44" s="190">
        <v>37</v>
      </c>
      <c r="DM44" s="190">
        <v>1</v>
      </c>
      <c r="DN44" s="190">
        <v>0</v>
      </c>
      <c r="DO44" s="190">
        <v>1</v>
      </c>
      <c r="DP44" s="190">
        <v>38</v>
      </c>
      <c r="DQ44" s="190">
        <v>39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769</v>
      </c>
      <c r="C45" s="190">
        <v>188</v>
      </c>
      <c r="D45" s="190">
        <v>720</v>
      </c>
      <c r="E45" s="190">
        <v>352</v>
      </c>
      <c r="F45" s="190">
        <v>2</v>
      </c>
      <c r="G45" s="190">
        <v>8</v>
      </c>
      <c r="H45" s="190">
        <v>10</v>
      </c>
      <c r="I45" s="190">
        <v>0</v>
      </c>
      <c r="J45" s="190">
        <v>243</v>
      </c>
      <c r="K45" s="190">
        <v>243</v>
      </c>
      <c r="L45" s="190">
        <v>0</v>
      </c>
      <c r="M45" s="190">
        <v>65</v>
      </c>
      <c r="N45" s="190">
        <v>65</v>
      </c>
      <c r="O45" s="190">
        <v>0</v>
      </c>
      <c r="P45" s="190">
        <v>178</v>
      </c>
      <c r="Q45" s="190">
        <v>178</v>
      </c>
      <c r="R45" s="190">
        <v>0</v>
      </c>
      <c r="S45" s="190">
        <v>14</v>
      </c>
      <c r="T45" s="190">
        <v>14</v>
      </c>
      <c r="U45" s="190">
        <v>0</v>
      </c>
      <c r="V45" s="190">
        <v>125</v>
      </c>
      <c r="W45" s="190">
        <v>125</v>
      </c>
      <c r="X45" s="190">
        <v>17</v>
      </c>
      <c r="Y45" s="190">
        <v>342</v>
      </c>
      <c r="Z45" s="190">
        <v>359</v>
      </c>
      <c r="AA45" s="190">
        <v>9</v>
      </c>
      <c r="AB45" s="190">
        <v>197</v>
      </c>
      <c r="AC45" s="190">
        <v>206</v>
      </c>
      <c r="AD45" s="190">
        <v>9</v>
      </c>
      <c r="AE45" s="190">
        <v>194</v>
      </c>
      <c r="AF45" s="190">
        <v>203</v>
      </c>
      <c r="AG45" s="190">
        <v>0</v>
      </c>
      <c r="AH45" s="190">
        <v>3</v>
      </c>
      <c r="AI45" s="190">
        <v>3</v>
      </c>
      <c r="AJ45" s="190">
        <v>0</v>
      </c>
      <c r="AK45" s="190">
        <v>0</v>
      </c>
      <c r="AL45" s="190">
        <v>0</v>
      </c>
      <c r="AM45" s="190">
        <v>8</v>
      </c>
      <c r="AN45" s="190">
        <v>145</v>
      </c>
      <c r="AO45" s="190">
        <v>153</v>
      </c>
      <c r="AP45" s="190">
        <v>846</v>
      </c>
      <c r="AQ45" s="190">
        <v>8217</v>
      </c>
      <c r="AR45" s="190">
        <v>9063</v>
      </c>
      <c r="AS45" s="190">
        <v>846</v>
      </c>
      <c r="AT45" s="190">
        <v>8217</v>
      </c>
      <c r="AU45" s="190">
        <v>9063</v>
      </c>
      <c r="AV45" s="190">
        <v>0</v>
      </c>
      <c r="AW45" s="190">
        <v>0</v>
      </c>
      <c r="AX45" s="190">
        <v>0</v>
      </c>
      <c r="AY45" s="190">
        <v>27</v>
      </c>
      <c r="AZ45" s="190">
        <v>808</v>
      </c>
      <c r="BA45" s="190">
        <v>835</v>
      </c>
      <c r="BB45" s="190">
        <v>26</v>
      </c>
      <c r="BC45" s="190">
        <v>0</v>
      </c>
      <c r="BD45" s="190">
        <v>0</v>
      </c>
      <c r="BE45" s="190">
        <v>325</v>
      </c>
      <c r="BF45" s="190">
        <v>1</v>
      </c>
      <c r="BG45" s="190">
        <v>0</v>
      </c>
      <c r="BH45" s="190">
        <v>26</v>
      </c>
      <c r="BI45" s="190">
        <v>326</v>
      </c>
      <c r="BJ45" s="190">
        <v>352</v>
      </c>
      <c r="BK45" s="190">
        <v>-27</v>
      </c>
      <c r="BL45" s="190">
        <v>27</v>
      </c>
      <c r="BM45" s="190">
        <v>0</v>
      </c>
      <c r="BN45" s="190">
        <v>3</v>
      </c>
      <c r="BO45" s="190">
        <v>16</v>
      </c>
      <c r="BP45" s="190">
        <v>19</v>
      </c>
      <c r="BQ45" s="190">
        <v>10</v>
      </c>
      <c r="BR45" s="190">
        <v>141</v>
      </c>
      <c r="BS45" s="190">
        <v>151</v>
      </c>
      <c r="BT45" s="190">
        <v>15</v>
      </c>
      <c r="BU45" s="190">
        <v>298</v>
      </c>
      <c r="BV45" s="190">
        <v>313</v>
      </c>
      <c r="BW45" s="190">
        <v>873</v>
      </c>
      <c r="BX45" s="190">
        <v>9025</v>
      </c>
      <c r="BY45" s="190">
        <v>9898</v>
      </c>
      <c r="BZ45" s="190">
        <v>868</v>
      </c>
      <c r="CA45" s="190">
        <v>8979</v>
      </c>
      <c r="CB45" s="190">
        <v>9847</v>
      </c>
      <c r="CC45" s="190">
        <v>17867</v>
      </c>
      <c r="CD45" s="190">
        <v>0</v>
      </c>
      <c r="CE45" s="190">
        <v>54</v>
      </c>
      <c r="CF45" s="190">
        <v>5</v>
      </c>
      <c r="CG45" s="190">
        <v>40</v>
      </c>
      <c r="CH45" s="190">
        <v>45</v>
      </c>
      <c r="CI45" s="190">
        <v>4</v>
      </c>
      <c r="CJ45" s="190">
        <v>4</v>
      </c>
      <c r="CK45" s="190">
        <v>0</v>
      </c>
      <c r="CL45" s="190">
        <v>6</v>
      </c>
      <c r="CM45" s="190">
        <v>6</v>
      </c>
      <c r="CN45" s="190">
        <v>52</v>
      </c>
      <c r="CO45" s="190">
        <v>807</v>
      </c>
      <c r="CP45" s="190">
        <v>859</v>
      </c>
      <c r="CQ45" s="190">
        <v>0</v>
      </c>
      <c r="CR45" s="190">
        <v>2</v>
      </c>
      <c r="CS45" s="190">
        <v>2</v>
      </c>
      <c r="CT45" s="190">
        <v>821</v>
      </c>
      <c r="CU45" s="190">
        <v>8218</v>
      </c>
      <c r="CV45" s="190">
        <v>9039</v>
      </c>
      <c r="CW45" s="190">
        <v>61</v>
      </c>
      <c r="CX45" s="190">
        <v>525</v>
      </c>
      <c r="CY45" s="190">
        <v>586</v>
      </c>
      <c r="CZ45" s="190">
        <v>59</v>
      </c>
      <c r="DA45" s="190">
        <v>0</v>
      </c>
      <c r="DB45" s="190">
        <v>0</v>
      </c>
      <c r="DC45" s="190">
        <v>466</v>
      </c>
      <c r="DD45" s="190">
        <v>1</v>
      </c>
      <c r="DE45" s="190">
        <v>0</v>
      </c>
      <c r="DF45" s="190">
        <v>59</v>
      </c>
      <c r="DG45" s="190">
        <v>467</v>
      </c>
      <c r="DH45" s="190">
        <v>526</v>
      </c>
      <c r="DI45" s="190">
        <v>2</v>
      </c>
      <c r="DJ45" s="190">
        <v>0</v>
      </c>
      <c r="DK45" s="190">
        <v>0</v>
      </c>
      <c r="DL45" s="190">
        <v>58</v>
      </c>
      <c r="DM45" s="190">
        <v>0</v>
      </c>
      <c r="DN45" s="190">
        <v>0</v>
      </c>
      <c r="DO45" s="190">
        <v>2</v>
      </c>
      <c r="DP45" s="190">
        <v>58</v>
      </c>
      <c r="DQ45" s="190">
        <v>60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>
      <c r="A46" s="189" t="s">
        <v>311</v>
      </c>
      <c r="B46" s="190">
        <v>1351</v>
      </c>
      <c r="C46" s="190">
        <v>279</v>
      </c>
      <c r="D46" s="190">
        <v>1248</v>
      </c>
      <c r="E46" s="190">
        <v>657</v>
      </c>
      <c r="F46" s="190">
        <v>0</v>
      </c>
      <c r="G46" s="190">
        <v>25</v>
      </c>
      <c r="H46" s="190">
        <v>25</v>
      </c>
      <c r="I46" s="190">
        <v>2</v>
      </c>
      <c r="J46" s="190">
        <v>494</v>
      </c>
      <c r="K46" s="190">
        <v>496</v>
      </c>
      <c r="L46" s="190">
        <v>2</v>
      </c>
      <c r="M46" s="190">
        <v>494</v>
      </c>
      <c r="N46" s="190">
        <v>496</v>
      </c>
      <c r="O46" s="190">
        <v>0</v>
      </c>
      <c r="P46" s="190">
        <v>0</v>
      </c>
      <c r="Q46" s="190">
        <v>0</v>
      </c>
      <c r="R46" s="190">
        <v>0</v>
      </c>
      <c r="S46" s="190">
        <v>47</v>
      </c>
      <c r="T46" s="190">
        <v>47</v>
      </c>
      <c r="U46" s="190">
        <v>0</v>
      </c>
      <c r="V46" s="190">
        <v>95</v>
      </c>
      <c r="W46" s="190">
        <v>95</v>
      </c>
      <c r="X46" s="190">
        <v>16</v>
      </c>
      <c r="Y46" s="190">
        <v>990</v>
      </c>
      <c r="Z46" s="190">
        <v>1006</v>
      </c>
      <c r="AA46" s="190">
        <v>7</v>
      </c>
      <c r="AB46" s="190">
        <v>322</v>
      </c>
      <c r="AC46" s="190">
        <v>329</v>
      </c>
      <c r="AD46" s="190">
        <v>5</v>
      </c>
      <c r="AE46" s="190">
        <v>292</v>
      </c>
      <c r="AF46" s="190">
        <v>297</v>
      </c>
      <c r="AG46" s="190">
        <v>1</v>
      </c>
      <c r="AH46" s="190">
        <v>20</v>
      </c>
      <c r="AI46" s="190">
        <v>21</v>
      </c>
      <c r="AJ46" s="190">
        <v>1</v>
      </c>
      <c r="AK46" s="190">
        <v>10</v>
      </c>
      <c r="AL46" s="190">
        <v>11</v>
      </c>
      <c r="AM46" s="190">
        <v>9</v>
      </c>
      <c r="AN46" s="190">
        <v>668</v>
      </c>
      <c r="AO46" s="190">
        <v>677</v>
      </c>
      <c r="AP46" s="190">
        <v>806</v>
      </c>
      <c r="AQ46" s="190">
        <v>12688</v>
      </c>
      <c r="AR46" s="190">
        <v>13494</v>
      </c>
      <c r="AS46" s="190">
        <v>827</v>
      </c>
      <c r="AT46" s="190">
        <v>12732</v>
      </c>
      <c r="AU46" s="190">
        <v>13559</v>
      </c>
      <c r="AV46" s="190">
        <v>-21</v>
      </c>
      <c r="AW46" s="190">
        <v>-44</v>
      </c>
      <c r="AX46" s="190">
        <v>-65</v>
      </c>
      <c r="AY46" s="190">
        <v>56</v>
      </c>
      <c r="AZ46" s="190">
        <v>1448</v>
      </c>
      <c r="BA46" s="190">
        <v>1504</v>
      </c>
      <c r="BB46" s="190">
        <v>20</v>
      </c>
      <c r="BC46" s="190">
        <v>0</v>
      </c>
      <c r="BD46" s="190">
        <v>0</v>
      </c>
      <c r="BE46" s="190">
        <v>613</v>
      </c>
      <c r="BF46" s="190">
        <v>18</v>
      </c>
      <c r="BG46" s="190">
        <v>6</v>
      </c>
      <c r="BH46" s="190">
        <v>20</v>
      </c>
      <c r="BI46" s="190">
        <v>637</v>
      </c>
      <c r="BJ46" s="190">
        <v>657</v>
      </c>
      <c r="BK46" s="190">
        <v>-33</v>
      </c>
      <c r="BL46" s="190">
        <v>33</v>
      </c>
      <c r="BM46" s="190">
        <v>0</v>
      </c>
      <c r="BN46" s="190">
        <v>30</v>
      </c>
      <c r="BO46" s="190">
        <v>31</v>
      </c>
      <c r="BP46" s="190">
        <v>61</v>
      </c>
      <c r="BQ46" s="190">
        <v>0</v>
      </c>
      <c r="BR46" s="190">
        <v>133</v>
      </c>
      <c r="BS46" s="190">
        <v>133</v>
      </c>
      <c r="BT46" s="190">
        <v>39</v>
      </c>
      <c r="BU46" s="190">
        <v>614</v>
      </c>
      <c r="BV46" s="190">
        <v>653</v>
      </c>
      <c r="BW46" s="190">
        <v>862</v>
      </c>
      <c r="BX46" s="190">
        <v>14136</v>
      </c>
      <c r="BY46" s="190">
        <v>14998</v>
      </c>
      <c r="BZ46" s="190">
        <v>833</v>
      </c>
      <c r="CA46" s="190">
        <v>13540</v>
      </c>
      <c r="CB46" s="190">
        <v>14373</v>
      </c>
      <c r="CC46" s="190">
        <v>28367</v>
      </c>
      <c r="CD46" s="190">
        <v>40</v>
      </c>
      <c r="CE46" s="190">
        <v>585</v>
      </c>
      <c r="CF46" s="190">
        <v>28</v>
      </c>
      <c r="CG46" s="190">
        <v>419</v>
      </c>
      <c r="CH46" s="190">
        <v>447</v>
      </c>
      <c r="CI46" s="190">
        <v>229</v>
      </c>
      <c r="CJ46" s="190">
        <v>9</v>
      </c>
      <c r="CK46" s="190">
        <v>1</v>
      </c>
      <c r="CL46" s="190">
        <v>177</v>
      </c>
      <c r="CM46" s="190">
        <v>178</v>
      </c>
      <c r="CN46" s="190">
        <v>60</v>
      </c>
      <c r="CO46" s="190">
        <v>1520</v>
      </c>
      <c r="CP46" s="190">
        <v>1580</v>
      </c>
      <c r="CQ46" s="190">
        <v>0</v>
      </c>
      <c r="CR46" s="190">
        <v>0</v>
      </c>
      <c r="CS46" s="190">
        <v>0</v>
      </c>
      <c r="CT46" s="190">
        <v>802</v>
      </c>
      <c r="CU46" s="190">
        <v>12616</v>
      </c>
      <c r="CV46" s="190">
        <v>13418</v>
      </c>
      <c r="CW46" s="190">
        <v>72</v>
      </c>
      <c r="CX46" s="190">
        <v>723</v>
      </c>
      <c r="CY46" s="190">
        <v>795</v>
      </c>
      <c r="CZ46" s="190">
        <v>67</v>
      </c>
      <c r="DA46" s="190">
        <v>4</v>
      </c>
      <c r="DB46" s="190">
        <v>0</v>
      </c>
      <c r="DC46" s="190">
        <v>662</v>
      </c>
      <c r="DD46" s="190">
        <v>26</v>
      </c>
      <c r="DE46" s="190">
        <v>7</v>
      </c>
      <c r="DF46" s="190">
        <v>71</v>
      </c>
      <c r="DG46" s="190">
        <v>695</v>
      </c>
      <c r="DH46" s="190">
        <v>766</v>
      </c>
      <c r="DI46" s="190">
        <v>1</v>
      </c>
      <c r="DJ46" s="190">
        <v>0</v>
      </c>
      <c r="DK46" s="190">
        <v>0</v>
      </c>
      <c r="DL46" s="190">
        <v>25</v>
      </c>
      <c r="DM46" s="190">
        <v>2</v>
      </c>
      <c r="DN46" s="190">
        <v>1</v>
      </c>
      <c r="DO46" s="190">
        <v>1</v>
      </c>
      <c r="DP46" s="190">
        <v>28</v>
      </c>
      <c r="DQ46" s="190">
        <v>29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1589</v>
      </c>
      <c r="C47" s="190">
        <v>422</v>
      </c>
      <c r="D47" s="190">
        <v>1403</v>
      </c>
      <c r="E47" s="190">
        <v>916</v>
      </c>
      <c r="F47" s="190">
        <v>1</v>
      </c>
      <c r="G47" s="190">
        <v>37</v>
      </c>
      <c r="H47" s="190">
        <v>38</v>
      </c>
      <c r="I47" s="190">
        <v>1</v>
      </c>
      <c r="J47" s="190">
        <v>407</v>
      </c>
      <c r="K47" s="190">
        <v>408</v>
      </c>
      <c r="L47" s="190">
        <v>1</v>
      </c>
      <c r="M47" s="190">
        <v>184</v>
      </c>
      <c r="N47" s="190">
        <v>185</v>
      </c>
      <c r="O47" s="190">
        <v>0</v>
      </c>
      <c r="P47" s="190">
        <v>223</v>
      </c>
      <c r="Q47" s="190">
        <v>223</v>
      </c>
      <c r="R47" s="190">
        <v>0</v>
      </c>
      <c r="S47" s="190">
        <v>38</v>
      </c>
      <c r="T47" s="190">
        <v>38</v>
      </c>
      <c r="U47" s="190">
        <v>0</v>
      </c>
      <c r="V47" s="190">
        <v>79</v>
      </c>
      <c r="W47" s="190">
        <v>79</v>
      </c>
      <c r="X47" s="190">
        <v>24</v>
      </c>
      <c r="Y47" s="190">
        <v>510</v>
      </c>
      <c r="Z47" s="190">
        <v>534</v>
      </c>
      <c r="AA47" s="190">
        <v>19</v>
      </c>
      <c r="AB47" s="190">
        <v>313</v>
      </c>
      <c r="AC47" s="190">
        <v>332</v>
      </c>
      <c r="AD47" s="190">
        <v>17</v>
      </c>
      <c r="AE47" s="190">
        <v>285</v>
      </c>
      <c r="AF47" s="190">
        <v>302</v>
      </c>
      <c r="AG47" s="190">
        <v>2</v>
      </c>
      <c r="AH47" s="190">
        <v>18</v>
      </c>
      <c r="AI47" s="190">
        <v>20</v>
      </c>
      <c r="AJ47" s="190">
        <v>0</v>
      </c>
      <c r="AK47" s="190">
        <v>10</v>
      </c>
      <c r="AL47" s="190">
        <v>10</v>
      </c>
      <c r="AM47" s="190">
        <v>5</v>
      </c>
      <c r="AN47" s="190">
        <v>197</v>
      </c>
      <c r="AO47" s="190">
        <v>202</v>
      </c>
      <c r="AP47" s="190">
        <v>1840</v>
      </c>
      <c r="AQ47" s="190">
        <v>14545</v>
      </c>
      <c r="AR47" s="190">
        <v>16385</v>
      </c>
      <c r="AS47" s="190">
        <v>1922</v>
      </c>
      <c r="AT47" s="190">
        <v>14447</v>
      </c>
      <c r="AU47" s="190">
        <v>16369</v>
      </c>
      <c r="AV47" s="190">
        <v>-82</v>
      </c>
      <c r="AW47" s="190">
        <v>98</v>
      </c>
      <c r="AX47" s="190">
        <v>16</v>
      </c>
      <c r="AY47" s="190">
        <v>162</v>
      </c>
      <c r="AZ47" s="190">
        <v>1409</v>
      </c>
      <c r="BA47" s="190">
        <v>1571</v>
      </c>
      <c r="BB47" s="190">
        <v>70</v>
      </c>
      <c r="BC47" s="190">
        <v>0</v>
      </c>
      <c r="BD47" s="190">
        <v>0</v>
      </c>
      <c r="BE47" s="190">
        <v>830</v>
      </c>
      <c r="BF47" s="190">
        <v>10</v>
      </c>
      <c r="BG47" s="190">
        <v>6</v>
      </c>
      <c r="BH47" s="190">
        <v>70</v>
      </c>
      <c r="BI47" s="190">
        <v>846</v>
      </c>
      <c r="BJ47" s="190">
        <v>916</v>
      </c>
      <c r="BK47" s="190">
        <v>22</v>
      </c>
      <c r="BL47" s="190">
        <v>-22</v>
      </c>
      <c r="BM47" s="190">
        <v>0</v>
      </c>
      <c r="BN47" s="190">
        <v>1</v>
      </c>
      <c r="BO47" s="190">
        <v>29</v>
      </c>
      <c r="BP47" s="190">
        <v>30</v>
      </c>
      <c r="BQ47" s="190">
        <v>10</v>
      </c>
      <c r="BR47" s="190">
        <v>136</v>
      </c>
      <c r="BS47" s="190">
        <v>146</v>
      </c>
      <c r="BT47" s="190">
        <v>59</v>
      </c>
      <c r="BU47" s="190">
        <v>420</v>
      </c>
      <c r="BV47" s="190">
        <v>479</v>
      </c>
      <c r="BW47" s="190">
        <v>2002</v>
      </c>
      <c r="BX47" s="190">
        <v>15954</v>
      </c>
      <c r="BY47" s="190">
        <v>17956</v>
      </c>
      <c r="BZ47" s="190">
        <v>1986</v>
      </c>
      <c r="CA47" s="190">
        <v>15768</v>
      </c>
      <c r="CB47" s="190">
        <v>17754</v>
      </c>
      <c r="CC47" s="190">
        <v>37215</v>
      </c>
      <c r="CD47" s="190">
        <v>17</v>
      </c>
      <c r="CE47" s="190">
        <v>126</v>
      </c>
      <c r="CF47" s="190">
        <v>16</v>
      </c>
      <c r="CG47" s="190">
        <v>120</v>
      </c>
      <c r="CH47" s="190">
        <v>136</v>
      </c>
      <c r="CI47" s="190">
        <v>0</v>
      </c>
      <c r="CJ47" s="190">
        <v>83</v>
      </c>
      <c r="CK47" s="190">
        <v>0</v>
      </c>
      <c r="CL47" s="190">
        <v>66</v>
      </c>
      <c r="CM47" s="190">
        <v>66</v>
      </c>
      <c r="CN47" s="190">
        <v>118</v>
      </c>
      <c r="CO47" s="190">
        <v>1485</v>
      </c>
      <c r="CP47" s="190">
        <v>1603</v>
      </c>
      <c r="CQ47" s="190">
        <v>0</v>
      </c>
      <c r="CR47" s="190">
        <v>0</v>
      </c>
      <c r="CS47" s="190">
        <v>0</v>
      </c>
      <c r="CT47" s="190">
        <v>1884</v>
      </c>
      <c r="CU47" s="190">
        <v>14469</v>
      </c>
      <c r="CV47" s="190">
        <v>16353</v>
      </c>
      <c r="CW47" s="190">
        <v>169</v>
      </c>
      <c r="CX47" s="190">
        <v>855</v>
      </c>
      <c r="CY47" s="190">
        <v>1024</v>
      </c>
      <c r="CZ47" s="190">
        <v>165</v>
      </c>
      <c r="DA47" s="190">
        <v>2</v>
      </c>
      <c r="DB47" s="190">
        <v>0</v>
      </c>
      <c r="DC47" s="190">
        <v>784</v>
      </c>
      <c r="DD47" s="190">
        <v>8</v>
      </c>
      <c r="DE47" s="190">
        <v>1</v>
      </c>
      <c r="DF47" s="190">
        <v>167</v>
      </c>
      <c r="DG47" s="190">
        <v>793</v>
      </c>
      <c r="DH47" s="190">
        <v>960</v>
      </c>
      <c r="DI47" s="190">
        <v>2</v>
      </c>
      <c r="DJ47" s="190">
        <v>0</v>
      </c>
      <c r="DK47" s="190">
        <v>0</v>
      </c>
      <c r="DL47" s="190">
        <v>62</v>
      </c>
      <c r="DM47" s="190">
        <v>0</v>
      </c>
      <c r="DN47" s="190">
        <v>0</v>
      </c>
      <c r="DO47" s="190">
        <v>2</v>
      </c>
      <c r="DP47" s="190">
        <v>62</v>
      </c>
      <c r="DQ47" s="190">
        <v>64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3345</v>
      </c>
      <c r="C48" s="190">
        <v>803</v>
      </c>
      <c r="D48" s="190">
        <v>2878</v>
      </c>
      <c r="E48" s="190">
        <v>1818</v>
      </c>
      <c r="F48" s="190">
        <v>1</v>
      </c>
      <c r="G48" s="190">
        <v>24</v>
      </c>
      <c r="H48" s="190">
        <v>25</v>
      </c>
      <c r="I48" s="190">
        <v>3</v>
      </c>
      <c r="J48" s="190">
        <v>729</v>
      </c>
      <c r="K48" s="190">
        <v>732</v>
      </c>
      <c r="L48" s="190">
        <v>3</v>
      </c>
      <c r="M48" s="190">
        <v>725</v>
      </c>
      <c r="N48" s="190">
        <v>728</v>
      </c>
      <c r="O48" s="190">
        <v>0</v>
      </c>
      <c r="P48" s="190">
        <v>4</v>
      </c>
      <c r="Q48" s="190">
        <v>4</v>
      </c>
      <c r="R48" s="190">
        <v>1</v>
      </c>
      <c r="S48" s="190">
        <v>25</v>
      </c>
      <c r="T48" s="190">
        <v>26</v>
      </c>
      <c r="U48" s="190">
        <v>0</v>
      </c>
      <c r="V48" s="190">
        <v>328</v>
      </c>
      <c r="W48" s="190">
        <v>328</v>
      </c>
      <c r="X48" s="190">
        <v>38</v>
      </c>
      <c r="Y48" s="190">
        <v>1511</v>
      </c>
      <c r="Z48" s="190">
        <v>1549</v>
      </c>
      <c r="AA48" s="190">
        <v>17</v>
      </c>
      <c r="AB48" s="190">
        <v>508</v>
      </c>
      <c r="AC48" s="190">
        <v>525</v>
      </c>
      <c r="AD48" s="190">
        <v>17</v>
      </c>
      <c r="AE48" s="190">
        <v>500</v>
      </c>
      <c r="AF48" s="190">
        <v>517</v>
      </c>
      <c r="AG48" s="190">
        <v>0</v>
      </c>
      <c r="AH48" s="190">
        <v>7</v>
      </c>
      <c r="AI48" s="190">
        <v>7</v>
      </c>
      <c r="AJ48" s="190">
        <v>0</v>
      </c>
      <c r="AK48" s="190">
        <v>1</v>
      </c>
      <c r="AL48" s="190">
        <v>1</v>
      </c>
      <c r="AM48" s="190">
        <v>21</v>
      </c>
      <c r="AN48" s="190">
        <v>1003</v>
      </c>
      <c r="AO48" s="190">
        <v>1024</v>
      </c>
      <c r="AP48" s="190">
        <v>4264</v>
      </c>
      <c r="AQ48" s="190">
        <v>44870</v>
      </c>
      <c r="AR48" s="190">
        <v>49134</v>
      </c>
      <c r="AS48" s="190">
        <v>4261</v>
      </c>
      <c r="AT48" s="190">
        <v>44699</v>
      </c>
      <c r="AU48" s="190">
        <v>48960</v>
      </c>
      <c r="AV48" s="190">
        <v>3</v>
      </c>
      <c r="AW48" s="190">
        <v>171</v>
      </c>
      <c r="AX48" s="190">
        <v>174</v>
      </c>
      <c r="AY48" s="190">
        <v>231</v>
      </c>
      <c r="AZ48" s="190">
        <v>3495</v>
      </c>
      <c r="BA48" s="190">
        <v>3726</v>
      </c>
      <c r="BB48" s="190">
        <v>146</v>
      </c>
      <c r="BC48" s="190">
        <v>3</v>
      </c>
      <c r="BD48" s="190">
        <v>0</v>
      </c>
      <c r="BE48" s="190">
        <v>1581</v>
      </c>
      <c r="BF48" s="190">
        <v>35</v>
      </c>
      <c r="BG48" s="190">
        <v>53</v>
      </c>
      <c r="BH48" s="190">
        <v>149</v>
      </c>
      <c r="BI48" s="190">
        <v>1669</v>
      </c>
      <c r="BJ48" s="190">
        <v>1818</v>
      </c>
      <c r="BK48" s="190">
        <v>-91</v>
      </c>
      <c r="BL48" s="190">
        <v>91</v>
      </c>
      <c r="BM48" s="190">
        <v>0</v>
      </c>
      <c r="BN48" s="190">
        <v>19</v>
      </c>
      <c r="BO48" s="190">
        <v>57</v>
      </c>
      <c r="BP48" s="190">
        <v>76</v>
      </c>
      <c r="BQ48" s="190">
        <v>16</v>
      </c>
      <c r="BR48" s="190">
        <v>229</v>
      </c>
      <c r="BS48" s="190">
        <v>245</v>
      </c>
      <c r="BT48" s="190">
        <v>138</v>
      </c>
      <c r="BU48" s="190">
        <v>1449</v>
      </c>
      <c r="BV48" s="190">
        <v>1587</v>
      </c>
      <c r="BW48" s="190">
        <v>4495</v>
      </c>
      <c r="BX48" s="190">
        <v>48365</v>
      </c>
      <c r="BY48" s="190">
        <v>52860</v>
      </c>
      <c r="BZ48" s="190">
        <v>4383</v>
      </c>
      <c r="CA48" s="190">
        <v>46826</v>
      </c>
      <c r="CB48" s="190">
        <v>51209</v>
      </c>
      <c r="CC48" s="190">
        <v>101215</v>
      </c>
      <c r="CD48" s="190">
        <v>101</v>
      </c>
      <c r="CE48" s="190">
        <v>1164</v>
      </c>
      <c r="CF48" s="190">
        <v>109</v>
      </c>
      <c r="CG48" s="190">
        <v>842</v>
      </c>
      <c r="CH48" s="190">
        <v>951</v>
      </c>
      <c r="CI48" s="190">
        <v>953</v>
      </c>
      <c r="CJ48" s="190">
        <v>14</v>
      </c>
      <c r="CK48" s="190">
        <v>3</v>
      </c>
      <c r="CL48" s="190">
        <v>697</v>
      </c>
      <c r="CM48" s="190">
        <v>700</v>
      </c>
      <c r="CN48" s="190">
        <v>212</v>
      </c>
      <c r="CO48" s="190">
        <v>3851</v>
      </c>
      <c r="CP48" s="190">
        <v>4063</v>
      </c>
      <c r="CQ48" s="190">
        <v>0</v>
      </c>
      <c r="CR48" s="190">
        <v>0</v>
      </c>
      <c r="CS48" s="190">
        <v>0</v>
      </c>
      <c r="CT48" s="190">
        <v>4283</v>
      </c>
      <c r="CU48" s="190">
        <v>44514</v>
      </c>
      <c r="CV48" s="190">
        <v>48797</v>
      </c>
      <c r="CW48" s="190">
        <v>338</v>
      </c>
      <c r="CX48" s="190">
        <v>3101</v>
      </c>
      <c r="CY48" s="190">
        <v>3439</v>
      </c>
      <c r="CZ48" s="190">
        <v>320</v>
      </c>
      <c r="DA48" s="190">
        <v>5</v>
      </c>
      <c r="DB48" s="190">
        <v>0</v>
      </c>
      <c r="DC48" s="190">
        <v>2739</v>
      </c>
      <c r="DD48" s="190">
        <v>51</v>
      </c>
      <c r="DE48" s="190">
        <v>20</v>
      </c>
      <c r="DF48" s="190">
        <v>325</v>
      </c>
      <c r="DG48" s="190">
        <v>2810</v>
      </c>
      <c r="DH48" s="190">
        <v>3135</v>
      </c>
      <c r="DI48" s="190">
        <v>13</v>
      </c>
      <c r="DJ48" s="190">
        <v>0</v>
      </c>
      <c r="DK48" s="190">
        <v>0</v>
      </c>
      <c r="DL48" s="190">
        <v>278</v>
      </c>
      <c r="DM48" s="190">
        <v>7</v>
      </c>
      <c r="DN48" s="190">
        <v>6</v>
      </c>
      <c r="DO48" s="190">
        <v>13</v>
      </c>
      <c r="DP48" s="190">
        <v>291</v>
      </c>
      <c r="DQ48" s="190">
        <v>304</v>
      </c>
      <c r="DR48" s="190">
        <v>1</v>
      </c>
      <c r="DS48" s="190">
        <v>9</v>
      </c>
      <c r="DT48" s="191">
        <v>10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944</v>
      </c>
      <c r="C49" s="190">
        <v>272</v>
      </c>
      <c r="D49" s="190">
        <v>882</v>
      </c>
      <c r="E49" s="190">
        <v>527</v>
      </c>
      <c r="F49" s="190">
        <v>2</v>
      </c>
      <c r="G49" s="190">
        <v>14</v>
      </c>
      <c r="H49" s="190">
        <v>16</v>
      </c>
      <c r="I49" s="190">
        <v>0</v>
      </c>
      <c r="J49" s="190">
        <v>286</v>
      </c>
      <c r="K49" s="190">
        <v>286</v>
      </c>
      <c r="L49" s="190">
        <v>0</v>
      </c>
      <c r="M49" s="190">
        <v>104</v>
      </c>
      <c r="N49" s="190">
        <v>104</v>
      </c>
      <c r="O49" s="190">
        <v>0</v>
      </c>
      <c r="P49" s="190">
        <v>182</v>
      </c>
      <c r="Q49" s="190">
        <v>182</v>
      </c>
      <c r="R49" s="190">
        <v>0</v>
      </c>
      <c r="S49" s="190">
        <v>29</v>
      </c>
      <c r="T49" s="190">
        <v>29</v>
      </c>
      <c r="U49" s="190">
        <v>0</v>
      </c>
      <c r="V49" s="190">
        <v>69</v>
      </c>
      <c r="W49" s="190">
        <v>69</v>
      </c>
      <c r="X49" s="190">
        <v>11</v>
      </c>
      <c r="Y49" s="190">
        <v>518</v>
      </c>
      <c r="Z49" s="190">
        <v>529</v>
      </c>
      <c r="AA49" s="190">
        <v>4</v>
      </c>
      <c r="AB49" s="190">
        <v>218</v>
      </c>
      <c r="AC49" s="190">
        <v>222</v>
      </c>
      <c r="AD49" s="190">
        <v>4</v>
      </c>
      <c r="AE49" s="190">
        <v>216</v>
      </c>
      <c r="AF49" s="190">
        <v>220</v>
      </c>
      <c r="AG49" s="190">
        <v>0</v>
      </c>
      <c r="AH49" s="190">
        <v>1</v>
      </c>
      <c r="AI49" s="190">
        <v>1</v>
      </c>
      <c r="AJ49" s="190">
        <v>0</v>
      </c>
      <c r="AK49" s="190">
        <v>1</v>
      </c>
      <c r="AL49" s="190">
        <v>1</v>
      </c>
      <c r="AM49" s="190">
        <v>7</v>
      </c>
      <c r="AN49" s="190">
        <v>300</v>
      </c>
      <c r="AO49" s="190">
        <v>307</v>
      </c>
      <c r="AP49" s="190">
        <v>1004</v>
      </c>
      <c r="AQ49" s="190">
        <v>12173</v>
      </c>
      <c r="AR49" s="190">
        <v>13177</v>
      </c>
      <c r="AS49" s="190">
        <v>1014</v>
      </c>
      <c r="AT49" s="190">
        <v>12114</v>
      </c>
      <c r="AU49" s="190">
        <v>13128</v>
      </c>
      <c r="AV49" s="190">
        <v>-10</v>
      </c>
      <c r="AW49" s="190">
        <v>59</v>
      </c>
      <c r="AX49" s="190">
        <v>49</v>
      </c>
      <c r="AY49" s="190">
        <v>55</v>
      </c>
      <c r="AZ49" s="190">
        <v>1129</v>
      </c>
      <c r="BA49" s="190">
        <v>1184</v>
      </c>
      <c r="BB49" s="190">
        <v>21</v>
      </c>
      <c r="BC49" s="190">
        <v>0</v>
      </c>
      <c r="BD49" s="190">
        <v>0</v>
      </c>
      <c r="BE49" s="190">
        <v>506</v>
      </c>
      <c r="BF49" s="190">
        <v>0</v>
      </c>
      <c r="BG49" s="190">
        <v>0</v>
      </c>
      <c r="BH49" s="190">
        <v>21</v>
      </c>
      <c r="BI49" s="190">
        <v>506</v>
      </c>
      <c r="BJ49" s="190">
        <v>527</v>
      </c>
      <c r="BK49" s="190">
        <v>-22</v>
      </c>
      <c r="BL49" s="190">
        <v>22</v>
      </c>
      <c r="BM49" s="190">
        <v>0</v>
      </c>
      <c r="BN49" s="190">
        <v>2</v>
      </c>
      <c r="BO49" s="190">
        <v>20</v>
      </c>
      <c r="BP49" s="190">
        <v>22</v>
      </c>
      <c r="BQ49" s="190">
        <v>1</v>
      </c>
      <c r="BR49" s="190">
        <v>2</v>
      </c>
      <c r="BS49" s="190">
        <v>3</v>
      </c>
      <c r="BT49" s="190">
        <v>53</v>
      </c>
      <c r="BU49" s="190">
        <v>579</v>
      </c>
      <c r="BV49" s="190">
        <v>632</v>
      </c>
      <c r="BW49" s="190">
        <v>1059</v>
      </c>
      <c r="BX49" s="190">
        <v>13302</v>
      </c>
      <c r="BY49" s="190">
        <v>14361</v>
      </c>
      <c r="BZ49" s="190">
        <v>1056</v>
      </c>
      <c r="CA49" s="190">
        <v>13244</v>
      </c>
      <c r="CB49" s="190">
        <v>14300</v>
      </c>
      <c r="CC49" s="190">
        <v>25810</v>
      </c>
      <c r="CD49" s="190">
        <v>3</v>
      </c>
      <c r="CE49" s="190">
        <v>55</v>
      </c>
      <c r="CF49" s="190">
        <v>3</v>
      </c>
      <c r="CG49" s="190">
        <v>47</v>
      </c>
      <c r="CH49" s="190">
        <v>50</v>
      </c>
      <c r="CI49" s="190">
        <v>0</v>
      </c>
      <c r="CJ49" s="190">
        <v>14</v>
      </c>
      <c r="CK49" s="190">
        <v>0</v>
      </c>
      <c r="CL49" s="190">
        <v>11</v>
      </c>
      <c r="CM49" s="190">
        <v>11</v>
      </c>
      <c r="CN49" s="190">
        <v>64</v>
      </c>
      <c r="CO49" s="190">
        <v>1262</v>
      </c>
      <c r="CP49" s="190">
        <v>1326</v>
      </c>
      <c r="CQ49" s="190">
        <v>0</v>
      </c>
      <c r="CR49" s="190">
        <v>4</v>
      </c>
      <c r="CS49" s="190">
        <v>4</v>
      </c>
      <c r="CT49" s="190">
        <v>995</v>
      </c>
      <c r="CU49" s="190">
        <v>12040</v>
      </c>
      <c r="CV49" s="190">
        <v>13035</v>
      </c>
      <c r="CW49" s="190">
        <v>82</v>
      </c>
      <c r="CX49" s="190">
        <v>676</v>
      </c>
      <c r="CY49" s="190">
        <v>758</v>
      </c>
      <c r="CZ49" s="190">
        <v>80</v>
      </c>
      <c r="DA49" s="190">
        <v>0</v>
      </c>
      <c r="DB49" s="190">
        <v>0</v>
      </c>
      <c r="DC49" s="190">
        <v>644</v>
      </c>
      <c r="DD49" s="190">
        <v>3</v>
      </c>
      <c r="DE49" s="190">
        <v>1</v>
      </c>
      <c r="DF49" s="190">
        <v>80</v>
      </c>
      <c r="DG49" s="190">
        <v>648</v>
      </c>
      <c r="DH49" s="190">
        <v>728</v>
      </c>
      <c r="DI49" s="190">
        <v>2</v>
      </c>
      <c r="DJ49" s="190">
        <v>0</v>
      </c>
      <c r="DK49" s="190">
        <v>0</v>
      </c>
      <c r="DL49" s="190">
        <v>28</v>
      </c>
      <c r="DM49" s="190">
        <v>0</v>
      </c>
      <c r="DN49" s="190">
        <v>0</v>
      </c>
      <c r="DO49" s="190">
        <v>2</v>
      </c>
      <c r="DP49" s="190">
        <v>28</v>
      </c>
      <c r="DQ49" s="190">
        <v>30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1305</v>
      </c>
      <c r="C50" s="190">
        <v>326</v>
      </c>
      <c r="D50" s="190">
        <v>1225</v>
      </c>
      <c r="E50" s="190">
        <v>731</v>
      </c>
      <c r="F50" s="190">
        <v>1</v>
      </c>
      <c r="G50" s="190">
        <v>44</v>
      </c>
      <c r="H50" s="190">
        <v>45</v>
      </c>
      <c r="I50" s="190">
        <v>0</v>
      </c>
      <c r="J50" s="190">
        <v>463</v>
      </c>
      <c r="K50" s="190">
        <v>463</v>
      </c>
      <c r="L50" s="190">
        <v>0</v>
      </c>
      <c r="M50" s="190">
        <v>171</v>
      </c>
      <c r="N50" s="190">
        <v>171</v>
      </c>
      <c r="O50" s="190">
        <v>0</v>
      </c>
      <c r="P50" s="190">
        <v>292</v>
      </c>
      <c r="Q50" s="190">
        <v>292</v>
      </c>
      <c r="R50" s="190">
        <v>0</v>
      </c>
      <c r="S50" s="190">
        <v>25</v>
      </c>
      <c r="T50" s="190">
        <v>25</v>
      </c>
      <c r="U50" s="190">
        <v>0</v>
      </c>
      <c r="V50" s="190">
        <v>31</v>
      </c>
      <c r="W50" s="190">
        <v>31</v>
      </c>
      <c r="X50" s="190">
        <v>21</v>
      </c>
      <c r="Y50" s="190">
        <v>1204</v>
      </c>
      <c r="Z50" s="190">
        <v>1225</v>
      </c>
      <c r="AA50" s="190">
        <v>14</v>
      </c>
      <c r="AB50" s="190">
        <v>503</v>
      </c>
      <c r="AC50" s="190">
        <v>517</v>
      </c>
      <c r="AD50" s="190">
        <v>14</v>
      </c>
      <c r="AE50" s="190">
        <v>481</v>
      </c>
      <c r="AF50" s="190">
        <v>495</v>
      </c>
      <c r="AG50" s="190">
        <v>0</v>
      </c>
      <c r="AH50" s="190">
        <v>15</v>
      </c>
      <c r="AI50" s="190">
        <v>15</v>
      </c>
      <c r="AJ50" s="190">
        <v>0</v>
      </c>
      <c r="AK50" s="190">
        <v>7</v>
      </c>
      <c r="AL50" s="190">
        <v>7</v>
      </c>
      <c r="AM50" s="190">
        <v>7</v>
      </c>
      <c r="AN50" s="190">
        <v>701</v>
      </c>
      <c r="AO50" s="190">
        <v>708</v>
      </c>
      <c r="AP50" s="190">
        <v>1217</v>
      </c>
      <c r="AQ50" s="190">
        <v>10794</v>
      </c>
      <c r="AR50" s="190">
        <v>12011</v>
      </c>
      <c r="AS50" s="190">
        <v>1217</v>
      </c>
      <c r="AT50" s="190">
        <v>10795</v>
      </c>
      <c r="AU50" s="190">
        <v>12012</v>
      </c>
      <c r="AV50" s="190">
        <v>0</v>
      </c>
      <c r="AW50" s="190">
        <v>-1</v>
      </c>
      <c r="AX50" s="190">
        <v>-1</v>
      </c>
      <c r="AY50" s="190">
        <v>71</v>
      </c>
      <c r="AZ50" s="190">
        <v>1228</v>
      </c>
      <c r="BA50" s="190">
        <v>1299</v>
      </c>
      <c r="BB50" s="190">
        <v>28</v>
      </c>
      <c r="BC50" s="190">
        <v>0</v>
      </c>
      <c r="BD50" s="190">
        <v>0</v>
      </c>
      <c r="BE50" s="190">
        <v>698</v>
      </c>
      <c r="BF50" s="190">
        <v>3</v>
      </c>
      <c r="BG50" s="190">
        <v>2</v>
      </c>
      <c r="BH50" s="190">
        <v>28</v>
      </c>
      <c r="BI50" s="190">
        <v>703</v>
      </c>
      <c r="BJ50" s="190">
        <v>731</v>
      </c>
      <c r="BK50" s="190">
        <v>-3</v>
      </c>
      <c r="BL50" s="190">
        <v>3</v>
      </c>
      <c r="BM50" s="190">
        <v>0</v>
      </c>
      <c r="BN50" s="190">
        <v>5</v>
      </c>
      <c r="BO50" s="190">
        <v>26</v>
      </c>
      <c r="BP50" s="190">
        <v>31</v>
      </c>
      <c r="BQ50" s="190">
        <v>6</v>
      </c>
      <c r="BR50" s="190">
        <v>133</v>
      </c>
      <c r="BS50" s="190">
        <v>139</v>
      </c>
      <c r="BT50" s="190">
        <v>35</v>
      </c>
      <c r="BU50" s="190">
        <v>363</v>
      </c>
      <c r="BV50" s="190">
        <v>398</v>
      </c>
      <c r="BW50" s="190">
        <v>1288</v>
      </c>
      <c r="BX50" s="190">
        <v>12022</v>
      </c>
      <c r="BY50" s="190">
        <v>13310</v>
      </c>
      <c r="BZ50" s="190">
        <v>1286</v>
      </c>
      <c r="CA50" s="190">
        <v>11976</v>
      </c>
      <c r="CB50" s="190">
        <v>13262</v>
      </c>
      <c r="CC50" s="190">
        <v>24715</v>
      </c>
      <c r="CD50" s="190">
        <v>5</v>
      </c>
      <c r="CE50" s="190">
        <v>28</v>
      </c>
      <c r="CF50" s="190">
        <v>2</v>
      </c>
      <c r="CG50" s="190">
        <v>28</v>
      </c>
      <c r="CH50" s="190">
        <v>30</v>
      </c>
      <c r="CI50" s="190">
        <v>19</v>
      </c>
      <c r="CJ50" s="190">
        <v>0</v>
      </c>
      <c r="CK50" s="190">
        <v>0</v>
      </c>
      <c r="CL50" s="190">
        <v>18</v>
      </c>
      <c r="CM50" s="190">
        <v>18</v>
      </c>
      <c r="CN50" s="190">
        <v>58</v>
      </c>
      <c r="CO50" s="190">
        <v>1244</v>
      </c>
      <c r="CP50" s="190">
        <v>1302</v>
      </c>
      <c r="CQ50" s="190">
        <v>0</v>
      </c>
      <c r="CR50" s="190">
        <v>0</v>
      </c>
      <c r="CS50" s="190">
        <v>0</v>
      </c>
      <c r="CT50" s="190">
        <v>1230</v>
      </c>
      <c r="CU50" s="190">
        <v>10778</v>
      </c>
      <c r="CV50" s="190">
        <v>12008</v>
      </c>
      <c r="CW50" s="190">
        <v>97</v>
      </c>
      <c r="CX50" s="190">
        <v>543</v>
      </c>
      <c r="CY50" s="190">
        <v>640</v>
      </c>
      <c r="CZ50" s="190">
        <v>97</v>
      </c>
      <c r="DA50" s="190">
        <v>0</v>
      </c>
      <c r="DB50" s="190">
        <v>0</v>
      </c>
      <c r="DC50" s="190">
        <v>519</v>
      </c>
      <c r="DD50" s="190">
        <v>4</v>
      </c>
      <c r="DE50" s="190">
        <v>2</v>
      </c>
      <c r="DF50" s="190">
        <v>97</v>
      </c>
      <c r="DG50" s="190">
        <v>525</v>
      </c>
      <c r="DH50" s="190">
        <v>622</v>
      </c>
      <c r="DI50" s="190">
        <v>0</v>
      </c>
      <c r="DJ50" s="190">
        <v>0</v>
      </c>
      <c r="DK50" s="190">
        <v>0</v>
      </c>
      <c r="DL50" s="190">
        <v>18</v>
      </c>
      <c r="DM50" s="190">
        <v>0</v>
      </c>
      <c r="DN50" s="190">
        <v>0</v>
      </c>
      <c r="DO50" s="190">
        <v>0</v>
      </c>
      <c r="DP50" s="190">
        <v>18</v>
      </c>
      <c r="DQ50" s="190">
        <v>18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12</v>
      </c>
      <c r="C51" s="190">
        <v>0</v>
      </c>
      <c r="D51" s="190">
        <v>13</v>
      </c>
      <c r="E51" s="190">
        <v>12</v>
      </c>
      <c r="F51" s="190">
        <v>0</v>
      </c>
      <c r="G51" s="190">
        <v>0</v>
      </c>
      <c r="H51" s="190">
        <v>0</v>
      </c>
      <c r="I51" s="190">
        <v>0</v>
      </c>
      <c r="J51" s="190">
        <v>1</v>
      </c>
      <c r="K51" s="190">
        <v>1</v>
      </c>
      <c r="L51" s="190">
        <v>0</v>
      </c>
      <c r="M51" s="190">
        <v>1</v>
      </c>
      <c r="N51" s="190">
        <v>1</v>
      </c>
      <c r="O51" s="190">
        <v>0</v>
      </c>
      <c r="P51" s="190">
        <v>0</v>
      </c>
      <c r="Q51" s="190">
        <v>0</v>
      </c>
      <c r="R51" s="190">
        <v>0</v>
      </c>
      <c r="S51" s="190">
        <v>0</v>
      </c>
      <c r="T51" s="190">
        <v>0</v>
      </c>
      <c r="U51" s="190">
        <v>0</v>
      </c>
      <c r="V51" s="190">
        <v>0</v>
      </c>
      <c r="W51" s="190">
        <v>0</v>
      </c>
      <c r="X51" s="190">
        <v>1</v>
      </c>
      <c r="Y51" s="190">
        <v>11</v>
      </c>
      <c r="Z51" s="190">
        <v>12</v>
      </c>
      <c r="AA51" s="190">
        <v>0</v>
      </c>
      <c r="AB51" s="190">
        <v>2</v>
      </c>
      <c r="AC51" s="190">
        <v>2</v>
      </c>
      <c r="AD51" s="190">
        <v>0</v>
      </c>
      <c r="AE51" s="190">
        <v>2</v>
      </c>
      <c r="AF51" s="190">
        <v>2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1</v>
      </c>
      <c r="AN51" s="190">
        <v>9</v>
      </c>
      <c r="AO51" s="190">
        <v>10</v>
      </c>
      <c r="AP51" s="190">
        <v>9</v>
      </c>
      <c r="AQ51" s="190">
        <v>139</v>
      </c>
      <c r="AR51" s="190">
        <v>148</v>
      </c>
      <c r="AS51" s="190">
        <v>9</v>
      </c>
      <c r="AT51" s="190">
        <v>139</v>
      </c>
      <c r="AU51" s="190">
        <v>148</v>
      </c>
      <c r="AV51" s="190">
        <v>0</v>
      </c>
      <c r="AW51" s="190">
        <v>0</v>
      </c>
      <c r="AX51" s="190">
        <v>0</v>
      </c>
      <c r="AY51" s="190">
        <v>0</v>
      </c>
      <c r="AZ51" s="190">
        <v>15</v>
      </c>
      <c r="BA51" s="190">
        <v>15</v>
      </c>
      <c r="BB51" s="190">
        <v>1</v>
      </c>
      <c r="BC51" s="190">
        <v>0</v>
      </c>
      <c r="BD51" s="190">
        <v>0</v>
      </c>
      <c r="BE51" s="190">
        <v>11</v>
      </c>
      <c r="BF51" s="190">
        <v>0</v>
      </c>
      <c r="BG51" s="190">
        <v>0</v>
      </c>
      <c r="BH51" s="190">
        <v>1</v>
      </c>
      <c r="BI51" s="190">
        <v>11</v>
      </c>
      <c r="BJ51" s="190">
        <v>12</v>
      </c>
      <c r="BK51" s="190">
        <v>-1</v>
      </c>
      <c r="BL51" s="190">
        <v>1</v>
      </c>
      <c r="BM51" s="190">
        <v>0</v>
      </c>
      <c r="BN51" s="190">
        <v>0</v>
      </c>
      <c r="BO51" s="190">
        <v>0</v>
      </c>
      <c r="BP51" s="190">
        <v>0</v>
      </c>
      <c r="BQ51" s="190">
        <v>0</v>
      </c>
      <c r="BR51" s="190">
        <v>1</v>
      </c>
      <c r="BS51" s="190">
        <v>1</v>
      </c>
      <c r="BT51" s="190">
        <v>0</v>
      </c>
      <c r="BU51" s="190">
        <v>2</v>
      </c>
      <c r="BV51" s="190">
        <v>2</v>
      </c>
      <c r="BW51" s="190">
        <v>9</v>
      </c>
      <c r="BX51" s="190">
        <v>154</v>
      </c>
      <c r="BY51" s="190">
        <v>163</v>
      </c>
      <c r="BZ51" s="190">
        <v>8</v>
      </c>
      <c r="CA51" s="190">
        <v>154</v>
      </c>
      <c r="CB51" s="190">
        <v>162</v>
      </c>
      <c r="CC51" s="190">
        <v>276</v>
      </c>
      <c r="CD51" s="190">
        <v>0</v>
      </c>
      <c r="CE51" s="190">
        <v>1</v>
      </c>
      <c r="CF51" s="190">
        <v>1</v>
      </c>
      <c r="CG51" s="190">
        <v>0</v>
      </c>
      <c r="CH51" s="190">
        <v>1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0</v>
      </c>
      <c r="CO51" s="190">
        <v>11</v>
      </c>
      <c r="CP51" s="190">
        <v>11</v>
      </c>
      <c r="CQ51" s="190">
        <v>0</v>
      </c>
      <c r="CR51" s="190">
        <v>0</v>
      </c>
      <c r="CS51" s="190">
        <v>0</v>
      </c>
      <c r="CT51" s="190">
        <v>9</v>
      </c>
      <c r="CU51" s="190">
        <v>143</v>
      </c>
      <c r="CV51" s="190">
        <v>152</v>
      </c>
      <c r="CW51" s="190">
        <v>2</v>
      </c>
      <c r="CX51" s="190">
        <v>18</v>
      </c>
      <c r="CY51" s="190">
        <v>20</v>
      </c>
      <c r="CZ51" s="190">
        <v>2</v>
      </c>
      <c r="DA51" s="190">
        <v>0</v>
      </c>
      <c r="DB51" s="190">
        <v>0</v>
      </c>
      <c r="DC51" s="190">
        <v>17</v>
      </c>
      <c r="DD51" s="190">
        <v>0</v>
      </c>
      <c r="DE51" s="190">
        <v>0</v>
      </c>
      <c r="DF51" s="190">
        <v>2</v>
      </c>
      <c r="DG51" s="190">
        <v>17</v>
      </c>
      <c r="DH51" s="190">
        <v>19</v>
      </c>
      <c r="DI51" s="190">
        <v>0</v>
      </c>
      <c r="DJ51" s="190">
        <v>0</v>
      </c>
      <c r="DK51" s="190">
        <v>0</v>
      </c>
      <c r="DL51" s="190">
        <v>1</v>
      </c>
      <c r="DM51" s="190">
        <v>0</v>
      </c>
      <c r="DN51" s="190">
        <v>0</v>
      </c>
      <c r="DO51" s="190">
        <v>0</v>
      </c>
      <c r="DP51" s="190">
        <v>1</v>
      </c>
      <c r="DQ51" s="190">
        <v>1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256</v>
      </c>
      <c r="C52" s="190">
        <v>58</v>
      </c>
      <c r="D52" s="190">
        <v>250</v>
      </c>
      <c r="E52" s="190">
        <v>139</v>
      </c>
      <c r="F52" s="190">
        <v>1</v>
      </c>
      <c r="G52" s="190">
        <v>11</v>
      </c>
      <c r="H52" s="190">
        <v>12</v>
      </c>
      <c r="I52" s="190">
        <v>0</v>
      </c>
      <c r="J52" s="190">
        <v>100</v>
      </c>
      <c r="K52" s="190">
        <v>100</v>
      </c>
      <c r="L52" s="190">
        <v>0</v>
      </c>
      <c r="M52" s="190">
        <v>36</v>
      </c>
      <c r="N52" s="190">
        <v>36</v>
      </c>
      <c r="O52" s="190">
        <v>0</v>
      </c>
      <c r="P52" s="190">
        <v>64</v>
      </c>
      <c r="Q52" s="190">
        <v>64</v>
      </c>
      <c r="R52" s="190">
        <v>0</v>
      </c>
      <c r="S52" s="190">
        <v>2</v>
      </c>
      <c r="T52" s="190">
        <v>2</v>
      </c>
      <c r="U52" s="190">
        <v>0</v>
      </c>
      <c r="V52" s="190">
        <v>11</v>
      </c>
      <c r="W52" s="190">
        <v>11</v>
      </c>
      <c r="X52" s="190">
        <v>9</v>
      </c>
      <c r="Y52" s="190">
        <v>241</v>
      </c>
      <c r="Z52" s="190">
        <v>250</v>
      </c>
      <c r="AA52" s="190">
        <v>5</v>
      </c>
      <c r="AB52" s="190">
        <v>92</v>
      </c>
      <c r="AC52" s="190">
        <v>97</v>
      </c>
      <c r="AD52" s="190">
        <v>4</v>
      </c>
      <c r="AE52" s="190">
        <v>81</v>
      </c>
      <c r="AF52" s="190">
        <v>85</v>
      </c>
      <c r="AG52" s="190">
        <v>1</v>
      </c>
      <c r="AH52" s="190">
        <v>1</v>
      </c>
      <c r="AI52" s="190">
        <v>2</v>
      </c>
      <c r="AJ52" s="190">
        <v>0</v>
      </c>
      <c r="AK52" s="190">
        <v>10</v>
      </c>
      <c r="AL52" s="190">
        <v>10</v>
      </c>
      <c r="AM52" s="190">
        <v>4</v>
      </c>
      <c r="AN52" s="190">
        <v>149</v>
      </c>
      <c r="AO52" s="190">
        <v>153</v>
      </c>
      <c r="AP52" s="190">
        <v>339</v>
      </c>
      <c r="AQ52" s="190">
        <v>2546</v>
      </c>
      <c r="AR52" s="190">
        <v>2885</v>
      </c>
      <c r="AS52" s="190">
        <v>339</v>
      </c>
      <c r="AT52" s="190">
        <v>2546</v>
      </c>
      <c r="AU52" s="190">
        <v>2885</v>
      </c>
      <c r="AV52" s="190">
        <v>0</v>
      </c>
      <c r="AW52" s="190">
        <v>0</v>
      </c>
      <c r="AX52" s="190">
        <v>0</v>
      </c>
      <c r="AY52" s="190">
        <v>24</v>
      </c>
      <c r="AZ52" s="190">
        <v>298</v>
      </c>
      <c r="BA52" s="190">
        <v>322</v>
      </c>
      <c r="BB52" s="190">
        <v>10</v>
      </c>
      <c r="BC52" s="190">
        <v>0</v>
      </c>
      <c r="BD52" s="190">
        <v>0</v>
      </c>
      <c r="BE52" s="190">
        <v>129</v>
      </c>
      <c r="BF52" s="190">
        <v>0</v>
      </c>
      <c r="BG52" s="190">
        <v>0</v>
      </c>
      <c r="BH52" s="190">
        <v>10</v>
      </c>
      <c r="BI52" s="190">
        <v>129</v>
      </c>
      <c r="BJ52" s="190">
        <v>139</v>
      </c>
      <c r="BK52" s="190">
        <v>-13</v>
      </c>
      <c r="BL52" s="190">
        <v>13</v>
      </c>
      <c r="BM52" s="190">
        <v>0</v>
      </c>
      <c r="BN52" s="190">
        <v>2</v>
      </c>
      <c r="BO52" s="190">
        <v>3</v>
      </c>
      <c r="BP52" s="190">
        <v>5</v>
      </c>
      <c r="BQ52" s="190">
        <v>0</v>
      </c>
      <c r="BR52" s="190">
        <v>21</v>
      </c>
      <c r="BS52" s="190">
        <v>21</v>
      </c>
      <c r="BT52" s="190">
        <v>25</v>
      </c>
      <c r="BU52" s="190">
        <v>132</v>
      </c>
      <c r="BV52" s="190">
        <v>157</v>
      </c>
      <c r="BW52" s="190">
        <v>363</v>
      </c>
      <c r="BX52" s="190">
        <v>2844</v>
      </c>
      <c r="BY52" s="190">
        <v>3207</v>
      </c>
      <c r="BZ52" s="190">
        <v>361</v>
      </c>
      <c r="CA52" s="190">
        <v>2837</v>
      </c>
      <c r="CB52" s="190">
        <v>3198</v>
      </c>
      <c r="CC52" s="190">
        <v>6723</v>
      </c>
      <c r="CD52" s="190">
        <v>0</v>
      </c>
      <c r="CE52" s="190">
        <v>10</v>
      </c>
      <c r="CF52" s="190">
        <v>2</v>
      </c>
      <c r="CG52" s="190">
        <v>6</v>
      </c>
      <c r="CH52" s="190">
        <v>8</v>
      </c>
      <c r="CI52" s="190">
        <v>2</v>
      </c>
      <c r="CJ52" s="190">
        <v>0</v>
      </c>
      <c r="CK52" s="190">
        <v>0</v>
      </c>
      <c r="CL52" s="190">
        <v>1</v>
      </c>
      <c r="CM52" s="190">
        <v>1</v>
      </c>
      <c r="CN52" s="190">
        <v>19</v>
      </c>
      <c r="CO52" s="190">
        <v>272</v>
      </c>
      <c r="CP52" s="190">
        <v>291</v>
      </c>
      <c r="CQ52" s="190">
        <v>0</v>
      </c>
      <c r="CR52" s="190">
        <v>0</v>
      </c>
      <c r="CS52" s="190">
        <v>0</v>
      </c>
      <c r="CT52" s="190">
        <v>344</v>
      </c>
      <c r="CU52" s="190">
        <v>2572</v>
      </c>
      <c r="CV52" s="190">
        <v>2916</v>
      </c>
      <c r="CW52" s="190">
        <v>35</v>
      </c>
      <c r="CX52" s="190">
        <v>177</v>
      </c>
      <c r="CY52" s="190">
        <v>212</v>
      </c>
      <c r="CZ52" s="190">
        <v>35</v>
      </c>
      <c r="DA52" s="190">
        <v>0</v>
      </c>
      <c r="DB52" s="190">
        <v>0</v>
      </c>
      <c r="DC52" s="190">
        <v>171</v>
      </c>
      <c r="DD52" s="190">
        <v>1</v>
      </c>
      <c r="DE52" s="190">
        <v>0</v>
      </c>
      <c r="DF52" s="190">
        <v>35</v>
      </c>
      <c r="DG52" s="190">
        <v>172</v>
      </c>
      <c r="DH52" s="190">
        <v>207</v>
      </c>
      <c r="DI52" s="190">
        <v>0</v>
      </c>
      <c r="DJ52" s="190">
        <v>0</v>
      </c>
      <c r="DK52" s="190">
        <v>0</v>
      </c>
      <c r="DL52" s="190">
        <v>5</v>
      </c>
      <c r="DM52" s="190">
        <v>0</v>
      </c>
      <c r="DN52" s="190">
        <v>0</v>
      </c>
      <c r="DO52" s="190">
        <v>0</v>
      </c>
      <c r="DP52" s="190">
        <v>5</v>
      </c>
      <c r="DQ52" s="190">
        <v>5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1712</v>
      </c>
      <c r="C53" s="190">
        <v>449</v>
      </c>
      <c r="D53" s="190">
        <v>1452</v>
      </c>
      <c r="E53" s="190">
        <v>880</v>
      </c>
      <c r="F53" s="190">
        <v>2</v>
      </c>
      <c r="G53" s="190">
        <v>34</v>
      </c>
      <c r="H53" s="190">
        <v>36</v>
      </c>
      <c r="I53" s="190">
        <v>0</v>
      </c>
      <c r="J53" s="190">
        <v>433</v>
      </c>
      <c r="K53" s="190">
        <v>433</v>
      </c>
      <c r="L53" s="190">
        <v>0</v>
      </c>
      <c r="M53" s="190">
        <v>131</v>
      </c>
      <c r="N53" s="190">
        <v>131</v>
      </c>
      <c r="O53" s="190">
        <v>0</v>
      </c>
      <c r="P53" s="190">
        <v>302</v>
      </c>
      <c r="Q53" s="190">
        <v>302</v>
      </c>
      <c r="R53" s="190">
        <v>0</v>
      </c>
      <c r="S53" s="190">
        <v>61</v>
      </c>
      <c r="T53" s="190">
        <v>61</v>
      </c>
      <c r="U53" s="190">
        <v>0</v>
      </c>
      <c r="V53" s="190">
        <v>139</v>
      </c>
      <c r="W53" s="190">
        <v>139</v>
      </c>
      <c r="X53" s="190">
        <v>28</v>
      </c>
      <c r="Y53" s="190">
        <v>802</v>
      </c>
      <c r="Z53" s="190">
        <v>830</v>
      </c>
      <c r="AA53" s="190">
        <v>18</v>
      </c>
      <c r="AB53" s="190">
        <v>430</v>
      </c>
      <c r="AC53" s="190">
        <v>448</v>
      </c>
      <c r="AD53" s="190">
        <v>17</v>
      </c>
      <c r="AE53" s="190">
        <v>421</v>
      </c>
      <c r="AF53" s="190">
        <v>438</v>
      </c>
      <c r="AG53" s="190">
        <v>1</v>
      </c>
      <c r="AH53" s="190">
        <v>7</v>
      </c>
      <c r="AI53" s="190">
        <v>8</v>
      </c>
      <c r="AJ53" s="190">
        <v>0</v>
      </c>
      <c r="AK53" s="190">
        <v>2</v>
      </c>
      <c r="AL53" s="190">
        <v>2</v>
      </c>
      <c r="AM53" s="190">
        <v>10</v>
      </c>
      <c r="AN53" s="190">
        <v>372</v>
      </c>
      <c r="AO53" s="190">
        <v>382</v>
      </c>
      <c r="AP53" s="190">
        <v>2390</v>
      </c>
      <c r="AQ53" s="190">
        <v>17973</v>
      </c>
      <c r="AR53" s="190">
        <v>20363</v>
      </c>
      <c r="AS53" s="190">
        <v>2406</v>
      </c>
      <c r="AT53" s="190">
        <v>17767</v>
      </c>
      <c r="AU53" s="190">
        <v>20173</v>
      </c>
      <c r="AV53" s="190">
        <v>-16</v>
      </c>
      <c r="AW53" s="190">
        <v>206</v>
      </c>
      <c r="AX53" s="190">
        <v>190</v>
      </c>
      <c r="AY53" s="190">
        <v>151</v>
      </c>
      <c r="AZ53" s="190">
        <v>1883</v>
      </c>
      <c r="BA53" s="190">
        <v>2034</v>
      </c>
      <c r="BB53" s="190">
        <v>57</v>
      </c>
      <c r="BC53" s="190">
        <v>0</v>
      </c>
      <c r="BD53" s="190">
        <v>0</v>
      </c>
      <c r="BE53" s="190">
        <v>807</v>
      </c>
      <c r="BF53" s="190">
        <v>11</v>
      </c>
      <c r="BG53" s="190">
        <v>5</v>
      </c>
      <c r="BH53" s="190">
        <v>57</v>
      </c>
      <c r="BI53" s="190">
        <v>823</v>
      </c>
      <c r="BJ53" s="190">
        <v>880</v>
      </c>
      <c r="BK53" s="190">
        <v>-44</v>
      </c>
      <c r="BL53" s="190">
        <v>44</v>
      </c>
      <c r="BM53" s="190">
        <v>0</v>
      </c>
      <c r="BN53" s="190">
        <v>14</v>
      </c>
      <c r="BO53" s="190">
        <v>57</v>
      </c>
      <c r="BP53" s="190">
        <v>71</v>
      </c>
      <c r="BQ53" s="190">
        <v>3</v>
      </c>
      <c r="BR53" s="190">
        <v>116</v>
      </c>
      <c r="BS53" s="190">
        <v>119</v>
      </c>
      <c r="BT53" s="190">
        <v>121</v>
      </c>
      <c r="BU53" s="190">
        <v>843</v>
      </c>
      <c r="BV53" s="190">
        <v>964</v>
      </c>
      <c r="BW53" s="190">
        <v>2541</v>
      </c>
      <c r="BX53" s="190">
        <v>19856</v>
      </c>
      <c r="BY53" s="190">
        <v>22397</v>
      </c>
      <c r="BZ53" s="190">
        <v>2519</v>
      </c>
      <c r="CA53" s="190">
        <v>19618</v>
      </c>
      <c r="CB53" s="190">
        <v>22137</v>
      </c>
      <c r="CC53" s="190">
        <v>41752</v>
      </c>
      <c r="CD53" s="190">
        <v>223</v>
      </c>
      <c r="CE53" s="190">
        <v>198</v>
      </c>
      <c r="CF53" s="190">
        <v>22</v>
      </c>
      <c r="CG53" s="190">
        <v>173</v>
      </c>
      <c r="CH53" s="190">
        <v>195</v>
      </c>
      <c r="CI53" s="190">
        <v>91</v>
      </c>
      <c r="CJ53" s="190">
        <v>67</v>
      </c>
      <c r="CK53" s="190">
        <v>0</v>
      </c>
      <c r="CL53" s="190">
        <v>65</v>
      </c>
      <c r="CM53" s="190">
        <v>65</v>
      </c>
      <c r="CN53" s="190">
        <v>128</v>
      </c>
      <c r="CO53" s="190">
        <v>1995</v>
      </c>
      <c r="CP53" s="190">
        <v>2123</v>
      </c>
      <c r="CQ53" s="190">
        <v>0</v>
      </c>
      <c r="CR53" s="190">
        <v>5</v>
      </c>
      <c r="CS53" s="190">
        <v>5</v>
      </c>
      <c r="CT53" s="190">
        <v>2413</v>
      </c>
      <c r="CU53" s="190">
        <v>17861</v>
      </c>
      <c r="CV53" s="190">
        <v>20274</v>
      </c>
      <c r="CW53" s="190">
        <v>203</v>
      </c>
      <c r="CX53" s="190">
        <v>1138</v>
      </c>
      <c r="CY53" s="190">
        <v>1341</v>
      </c>
      <c r="CZ53" s="190">
        <v>198</v>
      </c>
      <c r="DA53" s="190">
        <v>3</v>
      </c>
      <c r="DB53" s="190">
        <v>0</v>
      </c>
      <c r="DC53" s="190">
        <v>1086</v>
      </c>
      <c r="DD53" s="190">
        <v>12</v>
      </c>
      <c r="DE53" s="190">
        <v>4</v>
      </c>
      <c r="DF53" s="190">
        <v>201</v>
      </c>
      <c r="DG53" s="190">
        <v>1102</v>
      </c>
      <c r="DH53" s="190">
        <v>1303</v>
      </c>
      <c r="DI53" s="190">
        <v>2</v>
      </c>
      <c r="DJ53" s="190">
        <v>0</v>
      </c>
      <c r="DK53" s="190">
        <v>0</v>
      </c>
      <c r="DL53" s="190">
        <v>34</v>
      </c>
      <c r="DM53" s="190">
        <v>2</v>
      </c>
      <c r="DN53" s="190">
        <v>0</v>
      </c>
      <c r="DO53" s="190">
        <v>2</v>
      </c>
      <c r="DP53" s="190">
        <v>36</v>
      </c>
      <c r="DQ53" s="190">
        <v>38</v>
      </c>
      <c r="DR53" s="190">
        <v>0</v>
      </c>
      <c r="DS53" s="190">
        <v>1</v>
      </c>
      <c r="DT53" s="191">
        <v>1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1583</v>
      </c>
      <c r="C54" s="190">
        <v>424</v>
      </c>
      <c r="D54" s="190">
        <v>1469</v>
      </c>
      <c r="E54" s="190">
        <v>805</v>
      </c>
      <c r="F54" s="190">
        <v>0</v>
      </c>
      <c r="G54" s="190">
        <v>46</v>
      </c>
      <c r="H54" s="190">
        <v>46</v>
      </c>
      <c r="I54" s="190">
        <v>3</v>
      </c>
      <c r="J54" s="190">
        <v>605</v>
      </c>
      <c r="K54" s="190">
        <v>608</v>
      </c>
      <c r="L54" s="190">
        <v>3</v>
      </c>
      <c r="M54" s="190">
        <v>599</v>
      </c>
      <c r="N54" s="190">
        <v>602</v>
      </c>
      <c r="O54" s="190">
        <v>0</v>
      </c>
      <c r="P54" s="190">
        <v>6</v>
      </c>
      <c r="Q54" s="190">
        <v>6</v>
      </c>
      <c r="R54" s="190">
        <v>0</v>
      </c>
      <c r="S54" s="190">
        <v>64</v>
      </c>
      <c r="T54" s="190">
        <v>64</v>
      </c>
      <c r="U54" s="190">
        <v>0</v>
      </c>
      <c r="V54" s="190">
        <v>56</v>
      </c>
      <c r="W54" s="190">
        <v>56</v>
      </c>
      <c r="X54" s="190">
        <v>4</v>
      </c>
      <c r="Y54" s="190">
        <v>1282</v>
      </c>
      <c r="Z54" s="190">
        <v>1286</v>
      </c>
      <c r="AA54" s="190">
        <v>3</v>
      </c>
      <c r="AB54" s="190">
        <v>325</v>
      </c>
      <c r="AC54" s="190">
        <v>328</v>
      </c>
      <c r="AD54" s="190">
        <v>3</v>
      </c>
      <c r="AE54" s="190">
        <v>165</v>
      </c>
      <c r="AF54" s="190">
        <v>168</v>
      </c>
      <c r="AG54" s="190">
        <v>0</v>
      </c>
      <c r="AH54" s="190">
        <v>96</v>
      </c>
      <c r="AI54" s="190">
        <v>96</v>
      </c>
      <c r="AJ54" s="190">
        <v>0</v>
      </c>
      <c r="AK54" s="190">
        <v>64</v>
      </c>
      <c r="AL54" s="190">
        <v>64</v>
      </c>
      <c r="AM54" s="190">
        <v>1</v>
      </c>
      <c r="AN54" s="190">
        <v>957</v>
      </c>
      <c r="AO54" s="190">
        <v>958</v>
      </c>
      <c r="AP54" s="190">
        <v>1423</v>
      </c>
      <c r="AQ54" s="190">
        <v>15971</v>
      </c>
      <c r="AR54" s="190">
        <v>17394</v>
      </c>
      <c r="AS54" s="190">
        <v>1420</v>
      </c>
      <c r="AT54" s="190">
        <v>15908</v>
      </c>
      <c r="AU54" s="190">
        <v>17328</v>
      </c>
      <c r="AV54" s="190">
        <v>3</v>
      </c>
      <c r="AW54" s="190">
        <v>63</v>
      </c>
      <c r="AX54" s="190">
        <v>66</v>
      </c>
      <c r="AY54" s="190">
        <v>40</v>
      </c>
      <c r="AZ54" s="190">
        <v>1433</v>
      </c>
      <c r="BA54" s="190">
        <v>1473</v>
      </c>
      <c r="BB54" s="190">
        <v>40</v>
      </c>
      <c r="BC54" s="190">
        <v>1</v>
      </c>
      <c r="BD54" s="190">
        <v>0</v>
      </c>
      <c r="BE54" s="190">
        <v>744</v>
      </c>
      <c r="BF54" s="190">
        <v>16</v>
      </c>
      <c r="BG54" s="190">
        <v>4</v>
      </c>
      <c r="BH54" s="190">
        <v>41</v>
      </c>
      <c r="BI54" s="190">
        <v>764</v>
      </c>
      <c r="BJ54" s="190">
        <v>805</v>
      </c>
      <c r="BK54" s="190">
        <v>-39</v>
      </c>
      <c r="BL54" s="190">
        <v>39</v>
      </c>
      <c r="BM54" s="190">
        <v>0</v>
      </c>
      <c r="BN54" s="190">
        <v>6</v>
      </c>
      <c r="BO54" s="190">
        <v>14</v>
      </c>
      <c r="BP54" s="190">
        <v>20</v>
      </c>
      <c r="BQ54" s="190">
        <v>12</v>
      </c>
      <c r="BR54" s="190">
        <v>191</v>
      </c>
      <c r="BS54" s="190">
        <v>203</v>
      </c>
      <c r="BT54" s="190">
        <v>20</v>
      </c>
      <c r="BU54" s="190">
        <v>425</v>
      </c>
      <c r="BV54" s="190">
        <v>445</v>
      </c>
      <c r="BW54" s="190">
        <v>1463</v>
      </c>
      <c r="BX54" s="190">
        <v>17404</v>
      </c>
      <c r="BY54" s="190">
        <v>18867</v>
      </c>
      <c r="BZ54" s="190">
        <v>1421</v>
      </c>
      <c r="CA54" s="190">
        <v>17119</v>
      </c>
      <c r="CB54" s="190">
        <v>18540</v>
      </c>
      <c r="CC54" s="190">
        <v>33615</v>
      </c>
      <c r="CD54" s="190">
        <v>23</v>
      </c>
      <c r="CE54" s="190">
        <v>306</v>
      </c>
      <c r="CF54" s="190">
        <v>40</v>
      </c>
      <c r="CG54" s="190">
        <v>225</v>
      </c>
      <c r="CH54" s="190">
        <v>265</v>
      </c>
      <c r="CI54" s="190">
        <v>74</v>
      </c>
      <c r="CJ54" s="190">
        <v>4</v>
      </c>
      <c r="CK54" s="190">
        <v>2</v>
      </c>
      <c r="CL54" s="190">
        <v>60</v>
      </c>
      <c r="CM54" s="190">
        <v>62</v>
      </c>
      <c r="CN54" s="190">
        <v>101</v>
      </c>
      <c r="CO54" s="190">
        <v>1701</v>
      </c>
      <c r="CP54" s="190">
        <v>1802</v>
      </c>
      <c r="CQ54" s="190">
        <v>0</v>
      </c>
      <c r="CR54" s="190">
        <v>0</v>
      </c>
      <c r="CS54" s="190">
        <v>0</v>
      </c>
      <c r="CT54" s="190">
        <v>1362</v>
      </c>
      <c r="CU54" s="190">
        <v>15703</v>
      </c>
      <c r="CV54" s="190">
        <v>17065</v>
      </c>
      <c r="CW54" s="190">
        <v>94</v>
      </c>
      <c r="CX54" s="190">
        <v>882</v>
      </c>
      <c r="CY54" s="190">
        <v>976</v>
      </c>
      <c r="CZ54" s="190">
        <v>87</v>
      </c>
      <c r="DA54" s="190">
        <v>3</v>
      </c>
      <c r="DB54" s="190">
        <v>0</v>
      </c>
      <c r="DC54" s="190">
        <v>741</v>
      </c>
      <c r="DD54" s="190">
        <v>11</v>
      </c>
      <c r="DE54" s="190">
        <v>2</v>
      </c>
      <c r="DF54" s="190">
        <v>90</v>
      </c>
      <c r="DG54" s="190">
        <v>754</v>
      </c>
      <c r="DH54" s="190">
        <v>844</v>
      </c>
      <c r="DI54" s="190">
        <v>4</v>
      </c>
      <c r="DJ54" s="190">
        <v>0</v>
      </c>
      <c r="DK54" s="190">
        <v>0</v>
      </c>
      <c r="DL54" s="190">
        <v>126</v>
      </c>
      <c r="DM54" s="190">
        <v>2</v>
      </c>
      <c r="DN54" s="190">
        <v>0</v>
      </c>
      <c r="DO54" s="190">
        <v>4</v>
      </c>
      <c r="DP54" s="190">
        <v>128</v>
      </c>
      <c r="DQ54" s="190">
        <v>132</v>
      </c>
      <c r="DR54" s="190">
        <v>0</v>
      </c>
      <c r="DS54" s="190">
        <v>0</v>
      </c>
      <c r="DT54" s="191">
        <v>0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3533</v>
      </c>
      <c r="C55" s="190">
        <v>908</v>
      </c>
      <c r="D55" s="190">
        <v>3409</v>
      </c>
      <c r="E55" s="190">
        <v>2213</v>
      </c>
      <c r="F55" s="190">
        <v>3</v>
      </c>
      <c r="G55" s="190">
        <v>45</v>
      </c>
      <c r="H55" s="190">
        <v>48</v>
      </c>
      <c r="I55" s="190">
        <v>0</v>
      </c>
      <c r="J55" s="190">
        <v>1024</v>
      </c>
      <c r="K55" s="190">
        <v>1024</v>
      </c>
      <c r="L55" s="190">
        <v>0</v>
      </c>
      <c r="M55" s="190">
        <v>617</v>
      </c>
      <c r="N55" s="190">
        <v>617</v>
      </c>
      <c r="O55" s="190">
        <v>0</v>
      </c>
      <c r="P55" s="190">
        <v>407</v>
      </c>
      <c r="Q55" s="190">
        <v>407</v>
      </c>
      <c r="R55" s="190">
        <v>0</v>
      </c>
      <c r="S55" s="190">
        <v>10</v>
      </c>
      <c r="T55" s="190">
        <v>10</v>
      </c>
      <c r="U55" s="190">
        <v>0</v>
      </c>
      <c r="V55" s="190">
        <v>172</v>
      </c>
      <c r="W55" s="190">
        <v>172</v>
      </c>
      <c r="X55" s="190">
        <v>88</v>
      </c>
      <c r="Y55" s="190">
        <v>3320</v>
      </c>
      <c r="Z55" s="190">
        <v>3408</v>
      </c>
      <c r="AA55" s="190">
        <v>49</v>
      </c>
      <c r="AB55" s="190">
        <v>1373</v>
      </c>
      <c r="AC55" s="190">
        <v>1422</v>
      </c>
      <c r="AD55" s="190">
        <v>43</v>
      </c>
      <c r="AE55" s="190">
        <v>1258</v>
      </c>
      <c r="AF55" s="190">
        <v>1301</v>
      </c>
      <c r="AG55" s="190">
        <v>5</v>
      </c>
      <c r="AH55" s="190">
        <v>63</v>
      </c>
      <c r="AI55" s="190">
        <v>68</v>
      </c>
      <c r="AJ55" s="190">
        <v>1</v>
      </c>
      <c r="AK55" s="190">
        <v>52</v>
      </c>
      <c r="AL55" s="190">
        <v>53</v>
      </c>
      <c r="AM55" s="190">
        <v>39</v>
      </c>
      <c r="AN55" s="190">
        <v>1947</v>
      </c>
      <c r="AO55" s="190">
        <v>1986</v>
      </c>
      <c r="AP55" s="190">
        <v>5302</v>
      </c>
      <c r="AQ55" s="190">
        <v>33735</v>
      </c>
      <c r="AR55" s="190">
        <v>39037</v>
      </c>
      <c r="AS55" s="190">
        <v>5303</v>
      </c>
      <c r="AT55" s="190">
        <v>33737</v>
      </c>
      <c r="AU55" s="190">
        <v>39040</v>
      </c>
      <c r="AV55" s="190">
        <v>-1</v>
      </c>
      <c r="AW55" s="190">
        <v>-2</v>
      </c>
      <c r="AX55" s="190">
        <v>-3</v>
      </c>
      <c r="AY55" s="190">
        <v>279</v>
      </c>
      <c r="AZ55" s="190">
        <v>3261</v>
      </c>
      <c r="BA55" s="190">
        <v>3540</v>
      </c>
      <c r="BB55" s="190">
        <v>112</v>
      </c>
      <c r="BC55" s="190">
        <v>2</v>
      </c>
      <c r="BD55" s="190">
        <v>0</v>
      </c>
      <c r="BE55" s="190">
        <v>2086</v>
      </c>
      <c r="BF55" s="190">
        <v>11</v>
      </c>
      <c r="BG55" s="190">
        <v>2</v>
      </c>
      <c r="BH55" s="190">
        <v>114</v>
      </c>
      <c r="BI55" s="190">
        <v>2099</v>
      </c>
      <c r="BJ55" s="190">
        <v>2213</v>
      </c>
      <c r="BK55" s="190">
        <v>-47</v>
      </c>
      <c r="BL55" s="190">
        <v>47</v>
      </c>
      <c r="BM55" s="190">
        <v>0</v>
      </c>
      <c r="BN55" s="190">
        <v>26</v>
      </c>
      <c r="BO55" s="190">
        <v>55</v>
      </c>
      <c r="BP55" s="190">
        <v>81</v>
      </c>
      <c r="BQ55" s="190">
        <v>40</v>
      </c>
      <c r="BR55" s="190">
        <v>293</v>
      </c>
      <c r="BS55" s="190">
        <v>333</v>
      </c>
      <c r="BT55" s="190">
        <v>146</v>
      </c>
      <c r="BU55" s="190">
        <v>767</v>
      </c>
      <c r="BV55" s="190">
        <v>913</v>
      </c>
      <c r="BW55" s="190">
        <v>5581</v>
      </c>
      <c r="BX55" s="190">
        <v>36996</v>
      </c>
      <c r="BY55" s="190">
        <v>42577</v>
      </c>
      <c r="BZ55" s="190">
        <v>5552</v>
      </c>
      <c r="CA55" s="190">
        <v>36785</v>
      </c>
      <c r="CB55" s="190">
        <v>42337</v>
      </c>
      <c r="CC55" s="190">
        <v>88556</v>
      </c>
      <c r="CD55" s="190">
        <v>18</v>
      </c>
      <c r="CE55" s="190">
        <v>225</v>
      </c>
      <c r="CF55" s="190">
        <v>29</v>
      </c>
      <c r="CG55" s="190">
        <v>178</v>
      </c>
      <c r="CH55" s="190">
        <v>207</v>
      </c>
      <c r="CI55" s="190">
        <v>36</v>
      </c>
      <c r="CJ55" s="190">
        <v>5</v>
      </c>
      <c r="CK55" s="190">
        <v>0</v>
      </c>
      <c r="CL55" s="190">
        <v>33</v>
      </c>
      <c r="CM55" s="190">
        <v>33</v>
      </c>
      <c r="CN55" s="190">
        <v>387</v>
      </c>
      <c r="CO55" s="190">
        <v>3556</v>
      </c>
      <c r="CP55" s="190">
        <v>3943</v>
      </c>
      <c r="CQ55" s="190">
        <v>0</v>
      </c>
      <c r="CR55" s="190">
        <v>0</v>
      </c>
      <c r="CS55" s="190">
        <v>0</v>
      </c>
      <c r="CT55" s="190">
        <v>5194</v>
      </c>
      <c r="CU55" s="190">
        <v>33440</v>
      </c>
      <c r="CV55" s="190">
        <v>38634</v>
      </c>
      <c r="CW55" s="190">
        <v>371</v>
      </c>
      <c r="CX55" s="190">
        <v>1570</v>
      </c>
      <c r="CY55" s="190">
        <v>1941</v>
      </c>
      <c r="CZ55" s="190">
        <v>367</v>
      </c>
      <c r="DA55" s="190">
        <v>3</v>
      </c>
      <c r="DB55" s="190">
        <v>0</v>
      </c>
      <c r="DC55" s="190">
        <v>1544</v>
      </c>
      <c r="DD55" s="190">
        <v>11</v>
      </c>
      <c r="DE55" s="190">
        <v>1</v>
      </c>
      <c r="DF55" s="190">
        <v>370</v>
      </c>
      <c r="DG55" s="190">
        <v>1556</v>
      </c>
      <c r="DH55" s="190">
        <v>1926</v>
      </c>
      <c r="DI55" s="190">
        <v>1</v>
      </c>
      <c r="DJ55" s="190">
        <v>0</v>
      </c>
      <c r="DK55" s="190">
        <v>0</v>
      </c>
      <c r="DL55" s="190">
        <v>14</v>
      </c>
      <c r="DM55" s="190">
        <v>0</v>
      </c>
      <c r="DN55" s="190">
        <v>0</v>
      </c>
      <c r="DO55" s="190">
        <v>1</v>
      </c>
      <c r="DP55" s="190">
        <v>14</v>
      </c>
      <c r="DQ55" s="190">
        <v>15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510</v>
      </c>
      <c r="C56" s="190">
        <v>138</v>
      </c>
      <c r="D56" s="190">
        <v>451</v>
      </c>
      <c r="E56" s="190">
        <v>238</v>
      </c>
      <c r="F56" s="190">
        <v>0</v>
      </c>
      <c r="G56" s="190">
        <v>5</v>
      </c>
      <c r="H56" s="190">
        <v>5</v>
      </c>
      <c r="I56" s="190">
        <v>0</v>
      </c>
      <c r="J56" s="190">
        <v>184</v>
      </c>
      <c r="K56" s="190">
        <v>184</v>
      </c>
      <c r="L56" s="190">
        <v>0</v>
      </c>
      <c r="M56" s="190">
        <v>64</v>
      </c>
      <c r="N56" s="190">
        <v>64</v>
      </c>
      <c r="O56" s="190">
        <v>0</v>
      </c>
      <c r="P56" s="190">
        <v>120</v>
      </c>
      <c r="Q56" s="190">
        <v>120</v>
      </c>
      <c r="R56" s="190">
        <v>0</v>
      </c>
      <c r="S56" s="190">
        <v>4</v>
      </c>
      <c r="T56" s="190">
        <v>4</v>
      </c>
      <c r="U56" s="190">
        <v>0</v>
      </c>
      <c r="V56" s="190">
        <v>29</v>
      </c>
      <c r="W56" s="190">
        <v>29</v>
      </c>
      <c r="X56" s="190">
        <v>21</v>
      </c>
      <c r="Y56" s="190">
        <v>429</v>
      </c>
      <c r="Z56" s="190">
        <v>450</v>
      </c>
      <c r="AA56" s="190">
        <v>18</v>
      </c>
      <c r="AB56" s="190">
        <v>161</v>
      </c>
      <c r="AC56" s="190">
        <v>179</v>
      </c>
      <c r="AD56" s="190">
        <v>16</v>
      </c>
      <c r="AE56" s="190">
        <v>142</v>
      </c>
      <c r="AF56" s="190">
        <v>158</v>
      </c>
      <c r="AG56" s="190">
        <v>1</v>
      </c>
      <c r="AH56" s="190">
        <v>8</v>
      </c>
      <c r="AI56" s="190">
        <v>9</v>
      </c>
      <c r="AJ56" s="190">
        <v>1</v>
      </c>
      <c r="AK56" s="190">
        <v>11</v>
      </c>
      <c r="AL56" s="190">
        <v>12</v>
      </c>
      <c r="AM56" s="190">
        <v>3</v>
      </c>
      <c r="AN56" s="190">
        <v>268</v>
      </c>
      <c r="AO56" s="190">
        <v>271</v>
      </c>
      <c r="AP56" s="190">
        <v>657</v>
      </c>
      <c r="AQ56" s="190">
        <v>4622</v>
      </c>
      <c r="AR56" s="190">
        <v>5279</v>
      </c>
      <c r="AS56" s="190">
        <v>657</v>
      </c>
      <c r="AT56" s="190">
        <v>4622</v>
      </c>
      <c r="AU56" s="190">
        <v>5279</v>
      </c>
      <c r="AV56" s="190">
        <v>0</v>
      </c>
      <c r="AW56" s="190">
        <v>0</v>
      </c>
      <c r="AX56" s="190">
        <v>0</v>
      </c>
      <c r="AY56" s="190">
        <v>15</v>
      </c>
      <c r="AZ56" s="190">
        <v>455</v>
      </c>
      <c r="BA56" s="190">
        <v>470</v>
      </c>
      <c r="BB56" s="190">
        <v>23</v>
      </c>
      <c r="BC56" s="190">
        <v>0</v>
      </c>
      <c r="BD56" s="190">
        <v>0</v>
      </c>
      <c r="BE56" s="190">
        <v>211</v>
      </c>
      <c r="BF56" s="190">
        <v>2</v>
      </c>
      <c r="BG56" s="190">
        <v>2</v>
      </c>
      <c r="BH56" s="190">
        <v>23</v>
      </c>
      <c r="BI56" s="190">
        <v>215</v>
      </c>
      <c r="BJ56" s="190">
        <v>238</v>
      </c>
      <c r="BK56" s="190">
        <v>-32</v>
      </c>
      <c r="BL56" s="190">
        <v>32</v>
      </c>
      <c r="BM56" s="190">
        <v>0</v>
      </c>
      <c r="BN56" s="190">
        <v>8</v>
      </c>
      <c r="BO56" s="190">
        <v>29</v>
      </c>
      <c r="BP56" s="190">
        <v>37</v>
      </c>
      <c r="BQ56" s="190">
        <v>1</v>
      </c>
      <c r="BR56" s="190">
        <v>46</v>
      </c>
      <c r="BS56" s="190">
        <v>47</v>
      </c>
      <c r="BT56" s="190">
        <v>15</v>
      </c>
      <c r="BU56" s="190">
        <v>133</v>
      </c>
      <c r="BV56" s="190">
        <v>148</v>
      </c>
      <c r="BW56" s="190">
        <v>672</v>
      </c>
      <c r="BX56" s="190">
        <v>5077</v>
      </c>
      <c r="BY56" s="190">
        <v>5749</v>
      </c>
      <c r="BZ56" s="190">
        <v>656</v>
      </c>
      <c r="CA56" s="190">
        <v>5007</v>
      </c>
      <c r="CB56" s="190">
        <v>5663</v>
      </c>
      <c r="CC56" s="190">
        <v>13065</v>
      </c>
      <c r="CD56" s="190">
        <v>8</v>
      </c>
      <c r="CE56" s="190">
        <v>78</v>
      </c>
      <c r="CF56" s="190">
        <v>16</v>
      </c>
      <c r="CG56" s="190">
        <v>57</v>
      </c>
      <c r="CH56" s="190">
        <v>73</v>
      </c>
      <c r="CI56" s="190">
        <v>13</v>
      </c>
      <c r="CJ56" s="190">
        <v>3</v>
      </c>
      <c r="CK56" s="190">
        <v>0</v>
      </c>
      <c r="CL56" s="190">
        <v>13</v>
      </c>
      <c r="CM56" s="190">
        <v>13</v>
      </c>
      <c r="CN56" s="190">
        <v>41</v>
      </c>
      <c r="CO56" s="190">
        <v>485</v>
      </c>
      <c r="CP56" s="190">
        <v>526</v>
      </c>
      <c r="CQ56" s="190">
        <v>0</v>
      </c>
      <c r="CR56" s="190">
        <v>0</v>
      </c>
      <c r="CS56" s="190">
        <v>0</v>
      </c>
      <c r="CT56" s="190">
        <v>631</v>
      </c>
      <c r="CU56" s="190">
        <v>4592</v>
      </c>
      <c r="CV56" s="190">
        <v>5223</v>
      </c>
      <c r="CW56" s="190">
        <v>50</v>
      </c>
      <c r="CX56" s="190">
        <v>272</v>
      </c>
      <c r="CY56" s="190">
        <v>322</v>
      </c>
      <c r="CZ56" s="190">
        <v>46</v>
      </c>
      <c r="DA56" s="190">
        <v>4</v>
      </c>
      <c r="DB56" s="190">
        <v>0</v>
      </c>
      <c r="DC56" s="190">
        <v>261</v>
      </c>
      <c r="DD56" s="190">
        <v>3</v>
      </c>
      <c r="DE56" s="190">
        <v>0</v>
      </c>
      <c r="DF56" s="190">
        <v>50</v>
      </c>
      <c r="DG56" s="190">
        <v>264</v>
      </c>
      <c r="DH56" s="190">
        <v>314</v>
      </c>
      <c r="DI56" s="190">
        <v>0</v>
      </c>
      <c r="DJ56" s="190">
        <v>0</v>
      </c>
      <c r="DK56" s="190">
        <v>0</v>
      </c>
      <c r="DL56" s="190">
        <v>8</v>
      </c>
      <c r="DM56" s="190">
        <v>0</v>
      </c>
      <c r="DN56" s="190">
        <v>0</v>
      </c>
      <c r="DO56" s="190">
        <v>0</v>
      </c>
      <c r="DP56" s="190">
        <v>8</v>
      </c>
      <c r="DQ56" s="190">
        <v>8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399</v>
      </c>
      <c r="C57" s="190">
        <v>47</v>
      </c>
      <c r="D57" s="190">
        <v>421</v>
      </c>
      <c r="E57" s="190">
        <v>225</v>
      </c>
      <c r="F57" s="190">
        <v>0</v>
      </c>
      <c r="G57" s="190">
        <v>8</v>
      </c>
      <c r="H57" s="190">
        <v>8</v>
      </c>
      <c r="I57" s="190">
        <v>0</v>
      </c>
      <c r="J57" s="190">
        <v>159</v>
      </c>
      <c r="K57" s="190">
        <v>159</v>
      </c>
      <c r="L57" s="190">
        <v>0</v>
      </c>
      <c r="M57" s="190">
        <v>43</v>
      </c>
      <c r="N57" s="190">
        <v>43</v>
      </c>
      <c r="O57" s="190">
        <v>0</v>
      </c>
      <c r="P57" s="190">
        <v>116</v>
      </c>
      <c r="Q57" s="190">
        <v>116</v>
      </c>
      <c r="R57" s="190">
        <v>0</v>
      </c>
      <c r="S57" s="190">
        <v>3</v>
      </c>
      <c r="T57" s="190">
        <v>3</v>
      </c>
      <c r="U57" s="190">
        <v>0</v>
      </c>
      <c r="V57" s="190">
        <v>37</v>
      </c>
      <c r="W57" s="190">
        <v>37</v>
      </c>
      <c r="X57" s="190">
        <v>13</v>
      </c>
      <c r="Y57" s="190">
        <v>408</v>
      </c>
      <c r="Z57" s="190">
        <v>421</v>
      </c>
      <c r="AA57" s="190">
        <v>3</v>
      </c>
      <c r="AB57" s="190">
        <v>153</v>
      </c>
      <c r="AC57" s="190">
        <v>156</v>
      </c>
      <c r="AD57" s="190">
        <v>2</v>
      </c>
      <c r="AE57" s="190">
        <v>144</v>
      </c>
      <c r="AF57" s="190">
        <v>146</v>
      </c>
      <c r="AG57" s="190">
        <v>1</v>
      </c>
      <c r="AH57" s="190">
        <v>3</v>
      </c>
      <c r="AI57" s="190">
        <v>4</v>
      </c>
      <c r="AJ57" s="190">
        <v>0</v>
      </c>
      <c r="AK57" s="190">
        <v>6</v>
      </c>
      <c r="AL57" s="190">
        <v>6</v>
      </c>
      <c r="AM57" s="190">
        <v>10</v>
      </c>
      <c r="AN57" s="190">
        <v>255</v>
      </c>
      <c r="AO57" s="190">
        <v>265</v>
      </c>
      <c r="AP57" s="190">
        <v>510</v>
      </c>
      <c r="AQ57" s="190">
        <v>3746</v>
      </c>
      <c r="AR57" s="190">
        <v>4256</v>
      </c>
      <c r="AS57" s="190">
        <v>510</v>
      </c>
      <c r="AT57" s="190">
        <v>3746</v>
      </c>
      <c r="AU57" s="190">
        <v>4256</v>
      </c>
      <c r="AV57" s="190">
        <v>0</v>
      </c>
      <c r="AW57" s="190">
        <v>0</v>
      </c>
      <c r="AX57" s="190">
        <v>0</v>
      </c>
      <c r="AY57" s="190">
        <v>29</v>
      </c>
      <c r="AZ57" s="190">
        <v>371</v>
      </c>
      <c r="BA57" s="190">
        <v>400</v>
      </c>
      <c r="BB57" s="190">
        <v>10</v>
      </c>
      <c r="BC57" s="190">
        <v>1</v>
      </c>
      <c r="BD57" s="190">
        <v>0</v>
      </c>
      <c r="BE57" s="190">
        <v>211</v>
      </c>
      <c r="BF57" s="190">
        <v>3</v>
      </c>
      <c r="BG57" s="190">
        <v>0</v>
      </c>
      <c r="BH57" s="190">
        <v>11</v>
      </c>
      <c r="BI57" s="190">
        <v>214</v>
      </c>
      <c r="BJ57" s="190">
        <v>225</v>
      </c>
      <c r="BK57" s="190">
        <v>1</v>
      </c>
      <c r="BL57" s="190">
        <v>-1</v>
      </c>
      <c r="BM57" s="190">
        <v>0</v>
      </c>
      <c r="BN57" s="190">
        <v>2</v>
      </c>
      <c r="BO57" s="190">
        <v>22</v>
      </c>
      <c r="BP57" s="190">
        <v>24</v>
      </c>
      <c r="BQ57" s="190">
        <v>6</v>
      </c>
      <c r="BR57" s="190">
        <v>42</v>
      </c>
      <c r="BS57" s="190">
        <v>48</v>
      </c>
      <c r="BT57" s="190">
        <v>9</v>
      </c>
      <c r="BU57" s="190">
        <v>94</v>
      </c>
      <c r="BV57" s="190">
        <v>103</v>
      </c>
      <c r="BW57" s="190">
        <v>539</v>
      </c>
      <c r="BX57" s="190">
        <v>4117</v>
      </c>
      <c r="BY57" s="190">
        <v>4656</v>
      </c>
      <c r="BZ57" s="190">
        <v>538</v>
      </c>
      <c r="CA57" s="190">
        <v>4081</v>
      </c>
      <c r="CB57" s="190">
        <v>4619</v>
      </c>
      <c r="CC57" s="190">
        <v>10095</v>
      </c>
      <c r="CD57" s="190">
        <v>0</v>
      </c>
      <c r="CE57" s="190">
        <v>47</v>
      </c>
      <c r="CF57" s="190">
        <v>1</v>
      </c>
      <c r="CG57" s="190">
        <v>34</v>
      </c>
      <c r="CH57" s="190">
        <v>35</v>
      </c>
      <c r="CI57" s="190">
        <v>2</v>
      </c>
      <c r="CJ57" s="190">
        <v>0</v>
      </c>
      <c r="CK57" s="190">
        <v>0</v>
      </c>
      <c r="CL57" s="190">
        <v>2</v>
      </c>
      <c r="CM57" s="190">
        <v>2</v>
      </c>
      <c r="CN57" s="190">
        <v>18</v>
      </c>
      <c r="CO57" s="190">
        <v>412</v>
      </c>
      <c r="CP57" s="190">
        <v>430</v>
      </c>
      <c r="CQ57" s="190">
        <v>0</v>
      </c>
      <c r="CR57" s="190">
        <v>0</v>
      </c>
      <c r="CS57" s="190">
        <v>0</v>
      </c>
      <c r="CT57" s="190">
        <v>521</v>
      </c>
      <c r="CU57" s="190">
        <v>3705</v>
      </c>
      <c r="CV57" s="190">
        <v>4226</v>
      </c>
      <c r="CW57" s="190">
        <v>31</v>
      </c>
      <c r="CX57" s="190">
        <v>149</v>
      </c>
      <c r="CY57" s="190">
        <v>180</v>
      </c>
      <c r="CZ57" s="190">
        <v>31</v>
      </c>
      <c r="DA57" s="190">
        <v>0</v>
      </c>
      <c r="DB57" s="190">
        <v>0</v>
      </c>
      <c r="DC57" s="190">
        <v>144</v>
      </c>
      <c r="DD57" s="190">
        <v>3</v>
      </c>
      <c r="DE57" s="190">
        <v>0</v>
      </c>
      <c r="DF57" s="190">
        <v>31</v>
      </c>
      <c r="DG57" s="190">
        <v>147</v>
      </c>
      <c r="DH57" s="190">
        <v>178</v>
      </c>
      <c r="DI57" s="190">
        <v>0</v>
      </c>
      <c r="DJ57" s="190">
        <v>0</v>
      </c>
      <c r="DK57" s="190">
        <v>0</v>
      </c>
      <c r="DL57" s="190">
        <v>2</v>
      </c>
      <c r="DM57" s="190">
        <v>0</v>
      </c>
      <c r="DN57" s="190">
        <v>0</v>
      </c>
      <c r="DO57" s="190">
        <v>0</v>
      </c>
      <c r="DP57" s="190">
        <v>2</v>
      </c>
      <c r="DQ57" s="190">
        <v>2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102</v>
      </c>
      <c r="C58" s="190">
        <v>14</v>
      </c>
      <c r="D58" s="190">
        <v>91</v>
      </c>
      <c r="E58" s="190">
        <v>52</v>
      </c>
      <c r="F58" s="190">
        <v>0</v>
      </c>
      <c r="G58" s="190">
        <v>4</v>
      </c>
      <c r="H58" s="190">
        <v>4</v>
      </c>
      <c r="I58" s="190">
        <v>0</v>
      </c>
      <c r="J58" s="190">
        <v>35</v>
      </c>
      <c r="K58" s="190">
        <v>35</v>
      </c>
      <c r="L58" s="190">
        <v>0</v>
      </c>
      <c r="M58" s="190">
        <v>9</v>
      </c>
      <c r="N58" s="190">
        <v>9</v>
      </c>
      <c r="O58" s="190">
        <v>0</v>
      </c>
      <c r="P58" s="190">
        <v>26</v>
      </c>
      <c r="Q58" s="190">
        <v>26</v>
      </c>
      <c r="R58" s="190">
        <v>0</v>
      </c>
      <c r="S58" s="190">
        <v>4</v>
      </c>
      <c r="T58" s="190">
        <v>4</v>
      </c>
      <c r="U58" s="190">
        <v>0</v>
      </c>
      <c r="V58" s="190">
        <v>4</v>
      </c>
      <c r="W58" s="190">
        <v>4</v>
      </c>
      <c r="X58" s="190">
        <v>1</v>
      </c>
      <c r="Y58" s="190">
        <v>90</v>
      </c>
      <c r="Z58" s="190">
        <v>91</v>
      </c>
      <c r="AA58" s="190">
        <v>1</v>
      </c>
      <c r="AB58" s="190">
        <v>47</v>
      </c>
      <c r="AC58" s="190">
        <v>48</v>
      </c>
      <c r="AD58" s="190">
        <v>1</v>
      </c>
      <c r="AE58" s="190">
        <v>15</v>
      </c>
      <c r="AF58" s="190">
        <v>16</v>
      </c>
      <c r="AG58" s="190">
        <v>0</v>
      </c>
      <c r="AH58" s="190">
        <v>3</v>
      </c>
      <c r="AI58" s="190">
        <v>3</v>
      </c>
      <c r="AJ58" s="190">
        <v>0</v>
      </c>
      <c r="AK58" s="190">
        <v>29</v>
      </c>
      <c r="AL58" s="190">
        <v>29</v>
      </c>
      <c r="AM58" s="190">
        <v>0</v>
      </c>
      <c r="AN58" s="190">
        <v>43</v>
      </c>
      <c r="AO58" s="190">
        <v>43</v>
      </c>
      <c r="AP58" s="190">
        <v>55</v>
      </c>
      <c r="AQ58" s="190">
        <v>842</v>
      </c>
      <c r="AR58" s="190">
        <v>897</v>
      </c>
      <c r="AS58" s="190">
        <v>55</v>
      </c>
      <c r="AT58" s="190">
        <v>842</v>
      </c>
      <c r="AU58" s="190">
        <v>897</v>
      </c>
      <c r="AV58" s="190">
        <v>0</v>
      </c>
      <c r="AW58" s="190">
        <v>0</v>
      </c>
      <c r="AX58" s="190">
        <v>0</v>
      </c>
      <c r="AY58" s="190">
        <v>5</v>
      </c>
      <c r="AZ58" s="190">
        <v>107</v>
      </c>
      <c r="BA58" s="190">
        <v>112</v>
      </c>
      <c r="BB58" s="190">
        <v>0</v>
      </c>
      <c r="BC58" s="190">
        <v>0</v>
      </c>
      <c r="BD58" s="190">
        <v>0</v>
      </c>
      <c r="BE58" s="190">
        <v>52</v>
      </c>
      <c r="BF58" s="190">
        <v>0</v>
      </c>
      <c r="BG58" s="190">
        <v>0</v>
      </c>
      <c r="BH58" s="190">
        <v>0</v>
      </c>
      <c r="BI58" s="190">
        <v>52</v>
      </c>
      <c r="BJ58" s="190">
        <v>52</v>
      </c>
      <c r="BK58" s="190">
        <v>3</v>
      </c>
      <c r="BL58" s="190">
        <v>-3</v>
      </c>
      <c r="BM58" s="190">
        <v>0</v>
      </c>
      <c r="BN58" s="190">
        <v>1</v>
      </c>
      <c r="BO58" s="190">
        <v>6</v>
      </c>
      <c r="BP58" s="190">
        <v>7</v>
      </c>
      <c r="BQ58" s="190">
        <v>0</v>
      </c>
      <c r="BR58" s="190">
        <v>21</v>
      </c>
      <c r="BS58" s="190">
        <v>21</v>
      </c>
      <c r="BT58" s="190">
        <v>1</v>
      </c>
      <c r="BU58" s="190">
        <v>31</v>
      </c>
      <c r="BV58" s="190">
        <v>32</v>
      </c>
      <c r="BW58" s="190">
        <v>60</v>
      </c>
      <c r="BX58" s="190">
        <v>949</v>
      </c>
      <c r="BY58" s="190">
        <v>1009</v>
      </c>
      <c r="BZ58" s="190">
        <v>60</v>
      </c>
      <c r="CA58" s="190">
        <v>949</v>
      </c>
      <c r="CB58" s="190">
        <v>1009</v>
      </c>
      <c r="CC58" s="190">
        <v>1763</v>
      </c>
      <c r="CD58" s="190">
        <v>0</v>
      </c>
      <c r="CE58" s="190">
        <v>0</v>
      </c>
      <c r="CF58" s="190">
        <v>0</v>
      </c>
      <c r="CG58" s="190">
        <v>0</v>
      </c>
      <c r="CH58" s="190">
        <v>0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7</v>
      </c>
      <c r="CO58" s="190">
        <v>97</v>
      </c>
      <c r="CP58" s="190">
        <v>104</v>
      </c>
      <c r="CQ58" s="190">
        <v>0</v>
      </c>
      <c r="CR58" s="190">
        <v>0</v>
      </c>
      <c r="CS58" s="190">
        <v>0</v>
      </c>
      <c r="CT58" s="190">
        <v>53</v>
      </c>
      <c r="CU58" s="190">
        <v>852</v>
      </c>
      <c r="CV58" s="190">
        <v>905</v>
      </c>
      <c r="CW58" s="190">
        <v>3</v>
      </c>
      <c r="CX58" s="190">
        <v>50</v>
      </c>
      <c r="CY58" s="190">
        <v>53</v>
      </c>
      <c r="CZ58" s="190">
        <v>3</v>
      </c>
      <c r="DA58" s="190">
        <v>0</v>
      </c>
      <c r="DB58" s="190">
        <v>0</v>
      </c>
      <c r="DC58" s="190">
        <v>50</v>
      </c>
      <c r="DD58" s="190">
        <v>0</v>
      </c>
      <c r="DE58" s="190">
        <v>0</v>
      </c>
      <c r="DF58" s="190">
        <v>3</v>
      </c>
      <c r="DG58" s="190">
        <v>50</v>
      </c>
      <c r="DH58" s="190">
        <v>53</v>
      </c>
      <c r="DI58" s="190">
        <v>0</v>
      </c>
      <c r="DJ58" s="190">
        <v>0</v>
      </c>
      <c r="DK58" s="190">
        <v>0</v>
      </c>
      <c r="DL58" s="190">
        <v>0</v>
      </c>
      <c r="DM58" s="190">
        <v>0</v>
      </c>
      <c r="DN58" s="190">
        <v>0</v>
      </c>
      <c r="DO58" s="190">
        <v>0</v>
      </c>
      <c r="DP58" s="190">
        <v>0</v>
      </c>
      <c r="DQ58" s="190">
        <v>0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3861</v>
      </c>
      <c r="C59" s="190">
        <v>471</v>
      </c>
      <c r="D59" s="190">
        <v>2721</v>
      </c>
      <c r="E59" s="190">
        <v>2085</v>
      </c>
      <c r="F59" s="190">
        <v>0</v>
      </c>
      <c r="G59" s="190">
        <v>16</v>
      </c>
      <c r="H59" s="190">
        <v>16</v>
      </c>
      <c r="I59" s="190">
        <v>0</v>
      </c>
      <c r="J59" s="190">
        <v>572</v>
      </c>
      <c r="K59" s="190">
        <v>572</v>
      </c>
      <c r="L59" s="190">
        <v>0</v>
      </c>
      <c r="M59" s="190">
        <v>572</v>
      </c>
      <c r="N59" s="190">
        <v>572</v>
      </c>
      <c r="O59" s="190">
        <v>0</v>
      </c>
      <c r="P59" s="190">
        <v>0</v>
      </c>
      <c r="Q59" s="190">
        <v>0</v>
      </c>
      <c r="R59" s="190">
        <v>0</v>
      </c>
      <c r="S59" s="190">
        <v>54</v>
      </c>
      <c r="T59" s="190">
        <v>54</v>
      </c>
      <c r="U59" s="190">
        <v>0</v>
      </c>
      <c r="V59" s="190">
        <v>64</v>
      </c>
      <c r="W59" s="190">
        <v>64</v>
      </c>
      <c r="X59" s="190">
        <v>105</v>
      </c>
      <c r="Y59" s="190">
        <v>2295</v>
      </c>
      <c r="Z59" s="190">
        <v>2400</v>
      </c>
      <c r="AA59" s="190">
        <v>52</v>
      </c>
      <c r="AB59" s="190">
        <v>1042</v>
      </c>
      <c r="AC59" s="190">
        <v>1094</v>
      </c>
      <c r="AD59" s="190">
        <v>46</v>
      </c>
      <c r="AE59" s="190">
        <v>974</v>
      </c>
      <c r="AF59" s="190">
        <v>1020</v>
      </c>
      <c r="AG59" s="190">
        <v>6</v>
      </c>
      <c r="AH59" s="190">
        <v>68</v>
      </c>
      <c r="AI59" s="190">
        <v>74</v>
      </c>
      <c r="AJ59" s="190">
        <v>0</v>
      </c>
      <c r="AK59" s="190">
        <v>0</v>
      </c>
      <c r="AL59" s="190">
        <v>0</v>
      </c>
      <c r="AM59" s="190">
        <v>53</v>
      </c>
      <c r="AN59" s="190">
        <v>1253</v>
      </c>
      <c r="AO59" s="190">
        <v>1306</v>
      </c>
      <c r="AP59" s="190">
        <v>7503</v>
      </c>
      <c r="AQ59" s="190">
        <v>44346</v>
      </c>
      <c r="AR59" s="190">
        <v>51849</v>
      </c>
      <c r="AS59" s="190">
        <v>7317</v>
      </c>
      <c r="AT59" s="190">
        <v>44079</v>
      </c>
      <c r="AU59" s="190">
        <v>51396</v>
      </c>
      <c r="AV59" s="190">
        <v>186</v>
      </c>
      <c r="AW59" s="190">
        <v>267</v>
      </c>
      <c r="AX59" s="190">
        <v>453</v>
      </c>
      <c r="AY59" s="190">
        <v>216</v>
      </c>
      <c r="AZ59" s="190">
        <v>3469</v>
      </c>
      <c r="BA59" s="190">
        <v>3685</v>
      </c>
      <c r="BB59" s="190">
        <v>174</v>
      </c>
      <c r="BC59" s="190">
        <v>1</v>
      </c>
      <c r="BD59" s="190">
        <v>0</v>
      </c>
      <c r="BE59" s="190">
        <v>1865</v>
      </c>
      <c r="BF59" s="190">
        <v>41</v>
      </c>
      <c r="BG59" s="190">
        <v>4</v>
      </c>
      <c r="BH59" s="190">
        <v>175</v>
      </c>
      <c r="BI59" s="190">
        <v>1910</v>
      </c>
      <c r="BJ59" s="190">
        <v>2085</v>
      </c>
      <c r="BK59" s="190">
        <v>-76</v>
      </c>
      <c r="BL59" s="190">
        <v>76</v>
      </c>
      <c r="BM59" s="190">
        <v>0</v>
      </c>
      <c r="BN59" s="190">
        <v>4</v>
      </c>
      <c r="BO59" s="190">
        <v>55</v>
      </c>
      <c r="BP59" s="190">
        <v>59</v>
      </c>
      <c r="BQ59" s="190">
        <v>54</v>
      </c>
      <c r="BR59" s="190">
        <v>444</v>
      </c>
      <c r="BS59" s="190">
        <v>498</v>
      </c>
      <c r="BT59" s="190">
        <v>59</v>
      </c>
      <c r="BU59" s="190">
        <v>984</v>
      </c>
      <c r="BV59" s="190">
        <v>1043</v>
      </c>
      <c r="BW59" s="190">
        <v>7719</v>
      </c>
      <c r="BX59" s="190">
        <v>47815</v>
      </c>
      <c r="BY59" s="190">
        <v>55534</v>
      </c>
      <c r="BZ59" s="190">
        <v>7674</v>
      </c>
      <c r="CA59" s="190">
        <v>46814</v>
      </c>
      <c r="CB59" s="190">
        <v>54488</v>
      </c>
      <c r="CC59" s="190">
        <v>121891</v>
      </c>
      <c r="CD59" s="190">
        <v>248</v>
      </c>
      <c r="CE59" s="190">
        <v>950</v>
      </c>
      <c r="CF59" s="190">
        <v>43</v>
      </c>
      <c r="CG59" s="190">
        <v>792</v>
      </c>
      <c r="CH59" s="190">
        <v>835</v>
      </c>
      <c r="CI59" s="190">
        <v>257</v>
      </c>
      <c r="CJ59" s="190">
        <v>13</v>
      </c>
      <c r="CK59" s="190">
        <v>2</v>
      </c>
      <c r="CL59" s="190">
        <v>209</v>
      </c>
      <c r="CM59" s="190">
        <v>211</v>
      </c>
      <c r="CN59" s="190">
        <v>320</v>
      </c>
      <c r="CO59" s="190">
        <v>3352</v>
      </c>
      <c r="CP59" s="190">
        <v>3672</v>
      </c>
      <c r="CQ59" s="190">
        <v>1</v>
      </c>
      <c r="CR59" s="190">
        <v>1</v>
      </c>
      <c r="CS59" s="190">
        <v>2</v>
      </c>
      <c r="CT59" s="190">
        <v>7399</v>
      </c>
      <c r="CU59" s="190">
        <v>44463</v>
      </c>
      <c r="CV59" s="190">
        <v>51862</v>
      </c>
      <c r="CW59" s="190">
        <v>620</v>
      </c>
      <c r="CX59" s="190">
        <v>2746</v>
      </c>
      <c r="CY59" s="190">
        <v>3366</v>
      </c>
      <c r="CZ59" s="190">
        <v>612</v>
      </c>
      <c r="DA59" s="190">
        <v>4</v>
      </c>
      <c r="DB59" s="190">
        <v>0</v>
      </c>
      <c r="DC59" s="190">
        <v>2590</v>
      </c>
      <c r="DD59" s="190">
        <v>53</v>
      </c>
      <c r="DE59" s="190">
        <v>8</v>
      </c>
      <c r="DF59" s="190">
        <v>616</v>
      </c>
      <c r="DG59" s="190">
        <v>2651</v>
      </c>
      <c r="DH59" s="190">
        <v>3267</v>
      </c>
      <c r="DI59" s="190">
        <v>4</v>
      </c>
      <c r="DJ59" s="190">
        <v>0</v>
      </c>
      <c r="DK59" s="190">
        <v>0</v>
      </c>
      <c r="DL59" s="190">
        <v>92</v>
      </c>
      <c r="DM59" s="190">
        <v>3</v>
      </c>
      <c r="DN59" s="190">
        <v>0</v>
      </c>
      <c r="DO59" s="190">
        <v>4</v>
      </c>
      <c r="DP59" s="190">
        <v>95</v>
      </c>
      <c r="DQ59" s="190">
        <v>99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284</v>
      </c>
      <c r="C60" s="190">
        <v>46</v>
      </c>
      <c r="D60" s="190">
        <v>261</v>
      </c>
      <c r="E60" s="190">
        <v>160</v>
      </c>
      <c r="F60" s="190">
        <v>2</v>
      </c>
      <c r="G60" s="190">
        <v>5</v>
      </c>
      <c r="H60" s="190">
        <v>7</v>
      </c>
      <c r="I60" s="190">
        <v>0</v>
      </c>
      <c r="J60" s="190">
        <v>82</v>
      </c>
      <c r="K60" s="190">
        <v>82</v>
      </c>
      <c r="L60" s="190">
        <v>0</v>
      </c>
      <c r="M60" s="190">
        <v>34</v>
      </c>
      <c r="N60" s="190">
        <v>34</v>
      </c>
      <c r="O60" s="190">
        <v>0</v>
      </c>
      <c r="P60" s="190">
        <v>48</v>
      </c>
      <c r="Q60" s="190">
        <v>48</v>
      </c>
      <c r="R60" s="190">
        <v>0</v>
      </c>
      <c r="S60" s="190">
        <v>1</v>
      </c>
      <c r="T60" s="190">
        <v>1</v>
      </c>
      <c r="U60" s="190">
        <v>0</v>
      </c>
      <c r="V60" s="190">
        <v>19</v>
      </c>
      <c r="W60" s="190">
        <v>19</v>
      </c>
      <c r="X60" s="190">
        <v>6</v>
      </c>
      <c r="Y60" s="190">
        <v>255</v>
      </c>
      <c r="Z60" s="190">
        <v>261</v>
      </c>
      <c r="AA60" s="190">
        <v>3</v>
      </c>
      <c r="AB60" s="190">
        <v>87</v>
      </c>
      <c r="AC60" s="190">
        <v>90</v>
      </c>
      <c r="AD60" s="190">
        <v>3</v>
      </c>
      <c r="AE60" s="190">
        <v>84</v>
      </c>
      <c r="AF60" s="190">
        <v>87</v>
      </c>
      <c r="AG60" s="190">
        <v>0</v>
      </c>
      <c r="AH60" s="190">
        <v>2</v>
      </c>
      <c r="AI60" s="190">
        <v>2</v>
      </c>
      <c r="AJ60" s="190">
        <v>0</v>
      </c>
      <c r="AK60" s="190">
        <v>1</v>
      </c>
      <c r="AL60" s="190">
        <v>1</v>
      </c>
      <c r="AM60" s="190">
        <v>3</v>
      </c>
      <c r="AN60" s="190">
        <v>168</v>
      </c>
      <c r="AO60" s="190">
        <v>171</v>
      </c>
      <c r="AP60" s="190">
        <v>267</v>
      </c>
      <c r="AQ60" s="190">
        <v>2630</v>
      </c>
      <c r="AR60" s="190">
        <v>2897</v>
      </c>
      <c r="AS60" s="190">
        <v>267</v>
      </c>
      <c r="AT60" s="190">
        <v>2630</v>
      </c>
      <c r="AU60" s="190">
        <v>2897</v>
      </c>
      <c r="AV60" s="190">
        <v>0</v>
      </c>
      <c r="AW60" s="190">
        <v>0</v>
      </c>
      <c r="AX60" s="190">
        <v>0</v>
      </c>
      <c r="AY60" s="190">
        <v>24</v>
      </c>
      <c r="AZ60" s="190">
        <v>244</v>
      </c>
      <c r="BA60" s="190">
        <v>268</v>
      </c>
      <c r="BB60" s="190">
        <v>6</v>
      </c>
      <c r="BC60" s="190">
        <v>1</v>
      </c>
      <c r="BD60" s="190">
        <v>0</v>
      </c>
      <c r="BE60" s="190">
        <v>153</v>
      </c>
      <c r="BF60" s="190">
        <v>0</v>
      </c>
      <c r="BG60" s="190">
        <v>0</v>
      </c>
      <c r="BH60" s="190">
        <v>7</v>
      </c>
      <c r="BI60" s="190">
        <v>153</v>
      </c>
      <c r="BJ60" s="190">
        <v>160</v>
      </c>
      <c r="BK60" s="190">
        <v>7</v>
      </c>
      <c r="BL60" s="190">
        <v>-7</v>
      </c>
      <c r="BM60" s="190">
        <v>0</v>
      </c>
      <c r="BN60" s="190">
        <v>0</v>
      </c>
      <c r="BO60" s="190">
        <v>7</v>
      </c>
      <c r="BP60" s="190">
        <v>7</v>
      </c>
      <c r="BQ60" s="190">
        <v>3</v>
      </c>
      <c r="BR60" s="190">
        <v>47</v>
      </c>
      <c r="BS60" s="190">
        <v>50</v>
      </c>
      <c r="BT60" s="190">
        <v>7</v>
      </c>
      <c r="BU60" s="190">
        <v>44</v>
      </c>
      <c r="BV60" s="190">
        <v>51</v>
      </c>
      <c r="BW60" s="190">
        <v>291</v>
      </c>
      <c r="BX60" s="190">
        <v>2874</v>
      </c>
      <c r="BY60" s="190">
        <v>3165</v>
      </c>
      <c r="BZ60" s="190">
        <v>289</v>
      </c>
      <c r="CA60" s="190">
        <v>2867</v>
      </c>
      <c r="CB60" s="190">
        <v>3156</v>
      </c>
      <c r="CC60" s="190">
        <v>5456</v>
      </c>
      <c r="CD60" s="190">
        <v>1</v>
      </c>
      <c r="CE60" s="190">
        <v>6</v>
      </c>
      <c r="CF60" s="190">
        <v>2</v>
      </c>
      <c r="CG60" s="190">
        <v>4</v>
      </c>
      <c r="CH60" s="190">
        <v>6</v>
      </c>
      <c r="CI60" s="190">
        <v>5</v>
      </c>
      <c r="CJ60" s="190">
        <v>0</v>
      </c>
      <c r="CK60" s="190">
        <v>0</v>
      </c>
      <c r="CL60" s="190">
        <v>3</v>
      </c>
      <c r="CM60" s="190">
        <v>3</v>
      </c>
      <c r="CN60" s="190">
        <v>21</v>
      </c>
      <c r="CO60" s="190">
        <v>261</v>
      </c>
      <c r="CP60" s="190">
        <v>282</v>
      </c>
      <c r="CQ60" s="190">
        <v>13</v>
      </c>
      <c r="CR60" s="190">
        <v>116</v>
      </c>
      <c r="CS60" s="190">
        <v>129</v>
      </c>
      <c r="CT60" s="190">
        <v>270</v>
      </c>
      <c r="CU60" s="190">
        <v>2613</v>
      </c>
      <c r="CV60" s="190">
        <v>2883</v>
      </c>
      <c r="CW60" s="190">
        <v>19</v>
      </c>
      <c r="CX60" s="190">
        <v>156</v>
      </c>
      <c r="CY60" s="190">
        <v>175</v>
      </c>
      <c r="CZ60" s="190">
        <v>19</v>
      </c>
      <c r="DA60" s="190">
        <v>0</v>
      </c>
      <c r="DB60" s="190">
        <v>0</v>
      </c>
      <c r="DC60" s="190">
        <v>156</v>
      </c>
      <c r="DD60" s="190">
        <v>0</v>
      </c>
      <c r="DE60" s="190">
        <v>0</v>
      </c>
      <c r="DF60" s="190">
        <v>19</v>
      </c>
      <c r="DG60" s="190">
        <v>156</v>
      </c>
      <c r="DH60" s="190">
        <v>175</v>
      </c>
      <c r="DI60" s="190">
        <v>0</v>
      </c>
      <c r="DJ60" s="190">
        <v>0</v>
      </c>
      <c r="DK60" s="190">
        <v>0</v>
      </c>
      <c r="DL60" s="190">
        <v>0</v>
      </c>
      <c r="DM60" s="190">
        <v>0</v>
      </c>
      <c r="DN60" s="190">
        <v>0</v>
      </c>
      <c r="DO60" s="190">
        <v>0</v>
      </c>
      <c r="DP60" s="190">
        <v>0</v>
      </c>
      <c r="DQ60" s="190">
        <v>0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3140</v>
      </c>
      <c r="C61" s="190">
        <v>839</v>
      </c>
      <c r="D61" s="190">
        <v>2992</v>
      </c>
      <c r="E61" s="190">
        <v>2006</v>
      </c>
      <c r="F61" s="190">
        <v>0</v>
      </c>
      <c r="G61" s="190">
        <v>44</v>
      </c>
      <c r="H61" s="190">
        <v>44</v>
      </c>
      <c r="I61" s="190">
        <v>0</v>
      </c>
      <c r="J61" s="190">
        <v>886</v>
      </c>
      <c r="K61" s="190">
        <v>886</v>
      </c>
      <c r="L61" s="190">
        <v>0</v>
      </c>
      <c r="M61" s="190">
        <v>306</v>
      </c>
      <c r="N61" s="190">
        <v>306</v>
      </c>
      <c r="O61" s="190">
        <v>0</v>
      </c>
      <c r="P61" s="190">
        <v>580</v>
      </c>
      <c r="Q61" s="190">
        <v>580</v>
      </c>
      <c r="R61" s="190">
        <v>0</v>
      </c>
      <c r="S61" s="190">
        <v>76</v>
      </c>
      <c r="T61" s="190">
        <v>76</v>
      </c>
      <c r="U61" s="190">
        <v>0</v>
      </c>
      <c r="V61" s="190">
        <v>100</v>
      </c>
      <c r="W61" s="190">
        <v>100</v>
      </c>
      <c r="X61" s="190">
        <v>36</v>
      </c>
      <c r="Y61" s="190">
        <v>1657</v>
      </c>
      <c r="Z61" s="190">
        <v>1693</v>
      </c>
      <c r="AA61" s="190">
        <v>28</v>
      </c>
      <c r="AB61" s="190">
        <v>832</v>
      </c>
      <c r="AC61" s="190">
        <v>860</v>
      </c>
      <c r="AD61" s="190">
        <v>27</v>
      </c>
      <c r="AE61" s="190">
        <v>809</v>
      </c>
      <c r="AF61" s="190">
        <v>836</v>
      </c>
      <c r="AG61" s="190">
        <v>1</v>
      </c>
      <c r="AH61" s="190">
        <v>15</v>
      </c>
      <c r="AI61" s="190">
        <v>16</v>
      </c>
      <c r="AJ61" s="190">
        <v>0</v>
      </c>
      <c r="AK61" s="190">
        <v>8</v>
      </c>
      <c r="AL61" s="190">
        <v>8</v>
      </c>
      <c r="AM61" s="190">
        <v>8</v>
      </c>
      <c r="AN61" s="190">
        <v>825</v>
      </c>
      <c r="AO61" s="190">
        <v>833</v>
      </c>
      <c r="AP61" s="190">
        <v>2673</v>
      </c>
      <c r="AQ61" s="190">
        <v>30986</v>
      </c>
      <c r="AR61" s="190">
        <v>33659</v>
      </c>
      <c r="AS61" s="190">
        <v>2680</v>
      </c>
      <c r="AT61" s="190">
        <v>30951</v>
      </c>
      <c r="AU61" s="190">
        <v>33631</v>
      </c>
      <c r="AV61" s="190">
        <v>-7</v>
      </c>
      <c r="AW61" s="190">
        <v>35</v>
      </c>
      <c r="AX61" s="190">
        <v>28</v>
      </c>
      <c r="AY61" s="190">
        <v>200</v>
      </c>
      <c r="AZ61" s="190">
        <v>3784</v>
      </c>
      <c r="BA61" s="190">
        <v>3984</v>
      </c>
      <c r="BB61" s="190">
        <v>81</v>
      </c>
      <c r="BC61" s="190">
        <v>0</v>
      </c>
      <c r="BD61" s="190">
        <v>0</v>
      </c>
      <c r="BE61" s="190">
        <v>1900</v>
      </c>
      <c r="BF61" s="190">
        <v>15</v>
      </c>
      <c r="BG61" s="190">
        <v>10</v>
      </c>
      <c r="BH61" s="190">
        <v>81</v>
      </c>
      <c r="BI61" s="190">
        <v>1925</v>
      </c>
      <c r="BJ61" s="190">
        <v>2006</v>
      </c>
      <c r="BK61" s="190">
        <v>2</v>
      </c>
      <c r="BL61" s="190">
        <v>-2</v>
      </c>
      <c r="BM61" s="190">
        <v>0</v>
      </c>
      <c r="BN61" s="190">
        <v>1</v>
      </c>
      <c r="BO61" s="190">
        <v>25</v>
      </c>
      <c r="BP61" s="190">
        <v>26</v>
      </c>
      <c r="BQ61" s="190">
        <v>30</v>
      </c>
      <c r="BR61" s="190">
        <v>492</v>
      </c>
      <c r="BS61" s="190">
        <v>522</v>
      </c>
      <c r="BT61" s="190">
        <v>86</v>
      </c>
      <c r="BU61" s="190">
        <v>1344</v>
      </c>
      <c r="BV61" s="190">
        <v>1430</v>
      </c>
      <c r="BW61" s="190">
        <v>2873</v>
      </c>
      <c r="BX61" s="190">
        <v>34770</v>
      </c>
      <c r="BY61" s="190">
        <v>37643</v>
      </c>
      <c r="BZ61" s="190">
        <v>2853</v>
      </c>
      <c r="CA61" s="190">
        <v>34240</v>
      </c>
      <c r="CB61" s="190">
        <v>37093</v>
      </c>
      <c r="CC61" s="190">
        <v>75662</v>
      </c>
      <c r="CD61" s="190">
        <v>45</v>
      </c>
      <c r="CE61" s="190">
        <v>505</v>
      </c>
      <c r="CF61" s="190">
        <v>20</v>
      </c>
      <c r="CG61" s="190">
        <v>337</v>
      </c>
      <c r="CH61" s="190">
        <v>357</v>
      </c>
      <c r="CI61" s="190">
        <v>255</v>
      </c>
      <c r="CJ61" s="190">
        <v>0</v>
      </c>
      <c r="CK61" s="190">
        <v>0</v>
      </c>
      <c r="CL61" s="190">
        <v>193</v>
      </c>
      <c r="CM61" s="190">
        <v>193</v>
      </c>
      <c r="CN61" s="190">
        <v>147</v>
      </c>
      <c r="CO61" s="190">
        <v>3451</v>
      </c>
      <c r="CP61" s="190">
        <v>3598</v>
      </c>
      <c r="CQ61" s="190">
        <v>0</v>
      </c>
      <c r="CR61" s="190">
        <v>17</v>
      </c>
      <c r="CS61" s="190">
        <v>17</v>
      </c>
      <c r="CT61" s="190">
        <v>2726</v>
      </c>
      <c r="CU61" s="190">
        <v>31319</v>
      </c>
      <c r="CV61" s="190">
        <v>34045</v>
      </c>
      <c r="CW61" s="190">
        <v>205</v>
      </c>
      <c r="CX61" s="190">
        <v>1784</v>
      </c>
      <c r="CY61" s="190">
        <v>1989</v>
      </c>
      <c r="CZ61" s="190">
        <v>199</v>
      </c>
      <c r="DA61" s="190">
        <v>2</v>
      </c>
      <c r="DB61" s="190">
        <v>0</v>
      </c>
      <c r="DC61" s="190">
        <v>1701</v>
      </c>
      <c r="DD61" s="190">
        <v>19</v>
      </c>
      <c r="DE61" s="190">
        <v>1</v>
      </c>
      <c r="DF61" s="190">
        <v>201</v>
      </c>
      <c r="DG61" s="190">
        <v>1721</v>
      </c>
      <c r="DH61" s="190">
        <v>1922</v>
      </c>
      <c r="DI61" s="190">
        <v>4</v>
      </c>
      <c r="DJ61" s="190">
        <v>0</v>
      </c>
      <c r="DK61" s="190">
        <v>0</v>
      </c>
      <c r="DL61" s="190">
        <v>60</v>
      </c>
      <c r="DM61" s="190">
        <v>3</v>
      </c>
      <c r="DN61" s="190">
        <v>0</v>
      </c>
      <c r="DO61" s="190">
        <v>4</v>
      </c>
      <c r="DP61" s="190">
        <v>63</v>
      </c>
      <c r="DQ61" s="190">
        <v>67</v>
      </c>
      <c r="DR61" s="190">
        <v>0</v>
      </c>
      <c r="DS61" s="190">
        <v>0</v>
      </c>
      <c r="DT61" s="191">
        <v>0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795</v>
      </c>
      <c r="C62" s="190">
        <v>50</v>
      </c>
      <c r="D62" s="190">
        <v>835</v>
      </c>
      <c r="E62" s="190">
        <v>435</v>
      </c>
      <c r="F62" s="190">
        <v>7</v>
      </c>
      <c r="G62" s="190">
        <v>12</v>
      </c>
      <c r="H62" s="190">
        <v>19</v>
      </c>
      <c r="I62" s="190">
        <v>0</v>
      </c>
      <c r="J62" s="190">
        <v>352</v>
      </c>
      <c r="K62" s="190">
        <v>352</v>
      </c>
      <c r="L62" s="190">
        <v>0</v>
      </c>
      <c r="M62" s="190">
        <v>209</v>
      </c>
      <c r="N62" s="190">
        <v>209</v>
      </c>
      <c r="O62" s="190">
        <v>0</v>
      </c>
      <c r="P62" s="190">
        <v>143</v>
      </c>
      <c r="Q62" s="190">
        <v>143</v>
      </c>
      <c r="R62" s="190">
        <v>0</v>
      </c>
      <c r="S62" s="190">
        <v>16</v>
      </c>
      <c r="T62" s="190">
        <v>16</v>
      </c>
      <c r="U62" s="190">
        <v>0</v>
      </c>
      <c r="V62" s="190">
        <v>48</v>
      </c>
      <c r="W62" s="190">
        <v>48</v>
      </c>
      <c r="X62" s="190">
        <v>13</v>
      </c>
      <c r="Y62" s="190">
        <v>267</v>
      </c>
      <c r="Z62" s="190">
        <v>280</v>
      </c>
      <c r="AA62" s="190">
        <v>13</v>
      </c>
      <c r="AB62" s="190">
        <v>267</v>
      </c>
      <c r="AC62" s="190">
        <v>280</v>
      </c>
      <c r="AD62" s="190">
        <v>12</v>
      </c>
      <c r="AE62" s="190">
        <v>249</v>
      </c>
      <c r="AF62" s="190">
        <v>261</v>
      </c>
      <c r="AG62" s="190">
        <v>0</v>
      </c>
      <c r="AH62" s="190">
        <v>11</v>
      </c>
      <c r="AI62" s="190">
        <v>11</v>
      </c>
      <c r="AJ62" s="190">
        <v>1</v>
      </c>
      <c r="AK62" s="190">
        <v>7</v>
      </c>
      <c r="AL62" s="190">
        <v>8</v>
      </c>
      <c r="AM62" s="190">
        <v>0</v>
      </c>
      <c r="AN62" s="190">
        <v>0</v>
      </c>
      <c r="AO62" s="190">
        <v>0</v>
      </c>
      <c r="AP62" s="190">
        <v>858</v>
      </c>
      <c r="AQ62" s="190">
        <v>8843</v>
      </c>
      <c r="AR62" s="190">
        <v>9701</v>
      </c>
      <c r="AS62" s="190">
        <v>897</v>
      </c>
      <c r="AT62" s="190">
        <v>8803</v>
      </c>
      <c r="AU62" s="190">
        <v>9700</v>
      </c>
      <c r="AV62" s="190">
        <v>-39</v>
      </c>
      <c r="AW62" s="190">
        <v>40</v>
      </c>
      <c r="AX62" s="190">
        <v>1</v>
      </c>
      <c r="AY62" s="190">
        <v>63</v>
      </c>
      <c r="AZ62" s="190">
        <v>837</v>
      </c>
      <c r="BA62" s="190">
        <v>900</v>
      </c>
      <c r="BB62" s="190">
        <v>23</v>
      </c>
      <c r="BC62" s="190">
        <v>1</v>
      </c>
      <c r="BD62" s="190">
        <v>0</v>
      </c>
      <c r="BE62" s="190">
        <v>405</v>
      </c>
      <c r="BF62" s="190">
        <v>4</v>
      </c>
      <c r="BG62" s="190">
        <v>2</v>
      </c>
      <c r="BH62" s="190">
        <v>24</v>
      </c>
      <c r="BI62" s="190">
        <v>411</v>
      </c>
      <c r="BJ62" s="190">
        <v>435</v>
      </c>
      <c r="BK62" s="190">
        <v>-2</v>
      </c>
      <c r="BL62" s="190">
        <v>2</v>
      </c>
      <c r="BM62" s="190">
        <v>0</v>
      </c>
      <c r="BN62" s="190">
        <v>2</v>
      </c>
      <c r="BO62" s="190">
        <v>27</v>
      </c>
      <c r="BP62" s="190">
        <v>29</v>
      </c>
      <c r="BQ62" s="190">
        <v>5</v>
      </c>
      <c r="BR62" s="190">
        <v>47</v>
      </c>
      <c r="BS62" s="190">
        <v>52</v>
      </c>
      <c r="BT62" s="190">
        <v>34</v>
      </c>
      <c r="BU62" s="190">
        <v>350</v>
      </c>
      <c r="BV62" s="190">
        <v>384</v>
      </c>
      <c r="BW62" s="190">
        <v>921</v>
      </c>
      <c r="BX62" s="190">
        <v>9680</v>
      </c>
      <c r="BY62" s="190">
        <v>10601</v>
      </c>
      <c r="BZ62" s="190">
        <v>878</v>
      </c>
      <c r="CA62" s="190">
        <v>9464</v>
      </c>
      <c r="CB62" s="190">
        <v>10342</v>
      </c>
      <c r="CC62" s="190">
        <v>20163</v>
      </c>
      <c r="CD62" s="190">
        <v>15</v>
      </c>
      <c r="CE62" s="190">
        <v>282</v>
      </c>
      <c r="CF62" s="190">
        <v>42</v>
      </c>
      <c r="CG62" s="190">
        <v>159</v>
      </c>
      <c r="CH62" s="190">
        <v>201</v>
      </c>
      <c r="CI62" s="190">
        <v>77</v>
      </c>
      <c r="CJ62" s="190">
        <v>0</v>
      </c>
      <c r="CK62" s="190">
        <v>1</v>
      </c>
      <c r="CL62" s="190">
        <v>57</v>
      </c>
      <c r="CM62" s="190">
        <v>58</v>
      </c>
      <c r="CN62" s="190">
        <v>62</v>
      </c>
      <c r="CO62" s="190">
        <v>956</v>
      </c>
      <c r="CP62" s="190">
        <v>1018</v>
      </c>
      <c r="CQ62" s="190">
        <v>0</v>
      </c>
      <c r="CR62" s="190">
        <v>0</v>
      </c>
      <c r="CS62" s="190">
        <v>0</v>
      </c>
      <c r="CT62" s="190">
        <v>859</v>
      </c>
      <c r="CU62" s="190">
        <v>8724</v>
      </c>
      <c r="CV62" s="190">
        <v>9583</v>
      </c>
      <c r="CW62" s="190">
        <v>82</v>
      </c>
      <c r="CX62" s="190">
        <v>666</v>
      </c>
      <c r="CY62" s="190">
        <v>748</v>
      </c>
      <c r="CZ62" s="190">
        <v>77</v>
      </c>
      <c r="DA62" s="190">
        <v>3</v>
      </c>
      <c r="DB62" s="190">
        <v>0</v>
      </c>
      <c r="DC62" s="190">
        <v>550</v>
      </c>
      <c r="DD62" s="190">
        <v>8</v>
      </c>
      <c r="DE62" s="190">
        <v>1</v>
      </c>
      <c r="DF62" s="190">
        <v>80</v>
      </c>
      <c r="DG62" s="190">
        <v>559</v>
      </c>
      <c r="DH62" s="190">
        <v>639</v>
      </c>
      <c r="DI62" s="190">
        <v>2</v>
      </c>
      <c r="DJ62" s="190">
        <v>0</v>
      </c>
      <c r="DK62" s="190">
        <v>0</v>
      </c>
      <c r="DL62" s="190">
        <v>104</v>
      </c>
      <c r="DM62" s="190">
        <v>3</v>
      </c>
      <c r="DN62" s="190">
        <v>0</v>
      </c>
      <c r="DO62" s="190">
        <v>2</v>
      </c>
      <c r="DP62" s="190">
        <v>107</v>
      </c>
      <c r="DQ62" s="190">
        <v>109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560</v>
      </c>
      <c r="C63" s="195">
        <v>136</v>
      </c>
      <c r="D63" s="195">
        <v>558</v>
      </c>
      <c r="E63" s="195">
        <v>327</v>
      </c>
      <c r="F63" s="195">
        <v>0</v>
      </c>
      <c r="G63" s="195">
        <v>3</v>
      </c>
      <c r="H63" s="195">
        <v>3</v>
      </c>
      <c r="I63" s="195">
        <v>0</v>
      </c>
      <c r="J63" s="195">
        <v>217</v>
      </c>
      <c r="K63" s="195">
        <v>217</v>
      </c>
      <c r="L63" s="195">
        <v>0</v>
      </c>
      <c r="M63" s="195">
        <v>107</v>
      </c>
      <c r="N63" s="195">
        <v>107</v>
      </c>
      <c r="O63" s="195">
        <v>0</v>
      </c>
      <c r="P63" s="195">
        <v>110</v>
      </c>
      <c r="Q63" s="195">
        <v>110</v>
      </c>
      <c r="R63" s="195">
        <v>0</v>
      </c>
      <c r="S63" s="195">
        <v>10</v>
      </c>
      <c r="T63" s="195">
        <v>10</v>
      </c>
      <c r="U63" s="195">
        <v>0</v>
      </c>
      <c r="V63" s="195">
        <v>14</v>
      </c>
      <c r="W63" s="195">
        <v>14</v>
      </c>
      <c r="X63" s="195">
        <v>9</v>
      </c>
      <c r="Y63" s="195">
        <v>549</v>
      </c>
      <c r="Z63" s="195">
        <v>558</v>
      </c>
      <c r="AA63" s="195">
        <v>5</v>
      </c>
      <c r="AB63" s="195">
        <v>274</v>
      </c>
      <c r="AC63" s="195">
        <v>279</v>
      </c>
      <c r="AD63" s="195">
        <v>5</v>
      </c>
      <c r="AE63" s="195">
        <v>259</v>
      </c>
      <c r="AF63" s="195">
        <v>264</v>
      </c>
      <c r="AG63" s="195">
        <v>0</v>
      </c>
      <c r="AH63" s="195">
        <v>12</v>
      </c>
      <c r="AI63" s="195">
        <v>12</v>
      </c>
      <c r="AJ63" s="195">
        <v>0</v>
      </c>
      <c r="AK63" s="195">
        <v>3</v>
      </c>
      <c r="AL63" s="195">
        <v>3</v>
      </c>
      <c r="AM63" s="195">
        <v>4</v>
      </c>
      <c r="AN63" s="195">
        <v>275</v>
      </c>
      <c r="AO63" s="195">
        <v>279</v>
      </c>
      <c r="AP63" s="195">
        <v>743</v>
      </c>
      <c r="AQ63" s="195">
        <v>4952</v>
      </c>
      <c r="AR63" s="195">
        <v>5695</v>
      </c>
      <c r="AS63" s="195">
        <v>743</v>
      </c>
      <c r="AT63" s="195">
        <v>4952</v>
      </c>
      <c r="AU63" s="195">
        <v>5695</v>
      </c>
      <c r="AV63" s="195">
        <v>0</v>
      </c>
      <c r="AW63" s="195">
        <v>0</v>
      </c>
      <c r="AX63" s="195">
        <v>0</v>
      </c>
      <c r="AY63" s="195">
        <v>40</v>
      </c>
      <c r="AZ63" s="195">
        <v>590</v>
      </c>
      <c r="BA63" s="195">
        <v>630</v>
      </c>
      <c r="BB63" s="195">
        <v>10</v>
      </c>
      <c r="BC63" s="195">
        <v>0</v>
      </c>
      <c r="BD63" s="195">
        <v>0</v>
      </c>
      <c r="BE63" s="195">
        <v>315</v>
      </c>
      <c r="BF63" s="195">
        <v>1</v>
      </c>
      <c r="BG63" s="195">
        <v>1</v>
      </c>
      <c r="BH63" s="195">
        <v>10</v>
      </c>
      <c r="BI63" s="195">
        <v>317</v>
      </c>
      <c r="BJ63" s="195">
        <v>327</v>
      </c>
      <c r="BK63" s="195">
        <v>-1</v>
      </c>
      <c r="BL63" s="195">
        <v>1</v>
      </c>
      <c r="BM63" s="195">
        <v>0</v>
      </c>
      <c r="BN63" s="195">
        <v>5</v>
      </c>
      <c r="BO63" s="195">
        <v>24</v>
      </c>
      <c r="BP63" s="195">
        <v>29</v>
      </c>
      <c r="BQ63" s="195">
        <v>1</v>
      </c>
      <c r="BR63" s="195">
        <v>49</v>
      </c>
      <c r="BS63" s="195">
        <v>50</v>
      </c>
      <c r="BT63" s="195">
        <v>25</v>
      </c>
      <c r="BU63" s="195">
        <v>199</v>
      </c>
      <c r="BV63" s="195">
        <v>224</v>
      </c>
      <c r="BW63" s="195">
        <v>783</v>
      </c>
      <c r="BX63" s="195">
        <v>5542</v>
      </c>
      <c r="BY63" s="195">
        <v>6325</v>
      </c>
      <c r="BZ63" s="195">
        <v>777</v>
      </c>
      <c r="CA63" s="195">
        <v>5508</v>
      </c>
      <c r="CB63" s="195">
        <v>6285</v>
      </c>
      <c r="CC63" s="195">
        <v>13490</v>
      </c>
      <c r="CD63" s="195">
        <v>1</v>
      </c>
      <c r="CE63" s="195">
        <v>44</v>
      </c>
      <c r="CF63" s="195">
        <v>6</v>
      </c>
      <c r="CG63" s="195">
        <v>28</v>
      </c>
      <c r="CH63" s="195">
        <v>34</v>
      </c>
      <c r="CI63" s="195">
        <v>6</v>
      </c>
      <c r="CJ63" s="195">
        <v>0</v>
      </c>
      <c r="CK63" s="195">
        <v>0</v>
      </c>
      <c r="CL63" s="195">
        <v>6</v>
      </c>
      <c r="CM63" s="195">
        <v>6</v>
      </c>
      <c r="CN63" s="195">
        <v>29</v>
      </c>
      <c r="CO63" s="195">
        <v>584</v>
      </c>
      <c r="CP63" s="195">
        <v>613</v>
      </c>
      <c r="CQ63" s="195">
        <v>0</v>
      </c>
      <c r="CR63" s="195">
        <v>0</v>
      </c>
      <c r="CS63" s="195">
        <v>0</v>
      </c>
      <c r="CT63" s="195">
        <v>754</v>
      </c>
      <c r="CU63" s="195">
        <v>4958</v>
      </c>
      <c r="CV63" s="195">
        <v>5712</v>
      </c>
      <c r="CW63" s="195">
        <v>52</v>
      </c>
      <c r="CX63" s="195">
        <v>291</v>
      </c>
      <c r="CY63" s="195">
        <v>343</v>
      </c>
      <c r="CZ63" s="195">
        <v>51</v>
      </c>
      <c r="DA63" s="195">
        <v>0</v>
      </c>
      <c r="DB63" s="195">
        <v>0</v>
      </c>
      <c r="DC63" s="195">
        <v>278</v>
      </c>
      <c r="DD63" s="195">
        <v>0</v>
      </c>
      <c r="DE63" s="195">
        <v>0</v>
      </c>
      <c r="DF63" s="195">
        <v>51</v>
      </c>
      <c r="DG63" s="195">
        <v>278</v>
      </c>
      <c r="DH63" s="195">
        <v>329</v>
      </c>
      <c r="DI63" s="195">
        <v>1</v>
      </c>
      <c r="DJ63" s="195">
        <v>0</v>
      </c>
      <c r="DK63" s="195">
        <v>0</v>
      </c>
      <c r="DL63" s="195">
        <v>13</v>
      </c>
      <c r="DM63" s="195">
        <v>0</v>
      </c>
      <c r="DN63" s="195">
        <v>0</v>
      </c>
      <c r="DO63" s="195">
        <v>1</v>
      </c>
      <c r="DP63" s="195">
        <v>13</v>
      </c>
      <c r="DQ63" s="195">
        <v>14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208" t="s">
        <v>330</v>
      </c>
      <c r="B64" s="209">
        <f>SUBTOTAL(109,Aug16Data[Cell 1])</f>
        <v>157584</v>
      </c>
      <c r="C64" s="209">
        <f>SUBTOTAL(109,Aug16Data[Cell 2])</f>
        <v>39736</v>
      </c>
      <c r="D64" s="209">
        <f>SUBTOTAL(109,Aug16Data[Cell 3])</f>
        <v>147591</v>
      </c>
      <c r="E64" s="209">
        <f>SUBTOTAL(109,Aug16Data[Cell 4])</f>
        <v>97153</v>
      </c>
      <c r="F64" s="209">
        <f>SUBTOTAL(109,Aug16Data[Cell 5])</f>
        <v>323</v>
      </c>
      <c r="G64" s="209">
        <f>SUBTOTAL(109,Aug16Data[Cell 6])</f>
        <v>2283</v>
      </c>
      <c r="H64" s="209">
        <f>SUBTOTAL(109,Aug16Data[Cell 7])</f>
        <v>2606</v>
      </c>
      <c r="I64" s="209">
        <f>SUBTOTAL(109,Aug16Data[Cell 8])</f>
        <v>53</v>
      </c>
      <c r="J64" s="209">
        <f>SUBTOTAL(109,Aug16Data[Cell 9])</f>
        <v>44196</v>
      </c>
      <c r="K64" s="209">
        <f>SUBTOTAL(109,Aug16Data[Cell 10])</f>
        <v>44249</v>
      </c>
      <c r="L64" s="209">
        <f>SUBTOTAL(109,Aug16Data[Cell 11])</f>
        <v>35</v>
      </c>
      <c r="M64" s="209">
        <f>SUBTOTAL(109,Aug16Data[Cell 12])</f>
        <v>24993</v>
      </c>
      <c r="N64" s="209">
        <f>SUBTOTAL(109,Aug16Data[Cell 13])</f>
        <v>25028</v>
      </c>
      <c r="O64" s="209">
        <f>SUBTOTAL(109,Aug16Data[Cell 14])</f>
        <v>18</v>
      </c>
      <c r="P64" s="209">
        <f>SUBTOTAL(109,Aug16Data[Cell 15])</f>
        <v>19203</v>
      </c>
      <c r="Q64" s="209">
        <f>SUBTOTAL(109,Aug16Data[Cell 16])</f>
        <v>19221</v>
      </c>
      <c r="R64" s="209">
        <f>SUBTOTAL(109,Aug16Data[Cell 17])</f>
        <v>8</v>
      </c>
      <c r="S64" s="209">
        <f>SUBTOTAL(109,Aug16Data[Cell 18])</f>
        <v>2268</v>
      </c>
      <c r="T64" s="209">
        <f>SUBTOTAL(109,Aug16Data[Cell 19])</f>
        <v>2276</v>
      </c>
      <c r="U64" s="209">
        <f>SUBTOTAL(109,Aug16Data[Cell 20])</f>
        <v>0</v>
      </c>
      <c r="V64" s="209">
        <f>SUBTOTAL(109,Aug16Data[Cell 21])</f>
        <v>6189</v>
      </c>
      <c r="W64" s="209">
        <f>SUBTOTAL(109,Aug16Data[Cell 22])</f>
        <v>6189</v>
      </c>
      <c r="X64" s="209">
        <f>SUBTOTAL(109,Aug16Data[Cell 23])</f>
        <v>5170</v>
      </c>
      <c r="Y64" s="209">
        <f>SUBTOTAL(109,Aug16Data[Cell 24])</f>
        <v>126893</v>
      </c>
      <c r="Z64" s="209">
        <f>SUBTOTAL(109,Aug16Data[Cell 25])</f>
        <v>132063</v>
      </c>
      <c r="AA64" s="209">
        <f>SUBTOTAL(109,Aug16Data[Cell 26])</f>
        <v>3313</v>
      </c>
      <c r="AB64" s="209">
        <f>SUBTOTAL(109,Aug16Data[Cell 27])</f>
        <v>53250</v>
      </c>
      <c r="AC64" s="209">
        <f>SUBTOTAL(109,Aug16Data[Cell 28])</f>
        <v>56563</v>
      </c>
      <c r="AD64" s="209">
        <f>SUBTOTAL(109,Aug16Data[Cell 29])</f>
        <v>2671</v>
      </c>
      <c r="AE64" s="209">
        <f>SUBTOTAL(109,Aug16Data[Cell 30])</f>
        <v>48744</v>
      </c>
      <c r="AF64" s="209">
        <f>SUBTOTAL(109,Aug16Data[Cell 31])</f>
        <v>51415</v>
      </c>
      <c r="AG64" s="209">
        <f>SUBTOTAL(109,Aug16Data[Cell 32])</f>
        <v>193</v>
      </c>
      <c r="AH64" s="209">
        <f>SUBTOTAL(109,Aug16Data[Cell 33])</f>
        <v>2027</v>
      </c>
      <c r="AI64" s="209">
        <f>SUBTOTAL(109,Aug16Data[Cell 34])</f>
        <v>2220</v>
      </c>
      <c r="AJ64" s="209">
        <f>SUBTOTAL(109,Aug16Data[Cell 35])</f>
        <v>449</v>
      </c>
      <c r="AK64" s="209">
        <f>SUBTOTAL(109,Aug16Data[Cell 36])</f>
        <v>2479</v>
      </c>
      <c r="AL64" s="209">
        <f>SUBTOTAL(109,Aug16Data[Cell 37])</f>
        <v>2928</v>
      </c>
      <c r="AM64" s="209">
        <f>SUBTOTAL(109,Aug16Data[Cell 38])</f>
        <v>1857</v>
      </c>
      <c r="AN64" s="209">
        <f>SUBTOTAL(109,Aug16Data[Cell 39])</f>
        <v>73643</v>
      </c>
      <c r="AO64" s="209">
        <f>SUBTOTAL(109,Aug16Data[Cell 40])</f>
        <v>75500</v>
      </c>
      <c r="AP64" s="209">
        <f>SUBTOTAL(109,Aug16Data[Cell 41])</f>
        <v>244387</v>
      </c>
      <c r="AQ64" s="209">
        <f>SUBTOTAL(109,Aug16Data[Cell 42])</f>
        <v>1668063</v>
      </c>
      <c r="AR64" s="209">
        <f>SUBTOTAL(109,Aug16Data[Cell 43])</f>
        <v>1912450</v>
      </c>
      <c r="AS64" s="209">
        <f>SUBTOTAL(109,Aug16Data[Cell 44])</f>
        <v>245511</v>
      </c>
      <c r="AT64" s="209">
        <f>SUBTOTAL(109,Aug16Data[Cell 45])</f>
        <v>1659025</v>
      </c>
      <c r="AU64" s="209">
        <f>SUBTOTAL(109,Aug16Data[Cell 46])</f>
        <v>1904536</v>
      </c>
      <c r="AV64" s="209">
        <f>SUBTOTAL(109,Aug16Data[Cell 47])</f>
        <v>-1124</v>
      </c>
      <c r="AW64" s="209">
        <f>SUBTOTAL(109,Aug16Data[Cell 48])</f>
        <v>9038</v>
      </c>
      <c r="AX64" s="209">
        <f>SUBTOTAL(109,Aug16Data[Cell 49])</f>
        <v>7914</v>
      </c>
      <c r="AY64" s="209">
        <f>SUBTOTAL(109,Aug16Data[Cell 50])</f>
        <v>12840</v>
      </c>
      <c r="AZ64" s="209">
        <f>SUBTOTAL(109,Aug16Data[Cell 51])</f>
        <v>143433</v>
      </c>
      <c r="BA64" s="209">
        <f>SUBTOTAL(109,Aug16Data[Cell 52])</f>
        <v>156273</v>
      </c>
      <c r="BB64" s="209">
        <f>SUBTOTAL(109,Aug16Data[Cell 53])</f>
        <v>6534</v>
      </c>
      <c r="BC64" s="209">
        <f>SUBTOTAL(109,Aug16Data[Cell 54])</f>
        <v>121</v>
      </c>
      <c r="BD64" s="209">
        <f>SUBTOTAL(109,Aug16Data[Cell 55])</f>
        <v>7</v>
      </c>
      <c r="BE64" s="209">
        <f>SUBTOTAL(109,Aug16Data[Cell 56])</f>
        <v>88697</v>
      </c>
      <c r="BF64" s="209">
        <f>SUBTOTAL(109,Aug16Data[Cell 57])</f>
        <v>1047</v>
      </c>
      <c r="BG64" s="209">
        <f>SUBTOTAL(109,Aug16Data[Cell 58])</f>
        <v>747</v>
      </c>
      <c r="BH64" s="209">
        <f>SUBTOTAL(109,Aug16Data[Cell 59])</f>
        <v>6662</v>
      </c>
      <c r="BI64" s="209">
        <f>SUBTOTAL(109,Aug16Data[Cell 60])</f>
        <v>90491</v>
      </c>
      <c r="BJ64" s="209">
        <f>SUBTOTAL(109,Aug16Data[Cell 61])</f>
        <v>97153</v>
      </c>
      <c r="BK64" s="209">
        <f>SUBTOTAL(109,Aug16Data[Cell 62])</f>
        <v>-1370</v>
      </c>
      <c r="BL64" s="209">
        <f>SUBTOTAL(109,Aug16Data[Cell 63])</f>
        <v>1370</v>
      </c>
      <c r="BM64" s="209">
        <f>SUBTOTAL(109,Aug16Data[Cell 64])</f>
        <v>0</v>
      </c>
      <c r="BN64" s="209">
        <f>SUBTOTAL(109,Aug16Data[Cell 65])</f>
        <v>530</v>
      </c>
      <c r="BO64" s="209">
        <f>SUBTOTAL(109,Aug16Data[Cell 66])</f>
        <v>1924</v>
      </c>
      <c r="BP64" s="209">
        <f>SUBTOTAL(109,Aug16Data[Cell 67])</f>
        <v>2454</v>
      </c>
      <c r="BQ64" s="209">
        <f>SUBTOTAL(109,Aug16Data[Cell 68])</f>
        <v>927</v>
      </c>
      <c r="BR64" s="209">
        <f>SUBTOTAL(109,Aug16Data[Cell 69])</f>
        <v>9055</v>
      </c>
      <c r="BS64" s="209">
        <f>SUBTOTAL(109,Aug16Data[Cell 70])</f>
        <v>9982</v>
      </c>
      <c r="BT64" s="209">
        <f>SUBTOTAL(109,Aug16Data[Cell 71])</f>
        <v>6091</v>
      </c>
      <c r="BU64" s="209">
        <f>SUBTOTAL(109,Aug16Data[Cell 72])</f>
        <v>40593</v>
      </c>
      <c r="BV64" s="209">
        <f>SUBTOTAL(109,Aug16Data[Cell 73])</f>
        <v>46684</v>
      </c>
      <c r="BW64" s="209">
        <f>SUBTOTAL(109,Aug16Data[Cell 74])</f>
        <v>257227</v>
      </c>
      <c r="BX64" s="209">
        <f>SUBTOTAL(109,Aug16Data[Cell 75])</f>
        <v>1811496</v>
      </c>
      <c r="BY64" s="209">
        <f>SUBTOTAL(109,Aug16Data[Cell 76])</f>
        <v>2068723</v>
      </c>
      <c r="BZ64" s="209">
        <f>SUBTOTAL(109,Aug16Data[Cell 77])</f>
        <v>252394</v>
      </c>
      <c r="CA64" s="209">
        <f>SUBTOTAL(109,Aug16Data[Cell 78])</f>
        <v>1780575</v>
      </c>
      <c r="CB64" s="209">
        <f>SUBTOTAL(109,Aug16Data[Cell 79])</f>
        <v>2032969</v>
      </c>
      <c r="CC64" s="209">
        <f>SUBTOTAL(109,Aug16Data[Cell 80])</f>
        <v>4239982</v>
      </c>
      <c r="CD64" s="209">
        <f>SUBTOTAL(109,Aug16Data[Cell 81])</f>
        <v>3005</v>
      </c>
      <c r="CE64" s="209">
        <f>SUBTOTAL(109,Aug16Data[Cell 82])</f>
        <v>30116</v>
      </c>
      <c r="CF64" s="209">
        <f>SUBTOTAL(109,Aug16Data[Cell 83])</f>
        <v>4709</v>
      </c>
      <c r="CG64" s="209">
        <f>SUBTOTAL(109,Aug16Data[Cell 84])</f>
        <v>20409</v>
      </c>
      <c r="CH64" s="209">
        <f>SUBTOTAL(109,Aug16Data[Cell 85])</f>
        <v>25118</v>
      </c>
      <c r="CI64" s="209">
        <f>SUBTOTAL(109,Aug16Data[Cell 86])</f>
        <v>12941</v>
      </c>
      <c r="CJ64" s="209">
        <f>SUBTOTAL(109,Aug16Data[Cell 87])</f>
        <v>1164</v>
      </c>
      <c r="CK64" s="209">
        <f>SUBTOTAL(109,Aug16Data[Cell 88])</f>
        <v>124</v>
      </c>
      <c r="CL64" s="209">
        <f>SUBTOTAL(109,Aug16Data[Cell 89])</f>
        <v>10512</v>
      </c>
      <c r="CM64" s="209">
        <f>SUBTOTAL(109,Aug16Data[Cell 90])</f>
        <v>10636</v>
      </c>
      <c r="CN64" s="209">
        <f>SUBTOTAL(109,Aug16Data[Cell 91])</f>
        <v>15403</v>
      </c>
      <c r="CO64" s="209">
        <f>SUBTOTAL(109,Aug16Data[Cell 92])</f>
        <v>169165</v>
      </c>
      <c r="CP64" s="209">
        <f>SUBTOTAL(109,Aug16Data[Cell 93])</f>
        <v>184568</v>
      </c>
      <c r="CQ64" s="209">
        <f>SUBTOTAL(109,Aug16Data[Cell 94])</f>
        <v>96</v>
      </c>
      <c r="CR64" s="209">
        <f>SUBTOTAL(109,Aug16Data[Cell 95])</f>
        <v>653</v>
      </c>
      <c r="CS64" s="209">
        <f>SUBTOTAL(109,Aug16Data[Cell 96])</f>
        <v>749</v>
      </c>
      <c r="CT64" s="209">
        <f>SUBTOTAL(109,Aug16Data[Cell 97])</f>
        <v>241824</v>
      </c>
      <c r="CU64" s="209">
        <f>SUBTOTAL(109,Aug16Data[Cell 98])</f>
        <v>1642331</v>
      </c>
      <c r="CV64" s="209">
        <f>SUBTOTAL(109,Aug16Data[Cell 99])</f>
        <v>1884155</v>
      </c>
      <c r="CW64" s="209">
        <f>SUBTOTAL(109,Aug16Data[Cell 100])</f>
        <v>17580</v>
      </c>
      <c r="CX64" s="209">
        <f>SUBTOTAL(109,Aug16Data[Cell 101])</f>
        <v>84826</v>
      </c>
      <c r="CY64" s="209">
        <f>SUBTOTAL(109,Aug16Data[Cell 102])</f>
        <v>102406</v>
      </c>
      <c r="CZ64" s="209">
        <f>SUBTOTAL(109,Aug16Data[Cell 103])</f>
        <v>16841</v>
      </c>
      <c r="DA64" s="209">
        <f>SUBTOTAL(109,Aug16Data[Cell 104])</f>
        <v>358</v>
      </c>
      <c r="DB64" s="209">
        <f>SUBTOTAL(109,Aug16Data[Cell 105])</f>
        <v>7</v>
      </c>
      <c r="DC64" s="209">
        <f>SUBTOTAL(109,Aug16Data[Cell 106])</f>
        <v>78303</v>
      </c>
      <c r="DD64" s="209">
        <f>SUBTOTAL(109,Aug16Data[Cell 107])</f>
        <v>1126</v>
      </c>
      <c r="DE64" s="209">
        <f>SUBTOTAL(109,Aug16Data[Cell 108])</f>
        <v>320</v>
      </c>
      <c r="DF64" s="209">
        <f>SUBTOTAL(109,Aug16Data[Cell 109])</f>
        <v>17206</v>
      </c>
      <c r="DG64" s="209">
        <f>SUBTOTAL(109,Aug16Data[Cell 110])</f>
        <v>79749</v>
      </c>
      <c r="DH64" s="209">
        <f>SUBTOTAL(109,Aug16Data[Cell 111])</f>
        <v>96955</v>
      </c>
      <c r="DI64" s="209">
        <f>SUBTOTAL(109,Aug16Data[Cell 112])</f>
        <v>368</v>
      </c>
      <c r="DJ64" s="209">
        <f>SUBTOTAL(109,Aug16Data[Cell 113])</f>
        <v>6</v>
      </c>
      <c r="DK64" s="209">
        <f>SUBTOTAL(109,Aug16Data[Cell 114])</f>
        <v>0</v>
      </c>
      <c r="DL64" s="209">
        <f>SUBTOTAL(109,Aug16Data[Cell 115])</f>
        <v>4938</v>
      </c>
      <c r="DM64" s="209">
        <f>SUBTOTAL(109,Aug16Data[Cell 116])</f>
        <v>112</v>
      </c>
      <c r="DN64" s="209">
        <f>SUBTOTAL(109,Aug16Data[Cell 117])</f>
        <v>27</v>
      </c>
      <c r="DO64" s="209">
        <f>SUBTOTAL(109,Aug16Data[Cell 118])</f>
        <v>374</v>
      </c>
      <c r="DP64" s="209">
        <f>SUBTOTAL(109,Aug16Data[Cell 119])</f>
        <v>5077</v>
      </c>
      <c r="DQ64" s="209">
        <f>SUBTOTAL(109,Aug16Data[Cell 120])</f>
        <v>5451</v>
      </c>
      <c r="DR64" s="209">
        <f>SUBTOTAL(109,Aug16Data[Cell 121])</f>
        <v>17</v>
      </c>
      <c r="DS64" s="209">
        <f>SUBTOTAL(109,Aug16Data[Cell 122])</f>
        <v>73</v>
      </c>
      <c r="DT64" s="209">
        <f>SUBTOTAL(109,Aug16Data[Cell 123])</f>
        <v>90</v>
      </c>
      <c r="DU64" s="210"/>
      <c r="DV64" s="200">
        <v>26867879</v>
      </c>
      <c r="DX64" s="192"/>
      <c r="DY64" s="192"/>
    </row>
  </sheetData>
  <conditionalFormatting sqref="B7:DT63">
    <cfRule type="containsBlanks" dxfId="1533" priority="2">
      <formula>LEN(TRIM(B7))=0</formula>
    </cfRule>
  </conditionalFormatting>
  <conditionalFormatting sqref="B6:DT6">
    <cfRule type="containsBlanks" dxfId="1389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335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138693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34288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140300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91043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283</v>
      </c>
      <c r="T13" s="63">
        <v>6</v>
      </c>
      <c r="U13" s="64">
        <v>2285</v>
      </c>
      <c r="V13" s="84">
        <v>7</v>
      </c>
      <c r="W13" s="85">
        <v>2568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47</v>
      </c>
      <c r="T14" s="88">
        <v>9</v>
      </c>
      <c r="U14" s="89">
        <v>43590</v>
      </c>
      <c r="V14" s="88">
        <v>10</v>
      </c>
      <c r="W14" s="90">
        <v>43637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29</v>
      </c>
      <c r="T15" s="71">
        <v>12</v>
      </c>
      <c r="U15" s="64">
        <v>24443</v>
      </c>
      <c r="V15" s="88">
        <v>13</v>
      </c>
      <c r="W15" s="90">
        <v>24472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18</v>
      </c>
      <c r="T16" s="71">
        <v>15</v>
      </c>
      <c r="U16" s="64">
        <v>19147</v>
      </c>
      <c r="V16" s="88">
        <v>16</v>
      </c>
      <c r="W16" s="90">
        <v>19165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9</v>
      </c>
      <c r="T17" s="71">
        <v>18</v>
      </c>
      <c r="U17" s="64">
        <v>2142</v>
      </c>
      <c r="V17" s="88">
        <v>19</v>
      </c>
      <c r="W17" s="90">
        <v>2151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0</v>
      </c>
      <c r="T18" s="82">
        <v>21</v>
      </c>
      <c r="U18" s="64">
        <v>5620</v>
      </c>
      <c r="V18" s="88">
        <v>22</v>
      </c>
      <c r="W18" s="90">
        <v>5620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5181</v>
      </c>
      <c r="T20" s="98">
        <v>24</v>
      </c>
      <c r="U20" s="89">
        <v>118725</v>
      </c>
      <c r="V20" s="84">
        <v>25</v>
      </c>
      <c r="W20" s="89">
        <v>123906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3332</v>
      </c>
      <c r="T21" s="76">
        <v>27</v>
      </c>
      <c r="U21" s="77">
        <v>48031</v>
      </c>
      <c r="V21" s="88">
        <v>28</v>
      </c>
      <c r="W21" s="77">
        <v>51363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2752</v>
      </c>
      <c r="T22" s="71">
        <v>30</v>
      </c>
      <c r="U22" s="64">
        <v>44395</v>
      </c>
      <c r="V22" s="88">
        <v>31</v>
      </c>
      <c r="W22" s="90">
        <v>47147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188</v>
      </c>
      <c r="T23" s="71">
        <v>33</v>
      </c>
      <c r="U23" s="64">
        <v>1638</v>
      </c>
      <c r="V23" s="88">
        <v>34</v>
      </c>
      <c r="W23" s="90">
        <v>1826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392</v>
      </c>
      <c r="T24" s="71">
        <v>36</v>
      </c>
      <c r="U24" s="64">
        <v>1998</v>
      </c>
      <c r="V24" s="88">
        <v>37</v>
      </c>
      <c r="W24" s="90">
        <v>2390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1849</v>
      </c>
      <c r="T25" s="82">
        <v>39</v>
      </c>
      <c r="U25" s="64">
        <v>70694</v>
      </c>
      <c r="V25" s="88">
        <v>40</v>
      </c>
      <c r="W25" s="90">
        <v>72543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243375</v>
      </c>
      <c r="T27" s="63">
        <v>42</v>
      </c>
      <c r="U27" s="64">
        <v>1650439</v>
      </c>
      <c r="V27" s="84">
        <v>43</v>
      </c>
      <c r="W27" s="85">
        <v>1893814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241824</v>
      </c>
      <c r="T28" s="71">
        <v>45</v>
      </c>
      <c r="U28" s="64">
        <v>1642331</v>
      </c>
      <c r="V28" s="88">
        <v>46</v>
      </c>
      <c r="W28" s="90">
        <v>1884155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1551</v>
      </c>
      <c r="T29" s="76">
        <v>48</v>
      </c>
      <c r="U29" s="108">
        <v>8108</v>
      </c>
      <c r="V29" s="88">
        <v>49</v>
      </c>
      <c r="W29" s="109">
        <v>9659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12907</v>
      </c>
      <c r="T30" s="88">
        <v>51</v>
      </c>
      <c r="U30" s="110">
        <v>142389</v>
      </c>
      <c r="V30" s="88">
        <v>52</v>
      </c>
      <c r="W30" s="90">
        <v>155296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6654</v>
      </c>
      <c r="H33" s="122">
        <v>54</v>
      </c>
      <c r="I33" s="64">
        <v>132</v>
      </c>
      <c r="J33" s="122">
        <v>55</v>
      </c>
      <c r="K33" s="64">
        <v>22</v>
      </c>
      <c r="L33" s="122">
        <v>56</v>
      </c>
      <c r="M33" s="64">
        <v>82576</v>
      </c>
      <c r="N33" s="122">
        <v>57</v>
      </c>
      <c r="O33" s="64">
        <v>998</v>
      </c>
      <c r="P33" s="122">
        <v>58</v>
      </c>
      <c r="Q33" s="64">
        <v>661</v>
      </c>
      <c r="R33" s="76">
        <v>59</v>
      </c>
      <c r="S33" s="123">
        <v>6808</v>
      </c>
      <c r="T33" s="124">
        <v>60</v>
      </c>
      <c r="U33" s="123">
        <v>84235</v>
      </c>
      <c r="V33" s="88">
        <v>61</v>
      </c>
      <c r="W33" s="90">
        <v>91043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-2409</v>
      </c>
      <c r="T34" s="126">
        <v>63</v>
      </c>
      <c r="U34" s="64">
        <v>2409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539</v>
      </c>
      <c r="T35" s="126">
        <v>66</v>
      </c>
      <c r="U35" s="64">
        <v>2039</v>
      </c>
      <c r="V35" s="88">
        <v>67</v>
      </c>
      <c r="W35" s="90">
        <v>2578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905</v>
      </c>
      <c r="T36" s="126">
        <v>69</v>
      </c>
      <c r="U36" s="64">
        <v>9822</v>
      </c>
      <c r="V36" s="88">
        <v>70</v>
      </c>
      <c r="W36" s="90">
        <v>10727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7064</v>
      </c>
      <c r="T37" s="126">
        <v>72</v>
      </c>
      <c r="U37" s="64">
        <v>43884</v>
      </c>
      <c r="V37" s="88">
        <v>73</v>
      </c>
      <c r="W37" s="90">
        <v>50948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256282</v>
      </c>
      <c r="T39" s="124">
        <v>75</v>
      </c>
      <c r="U39" s="123">
        <v>1792828</v>
      </c>
      <c r="V39" s="88">
        <v>76</v>
      </c>
      <c r="W39" s="90">
        <v>2049110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251497</v>
      </c>
      <c r="T40" s="132">
        <v>78</v>
      </c>
      <c r="U40" s="64">
        <v>1762360</v>
      </c>
      <c r="V40" s="88">
        <v>79</v>
      </c>
      <c r="W40" s="90">
        <v>2013857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4212879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2666</v>
      </c>
      <c r="P43" s="134">
        <v>82</v>
      </c>
      <c r="Q43" s="64">
        <v>29731</v>
      </c>
      <c r="R43" s="71">
        <v>83</v>
      </c>
      <c r="S43" s="64">
        <v>4644</v>
      </c>
      <c r="T43" s="71">
        <v>84</v>
      </c>
      <c r="U43" s="64">
        <v>20135</v>
      </c>
      <c r="V43" s="76">
        <v>85</v>
      </c>
      <c r="W43" s="135">
        <v>24779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12812</v>
      </c>
      <c r="P44" s="136">
        <v>87</v>
      </c>
      <c r="Q44" s="64">
        <v>1151</v>
      </c>
      <c r="R44" s="71">
        <v>88</v>
      </c>
      <c r="S44" s="64">
        <v>141</v>
      </c>
      <c r="T44" s="71">
        <v>89</v>
      </c>
      <c r="U44" s="64">
        <v>10333</v>
      </c>
      <c r="V44" s="76">
        <v>90</v>
      </c>
      <c r="W44" s="135">
        <v>10474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15098</v>
      </c>
      <c r="T45" s="71">
        <v>92</v>
      </c>
      <c r="U45" s="64">
        <v>164615</v>
      </c>
      <c r="V45" s="76">
        <v>93</v>
      </c>
      <c r="W45" s="135">
        <v>179713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51</v>
      </c>
      <c r="T46" s="71">
        <v>95</v>
      </c>
      <c r="U46" s="64">
        <v>482</v>
      </c>
      <c r="V46" s="76">
        <v>96</v>
      </c>
      <c r="W46" s="135">
        <v>533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241184</v>
      </c>
      <c r="T47" s="141">
        <v>98</v>
      </c>
      <c r="U47" s="143">
        <v>1628213</v>
      </c>
      <c r="V47" s="88">
        <v>99</v>
      </c>
      <c r="W47" s="90">
        <v>1869397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16937</v>
      </c>
      <c r="T49" s="144">
        <v>101</v>
      </c>
      <c r="U49" s="145">
        <v>79117</v>
      </c>
      <c r="V49" s="98">
        <v>102</v>
      </c>
      <c r="W49" s="146">
        <v>96054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16265</v>
      </c>
      <c r="H52" s="122">
        <v>104</v>
      </c>
      <c r="I52" s="64">
        <v>337</v>
      </c>
      <c r="J52" s="122">
        <v>105</v>
      </c>
      <c r="K52" s="64">
        <v>7</v>
      </c>
      <c r="L52" s="122">
        <v>106</v>
      </c>
      <c r="M52" s="64">
        <v>73095</v>
      </c>
      <c r="N52" s="122">
        <v>107</v>
      </c>
      <c r="O52" s="64">
        <v>1072</v>
      </c>
      <c r="P52" s="122">
        <v>108</v>
      </c>
      <c r="Q52" s="64">
        <v>309</v>
      </c>
      <c r="R52" s="155">
        <v>109</v>
      </c>
      <c r="S52" s="156">
        <v>16609</v>
      </c>
      <c r="T52" s="155">
        <v>110</v>
      </c>
      <c r="U52" s="156">
        <v>74476</v>
      </c>
      <c r="V52" s="76">
        <v>111</v>
      </c>
      <c r="W52" s="135">
        <v>91085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316</v>
      </c>
      <c r="H53" s="122">
        <v>113</v>
      </c>
      <c r="I53" s="64">
        <v>10</v>
      </c>
      <c r="J53" s="122">
        <v>114</v>
      </c>
      <c r="K53" s="64">
        <v>2</v>
      </c>
      <c r="L53" s="122">
        <v>115</v>
      </c>
      <c r="M53" s="64">
        <v>4501</v>
      </c>
      <c r="N53" s="122">
        <v>116</v>
      </c>
      <c r="O53" s="64">
        <v>111</v>
      </c>
      <c r="P53" s="122">
        <v>117</v>
      </c>
      <c r="Q53" s="64">
        <v>29</v>
      </c>
      <c r="R53" s="155">
        <v>118</v>
      </c>
      <c r="S53" s="156">
        <v>328</v>
      </c>
      <c r="T53" s="155">
        <v>119</v>
      </c>
      <c r="U53" s="156">
        <v>4641</v>
      </c>
      <c r="V53" s="76">
        <v>120</v>
      </c>
      <c r="W53" s="135">
        <v>4969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20</v>
      </c>
      <c r="T54" s="162">
        <v>122</v>
      </c>
      <c r="U54" s="64">
        <v>102</v>
      </c>
      <c r="V54" s="76">
        <v>123</v>
      </c>
      <c r="W54" s="135">
        <v>122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361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26520862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337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335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1"/>
    </row>
    <row r="7" spans="1:129">
      <c r="A7" s="189" t="s">
        <v>272</v>
      </c>
      <c r="B7" s="190">
        <v>3</v>
      </c>
      <c r="C7" s="190">
        <v>0</v>
      </c>
      <c r="D7" s="190">
        <v>4</v>
      </c>
      <c r="E7" s="190">
        <v>2</v>
      </c>
      <c r="F7" s="190">
        <v>0</v>
      </c>
      <c r="G7" s="190">
        <v>0</v>
      </c>
      <c r="H7" s="190">
        <v>0</v>
      </c>
      <c r="I7" s="190">
        <v>0</v>
      </c>
      <c r="J7" s="190">
        <v>2</v>
      </c>
      <c r="K7" s="190">
        <v>2</v>
      </c>
      <c r="L7" s="190">
        <v>0</v>
      </c>
      <c r="M7" s="190">
        <v>0</v>
      </c>
      <c r="N7" s="190">
        <v>0</v>
      </c>
      <c r="O7" s="190">
        <v>0</v>
      </c>
      <c r="P7" s="190">
        <v>2</v>
      </c>
      <c r="Q7" s="190">
        <v>2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4</v>
      </c>
      <c r="Z7" s="190">
        <v>4</v>
      </c>
      <c r="AA7" s="190">
        <v>0</v>
      </c>
      <c r="AB7" s="190">
        <v>1</v>
      </c>
      <c r="AC7" s="190">
        <v>1</v>
      </c>
      <c r="AD7" s="190">
        <v>0</v>
      </c>
      <c r="AE7" s="190">
        <v>1</v>
      </c>
      <c r="AF7" s="190">
        <v>1</v>
      </c>
      <c r="AG7" s="190">
        <v>0</v>
      </c>
      <c r="AH7" s="190">
        <v>0</v>
      </c>
      <c r="AI7" s="190">
        <v>0</v>
      </c>
      <c r="AJ7" s="190">
        <v>0</v>
      </c>
      <c r="AK7" s="190">
        <v>0</v>
      </c>
      <c r="AL7" s="190">
        <v>0</v>
      </c>
      <c r="AM7" s="190">
        <v>0</v>
      </c>
      <c r="AN7" s="190">
        <v>3</v>
      </c>
      <c r="AO7" s="190">
        <v>3</v>
      </c>
      <c r="AP7" s="190">
        <v>1</v>
      </c>
      <c r="AQ7" s="190">
        <v>87</v>
      </c>
      <c r="AR7" s="190">
        <v>88</v>
      </c>
      <c r="AS7" s="190">
        <v>1</v>
      </c>
      <c r="AT7" s="190">
        <v>87</v>
      </c>
      <c r="AU7" s="190">
        <v>88</v>
      </c>
      <c r="AV7" s="190">
        <v>0</v>
      </c>
      <c r="AW7" s="190">
        <v>0</v>
      </c>
      <c r="AX7" s="190">
        <v>0</v>
      </c>
      <c r="AY7" s="190">
        <v>-1</v>
      </c>
      <c r="AZ7" s="190">
        <v>3</v>
      </c>
      <c r="BA7" s="190">
        <v>2</v>
      </c>
      <c r="BB7" s="190">
        <v>0</v>
      </c>
      <c r="BC7" s="190">
        <v>0</v>
      </c>
      <c r="BD7" s="190">
        <v>0</v>
      </c>
      <c r="BE7" s="190">
        <v>2</v>
      </c>
      <c r="BF7" s="190">
        <v>0</v>
      </c>
      <c r="BG7" s="190">
        <v>0</v>
      </c>
      <c r="BH7" s="190">
        <v>0</v>
      </c>
      <c r="BI7" s="190">
        <v>2</v>
      </c>
      <c r="BJ7" s="190">
        <v>2</v>
      </c>
      <c r="BK7" s="190">
        <v>-1</v>
      </c>
      <c r="BL7" s="190">
        <v>1</v>
      </c>
      <c r="BM7" s="190">
        <v>0</v>
      </c>
      <c r="BN7" s="190">
        <v>0</v>
      </c>
      <c r="BO7" s="190">
        <v>0</v>
      </c>
      <c r="BP7" s="190">
        <v>0</v>
      </c>
      <c r="BQ7" s="190">
        <v>0</v>
      </c>
      <c r="BR7" s="190">
        <v>0</v>
      </c>
      <c r="BS7" s="190">
        <v>0</v>
      </c>
      <c r="BT7" s="190">
        <v>0</v>
      </c>
      <c r="BU7" s="190">
        <v>0</v>
      </c>
      <c r="BV7" s="190">
        <v>0</v>
      </c>
      <c r="BW7" s="190">
        <v>0</v>
      </c>
      <c r="BX7" s="190">
        <v>90</v>
      </c>
      <c r="BY7" s="190">
        <v>90</v>
      </c>
      <c r="BZ7" s="190">
        <v>0</v>
      </c>
      <c r="CA7" s="190">
        <v>90</v>
      </c>
      <c r="CB7" s="190">
        <v>90</v>
      </c>
      <c r="CC7" s="190">
        <v>147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7</v>
      </c>
      <c r="CP7" s="190">
        <v>7</v>
      </c>
      <c r="CQ7" s="190">
        <v>0</v>
      </c>
      <c r="CR7" s="190">
        <v>0</v>
      </c>
      <c r="CS7" s="190">
        <v>0</v>
      </c>
      <c r="CT7" s="190">
        <v>0</v>
      </c>
      <c r="CU7" s="190">
        <v>83</v>
      </c>
      <c r="CV7" s="190">
        <v>83</v>
      </c>
      <c r="CW7" s="190">
        <v>0</v>
      </c>
      <c r="CX7" s="190">
        <v>4</v>
      </c>
      <c r="CY7" s="190">
        <v>4</v>
      </c>
      <c r="CZ7" s="190">
        <v>0</v>
      </c>
      <c r="DA7" s="190">
        <v>0</v>
      </c>
      <c r="DB7" s="190">
        <v>0</v>
      </c>
      <c r="DC7" s="190">
        <v>4</v>
      </c>
      <c r="DD7" s="190">
        <v>0</v>
      </c>
      <c r="DE7" s="190">
        <v>0</v>
      </c>
      <c r="DF7" s="190">
        <v>0</v>
      </c>
      <c r="DG7" s="190">
        <v>4</v>
      </c>
      <c r="DH7" s="190">
        <v>4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 ht="15.75">
      <c r="A8" s="189" t="s">
        <v>336</v>
      </c>
      <c r="B8" s="190">
        <v>134</v>
      </c>
      <c r="C8" s="190">
        <v>20</v>
      </c>
      <c r="D8" s="190">
        <v>126</v>
      </c>
      <c r="E8" s="190">
        <v>81</v>
      </c>
      <c r="F8" s="190">
        <v>0</v>
      </c>
      <c r="G8" s="190">
        <v>2</v>
      </c>
      <c r="H8" s="190">
        <v>2</v>
      </c>
      <c r="I8" s="190">
        <v>0</v>
      </c>
      <c r="J8" s="190">
        <v>40</v>
      </c>
      <c r="K8" s="190">
        <v>40</v>
      </c>
      <c r="L8" s="190">
        <v>0</v>
      </c>
      <c r="M8" s="190">
        <v>16</v>
      </c>
      <c r="N8" s="190">
        <v>16</v>
      </c>
      <c r="O8" s="190">
        <v>0</v>
      </c>
      <c r="P8" s="190">
        <v>24</v>
      </c>
      <c r="Q8" s="190">
        <v>24</v>
      </c>
      <c r="R8" s="190">
        <v>0</v>
      </c>
      <c r="S8" s="190">
        <v>0</v>
      </c>
      <c r="T8" s="190">
        <v>0</v>
      </c>
      <c r="U8" s="190">
        <v>0</v>
      </c>
      <c r="V8" s="190">
        <v>5</v>
      </c>
      <c r="W8" s="190">
        <v>5</v>
      </c>
      <c r="X8" s="190">
        <v>1</v>
      </c>
      <c r="Y8" s="190">
        <v>125</v>
      </c>
      <c r="Z8" s="190">
        <v>126</v>
      </c>
      <c r="AA8" s="190">
        <v>1</v>
      </c>
      <c r="AB8" s="190">
        <v>54</v>
      </c>
      <c r="AC8" s="190">
        <v>55</v>
      </c>
      <c r="AD8" s="190">
        <v>1</v>
      </c>
      <c r="AE8" s="190">
        <v>47</v>
      </c>
      <c r="AF8" s="190">
        <v>48</v>
      </c>
      <c r="AG8" s="190">
        <v>0</v>
      </c>
      <c r="AH8" s="190">
        <v>5</v>
      </c>
      <c r="AI8" s="190">
        <v>5</v>
      </c>
      <c r="AJ8" s="190">
        <v>0</v>
      </c>
      <c r="AK8" s="190">
        <v>2</v>
      </c>
      <c r="AL8" s="190">
        <v>2</v>
      </c>
      <c r="AM8" s="190">
        <v>0</v>
      </c>
      <c r="AN8" s="190">
        <v>71</v>
      </c>
      <c r="AO8" s="190">
        <v>71</v>
      </c>
      <c r="AP8" s="190">
        <v>144</v>
      </c>
      <c r="AQ8" s="190">
        <v>1496</v>
      </c>
      <c r="AR8" s="190">
        <v>1640</v>
      </c>
      <c r="AS8" s="190">
        <v>144</v>
      </c>
      <c r="AT8" s="190">
        <v>1495</v>
      </c>
      <c r="AU8" s="190">
        <v>1639</v>
      </c>
      <c r="AV8" s="190">
        <v>0</v>
      </c>
      <c r="AW8" s="190">
        <v>1</v>
      </c>
      <c r="AX8" s="190">
        <v>1</v>
      </c>
      <c r="AY8" s="190">
        <v>3</v>
      </c>
      <c r="AZ8" s="190">
        <v>125</v>
      </c>
      <c r="BA8" s="190">
        <v>128</v>
      </c>
      <c r="BB8" s="190">
        <v>2</v>
      </c>
      <c r="BC8" s="190">
        <v>0</v>
      </c>
      <c r="BD8" s="190">
        <v>0</v>
      </c>
      <c r="BE8" s="190">
        <v>78</v>
      </c>
      <c r="BF8" s="190">
        <v>0</v>
      </c>
      <c r="BG8" s="190">
        <v>1</v>
      </c>
      <c r="BH8" s="190">
        <v>2</v>
      </c>
      <c r="BI8" s="190">
        <v>79</v>
      </c>
      <c r="BJ8" s="190">
        <v>81</v>
      </c>
      <c r="BK8" s="190">
        <v>-3</v>
      </c>
      <c r="BL8" s="190">
        <v>3</v>
      </c>
      <c r="BM8" s="190">
        <v>0</v>
      </c>
      <c r="BN8" s="190">
        <v>1</v>
      </c>
      <c r="BO8" s="190">
        <v>10</v>
      </c>
      <c r="BP8" s="190">
        <v>11</v>
      </c>
      <c r="BQ8" s="190">
        <v>1</v>
      </c>
      <c r="BR8" s="190">
        <v>9</v>
      </c>
      <c r="BS8" s="190">
        <v>10</v>
      </c>
      <c r="BT8" s="190">
        <v>2</v>
      </c>
      <c r="BU8" s="190">
        <v>24</v>
      </c>
      <c r="BV8" s="190">
        <v>26</v>
      </c>
      <c r="BW8" s="190">
        <v>147</v>
      </c>
      <c r="BX8" s="190">
        <v>1621</v>
      </c>
      <c r="BY8" s="190">
        <v>1768</v>
      </c>
      <c r="BZ8" s="190">
        <v>147</v>
      </c>
      <c r="CA8" s="190">
        <v>1618</v>
      </c>
      <c r="CB8" s="190">
        <v>1765</v>
      </c>
      <c r="CC8" s="190">
        <v>3334</v>
      </c>
      <c r="CD8" s="190">
        <v>0</v>
      </c>
      <c r="CE8" s="190">
        <v>1</v>
      </c>
      <c r="CF8" s="190">
        <v>0</v>
      </c>
      <c r="CG8" s="190">
        <v>1</v>
      </c>
      <c r="CH8" s="190">
        <v>1</v>
      </c>
      <c r="CI8" s="190">
        <v>2</v>
      </c>
      <c r="CJ8" s="190">
        <v>0</v>
      </c>
      <c r="CK8" s="190">
        <v>0</v>
      </c>
      <c r="CL8" s="190">
        <v>2</v>
      </c>
      <c r="CM8" s="190">
        <v>2</v>
      </c>
      <c r="CN8" s="190">
        <v>10</v>
      </c>
      <c r="CO8" s="190">
        <v>131</v>
      </c>
      <c r="CP8" s="190">
        <v>141</v>
      </c>
      <c r="CQ8" s="190">
        <v>0</v>
      </c>
      <c r="CR8" s="190">
        <v>0</v>
      </c>
      <c r="CS8" s="190">
        <v>0</v>
      </c>
      <c r="CT8" s="190">
        <v>137</v>
      </c>
      <c r="CU8" s="190">
        <v>1490</v>
      </c>
      <c r="CV8" s="190">
        <v>1627</v>
      </c>
      <c r="CW8" s="190">
        <v>10</v>
      </c>
      <c r="CX8" s="190">
        <v>84</v>
      </c>
      <c r="CY8" s="190">
        <v>94</v>
      </c>
      <c r="CZ8" s="190">
        <v>10</v>
      </c>
      <c r="DA8" s="190">
        <v>0</v>
      </c>
      <c r="DB8" s="190">
        <v>0</v>
      </c>
      <c r="DC8" s="190">
        <v>80</v>
      </c>
      <c r="DD8" s="190">
        <v>0</v>
      </c>
      <c r="DE8" s="190">
        <v>0</v>
      </c>
      <c r="DF8" s="190">
        <v>10</v>
      </c>
      <c r="DG8" s="190">
        <v>80</v>
      </c>
      <c r="DH8" s="190">
        <v>90</v>
      </c>
      <c r="DI8" s="190">
        <v>0</v>
      </c>
      <c r="DJ8" s="190">
        <v>0</v>
      </c>
      <c r="DK8" s="190">
        <v>0</v>
      </c>
      <c r="DL8" s="190">
        <v>4</v>
      </c>
      <c r="DM8" s="190">
        <v>0</v>
      </c>
      <c r="DN8" s="190">
        <v>0</v>
      </c>
      <c r="DO8" s="190">
        <v>0</v>
      </c>
      <c r="DP8" s="190">
        <v>4</v>
      </c>
      <c r="DQ8" s="190">
        <v>4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1655</v>
      </c>
      <c r="C9" s="190">
        <v>656</v>
      </c>
      <c r="D9" s="190">
        <v>1771</v>
      </c>
      <c r="E9" s="190">
        <v>918</v>
      </c>
      <c r="F9" s="190">
        <v>2</v>
      </c>
      <c r="G9" s="190">
        <v>168</v>
      </c>
      <c r="H9" s="190">
        <v>170</v>
      </c>
      <c r="I9" s="190">
        <v>2</v>
      </c>
      <c r="J9" s="190">
        <v>739</v>
      </c>
      <c r="K9" s="190">
        <v>741</v>
      </c>
      <c r="L9" s="190">
        <v>2</v>
      </c>
      <c r="M9" s="190">
        <v>281</v>
      </c>
      <c r="N9" s="190">
        <v>283</v>
      </c>
      <c r="O9" s="190">
        <v>0</v>
      </c>
      <c r="P9" s="190">
        <v>458</v>
      </c>
      <c r="Q9" s="190">
        <v>458</v>
      </c>
      <c r="R9" s="190">
        <v>1</v>
      </c>
      <c r="S9" s="190">
        <v>53</v>
      </c>
      <c r="T9" s="190">
        <v>54</v>
      </c>
      <c r="U9" s="190">
        <v>0</v>
      </c>
      <c r="V9" s="190">
        <v>112</v>
      </c>
      <c r="W9" s="190">
        <v>112</v>
      </c>
      <c r="X9" s="190">
        <v>35</v>
      </c>
      <c r="Y9" s="190">
        <v>1736</v>
      </c>
      <c r="Z9" s="190">
        <v>1771</v>
      </c>
      <c r="AA9" s="190">
        <v>18</v>
      </c>
      <c r="AB9" s="190">
        <v>598</v>
      </c>
      <c r="AC9" s="190">
        <v>616</v>
      </c>
      <c r="AD9" s="190">
        <v>17</v>
      </c>
      <c r="AE9" s="190">
        <v>564</v>
      </c>
      <c r="AF9" s="190">
        <v>581</v>
      </c>
      <c r="AG9" s="190">
        <v>0</v>
      </c>
      <c r="AH9" s="190">
        <v>19</v>
      </c>
      <c r="AI9" s="190">
        <v>19</v>
      </c>
      <c r="AJ9" s="190">
        <v>1</v>
      </c>
      <c r="AK9" s="190">
        <v>15</v>
      </c>
      <c r="AL9" s="190">
        <v>16</v>
      </c>
      <c r="AM9" s="190">
        <v>17</v>
      </c>
      <c r="AN9" s="190">
        <v>1138</v>
      </c>
      <c r="AO9" s="190">
        <v>1155</v>
      </c>
      <c r="AP9" s="190">
        <v>1671</v>
      </c>
      <c r="AQ9" s="190">
        <v>13941</v>
      </c>
      <c r="AR9" s="190">
        <v>15612</v>
      </c>
      <c r="AS9" s="190">
        <v>1671</v>
      </c>
      <c r="AT9" s="190">
        <v>13941</v>
      </c>
      <c r="AU9" s="190">
        <v>15612</v>
      </c>
      <c r="AV9" s="190">
        <v>0</v>
      </c>
      <c r="AW9" s="190">
        <v>0</v>
      </c>
      <c r="AX9" s="190">
        <v>0</v>
      </c>
      <c r="AY9" s="190">
        <v>84</v>
      </c>
      <c r="AZ9" s="190">
        <v>1496</v>
      </c>
      <c r="BA9" s="190">
        <v>1580</v>
      </c>
      <c r="BB9" s="190">
        <v>40</v>
      </c>
      <c r="BC9" s="190">
        <v>0</v>
      </c>
      <c r="BD9" s="190">
        <v>0</v>
      </c>
      <c r="BE9" s="190">
        <v>876</v>
      </c>
      <c r="BF9" s="190">
        <v>1</v>
      </c>
      <c r="BG9" s="190">
        <v>1</v>
      </c>
      <c r="BH9" s="190">
        <v>40</v>
      </c>
      <c r="BI9" s="190">
        <v>878</v>
      </c>
      <c r="BJ9" s="190">
        <v>918</v>
      </c>
      <c r="BK9" s="190">
        <v>-10</v>
      </c>
      <c r="BL9" s="190">
        <v>10</v>
      </c>
      <c r="BM9" s="190">
        <v>0</v>
      </c>
      <c r="BN9" s="190">
        <v>6</v>
      </c>
      <c r="BO9" s="190">
        <v>36</v>
      </c>
      <c r="BP9" s="190">
        <v>42</v>
      </c>
      <c r="BQ9" s="190">
        <v>7</v>
      </c>
      <c r="BR9" s="190">
        <v>174</v>
      </c>
      <c r="BS9" s="190">
        <v>181</v>
      </c>
      <c r="BT9" s="190">
        <v>41</v>
      </c>
      <c r="BU9" s="190">
        <v>398</v>
      </c>
      <c r="BV9" s="190">
        <v>439</v>
      </c>
      <c r="BW9" s="190">
        <v>1755</v>
      </c>
      <c r="BX9" s="190">
        <v>15437</v>
      </c>
      <c r="BY9" s="190">
        <v>17192</v>
      </c>
      <c r="BZ9" s="190">
        <v>1745</v>
      </c>
      <c r="CA9" s="190">
        <v>15364</v>
      </c>
      <c r="CB9" s="190">
        <v>17109</v>
      </c>
      <c r="CC9" s="190">
        <v>32273</v>
      </c>
      <c r="CD9" s="190">
        <v>5</v>
      </c>
      <c r="CE9" s="190">
        <v>47</v>
      </c>
      <c r="CF9" s="190">
        <v>9</v>
      </c>
      <c r="CG9" s="190">
        <v>41</v>
      </c>
      <c r="CH9" s="190">
        <v>50</v>
      </c>
      <c r="CI9" s="190">
        <v>34</v>
      </c>
      <c r="CJ9" s="190">
        <v>5</v>
      </c>
      <c r="CK9" s="190">
        <v>1</v>
      </c>
      <c r="CL9" s="190">
        <v>32</v>
      </c>
      <c r="CM9" s="190">
        <v>33</v>
      </c>
      <c r="CN9" s="190">
        <v>111</v>
      </c>
      <c r="CO9" s="190">
        <v>1449</v>
      </c>
      <c r="CP9" s="190">
        <v>1560</v>
      </c>
      <c r="CQ9" s="190">
        <v>0</v>
      </c>
      <c r="CR9" s="190">
        <v>0</v>
      </c>
      <c r="CS9" s="190">
        <v>0</v>
      </c>
      <c r="CT9" s="190">
        <v>1644</v>
      </c>
      <c r="CU9" s="190">
        <v>13988</v>
      </c>
      <c r="CV9" s="190">
        <v>15632</v>
      </c>
      <c r="CW9" s="190">
        <v>110</v>
      </c>
      <c r="CX9" s="190">
        <v>640</v>
      </c>
      <c r="CY9" s="190">
        <v>750</v>
      </c>
      <c r="CZ9" s="190">
        <v>109</v>
      </c>
      <c r="DA9" s="190">
        <v>1</v>
      </c>
      <c r="DB9" s="190">
        <v>0</v>
      </c>
      <c r="DC9" s="190">
        <v>627</v>
      </c>
      <c r="DD9" s="190">
        <v>2</v>
      </c>
      <c r="DE9" s="190">
        <v>1</v>
      </c>
      <c r="DF9" s="190">
        <v>110</v>
      </c>
      <c r="DG9" s="190">
        <v>630</v>
      </c>
      <c r="DH9" s="190">
        <v>740</v>
      </c>
      <c r="DI9" s="190">
        <v>0</v>
      </c>
      <c r="DJ9" s="190">
        <v>0</v>
      </c>
      <c r="DK9" s="190">
        <v>0</v>
      </c>
      <c r="DL9" s="190">
        <v>10</v>
      </c>
      <c r="DM9" s="190">
        <v>0</v>
      </c>
      <c r="DN9" s="190">
        <v>0</v>
      </c>
      <c r="DO9" s="190">
        <v>0</v>
      </c>
      <c r="DP9" s="190">
        <v>10</v>
      </c>
      <c r="DQ9" s="190">
        <v>10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175</v>
      </c>
      <c r="C10" s="190">
        <v>29</v>
      </c>
      <c r="D10" s="190">
        <v>161</v>
      </c>
      <c r="E10" s="190">
        <v>119</v>
      </c>
      <c r="F10" s="190">
        <v>0</v>
      </c>
      <c r="G10" s="190">
        <v>3</v>
      </c>
      <c r="H10" s="190">
        <v>3</v>
      </c>
      <c r="I10" s="190">
        <v>0</v>
      </c>
      <c r="J10" s="190">
        <v>35</v>
      </c>
      <c r="K10" s="190">
        <v>35</v>
      </c>
      <c r="L10" s="190">
        <v>0</v>
      </c>
      <c r="M10" s="190">
        <v>15</v>
      </c>
      <c r="N10" s="190">
        <v>15</v>
      </c>
      <c r="O10" s="190">
        <v>0</v>
      </c>
      <c r="P10" s="190">
        <v>20</v>
      </c>
      <c r="Q10" s="190">
        <v>20</v>
      </c>
      <c r="R10" s="190">
        <v>0</v>
      </c>
      <c r="S10" s="190">
        <v>0</v>
      </c>
      <c r="T10" s="190">
        <v>0</v>
      </c>
      <c r="U10" s="190">
        <v>0</v>
      </c>
      <c r="V10" s="190">
        <v>7</v>
      </c>
      <c r="W10" s="190">
        <v>7</v>
      </c>
      <c r="X10" s="190">
        <v>5</v>
      </c>
      <c r="Y10" s="190">
        <v>156</v>
      </c>
      <c r="Z10" s="190">
        <v>161</v>
      </c>
      <c r="AA10" s="190">
        <v>2</v>
      </c>
      <c r="AB10" s="190">
        <v>67</v>
      </c>
      <c r="AC10" s="190">
        <v>69</v>
      </c>
      <c r="AD10" s="190">
        <v>1</v>
      </c>
      <c r="AE10" s="190">
        <v>59</v>
      </c>
      <c r="AF10" s="190">
        <v>60</v>
      </c>
      <c r="AG10" s="190">
        <v>1</v>
      </c>
      <c r="AH10" s="190">
        <v>3</v>
      </c>
      <c r="AI10" s="190">
        <v>4</v>
      </c>
      <c r="AJ10" s="190">
        <v>0</v>
      </c>
      <c r="AK10" s="190">
        <v>5</v>
      </c>
      <c r="AL10" s="190">
        <v>5</v>
      </c>
      <c r="AM10" s="190">
        <v>3</v>
      </c>
      <c r="AN10" s="190">
        <v>89</v>
      </c>
      <c r="AO10" s="190">
        <v>92</v>
      </c>
      <c r="AP10" s="190">
        <v>188</v>
      </c>
      <c r="AQ10" s="190">
        <v>2464</v>
      </c>
      <c r="AR10" s="190">
        <v>2652</v>
      </c>
      <c r="AS10" s="190">
        <v>188</v>
      </c>
      <c r="AT10" s="190">
        <v>2464</v>
      </c>
      <c r="AU10" s="190">
        <v>2652</v>
      </c>
      <c r="AV10" s="190">
        <v>0</v>
      </c>
      <c r="AW10" s="190">
        <v>0</v>
      </c>
      <c r="AX10" s="190">
        <v>0</v>
      </c>
      <c r="AY10" s="190">
        <v>9</v>
      </c>
      <c r="AZ10" s="190">
        <v>222</v>
      </c>
      <c r="BA10" s="190">
        <v>231</v>
      </c>
      <c r="BB10" s="190">
        <v>3</v>
      </c>
      <c r="BC10" s="190">
        <v>0</v>
      </c>
      <c r="BD10" s="190">
        <v>0</v>
      </c>
      <c r="BE10" s="190">
        <v>115</v>
      </c>
      <c r="BF10" s="190">
        <v>1</v>
      </c>
      <c r="BG10" s="190">
        <v>0</v>
      </c>
      <c r="BH10" s="190">
        <v>3</v>
      </c>
      <c r="BI10" s="190">
        <v>116</v>
      </c>
      <c r="BJ10" s="190">
        <v>119</v>
      </c>
      <c r="BK10" s="190">
        <v>-4</v>
      </c>
      <c r="BL10" s="190">
        <v>4</v>
      </c>
      <c r="BM10" s="190">
        <v>0</v>
      </c>
      <c r="BN10" s="190">
        <v>3</v>
      </c>
      <c r="BO10" s="190">
        <v>19</v>
      </c>
      <c r="BP10" s="190">
        <v>22</v>
      </c>
      <c r="BQ10" s="190">
        <v>2</v>
      </c>
      <c r="BR10" s="190">
        <v>26</v>
      </c>
      <c r="BS10" s="190">
        <v>28</v>
      </c>
      <c r="BT10" s="190">
        <v>5</v>
      </c>
      <c r="BU10" s="190">
        <v>57</v>
      </c>
      <c r="BV10" s="190">
        <v>62</v>
      </c>
      <c r="BW10" s="190">
        <v>197</v>
      </c>
      <c r="BX10" s="190">
        <v>2686</v>
      </c>
      <c r="BY10" s="190">
        <v>2883</v>
      </c>
      <c r="BZ10" s="190">
        <v>197</v>
      </c>
      <c r="CA10" s="190">
        <v>2674</v>
      </c>
      <c r="CB10" s="190">
        <v>2871</v>
      </c>
      <c r="CC10" s="190">
        <v>5282</v>
      </c>
      <c r="CD10" s="190">
        <v>0</v>
      </c>
      <c r="CE10" s="190">
        <v>11</v>
      </c>
      <c r="CF10" s="190">
        <v>0</v>
      </c>
      <c r="CG10" s="190">
        <v>8</v>
      </c>
      <c r="CH10" s="190">
        <v>8</v>
      </c>
      <c r="CI10" s="190">
        <v>6</v>
      </c>
      <c r="CJ10" s="190">
        <v>0</v>
      </c>
      <c r="CK10" s="190">
        <v>0</v>
      </c>
      <c r="CL10" s="190">
        <v>4</v>
      </c>
      <c r="CM10" s="190">
        <v>4</v>
      </c>
      <c r="CN10" s="190">
        <v>15</v>
      </c>
      <c r="CO10" s="190">
        <v>218</v>
      </c>
      <c r="CP10" s="190">
        <v>233</v>
      </c>
      <c r="CQ10" s="190">
        <v>0</v>
      </c>
      <c r="CR10" s="190">
        <v>0</v>
      </c>
      <c r="CS10" s="190">
        <v>0</v>
      </c>
      <c r="CT10" s="190">
        <v>182</v>
      </c>
      <c r="CU10" s="190">
        <v>2468</v>
      </c>
      <c r="CV10" s="190">
        <v>2650</v>
      </c>
      <c r="CW10" s="190">
        <v>11</v>
      </c>
      <c r="CX10" s="190">
        <v>105</v>
      </c>
      <c r="CY10" s="190">
        <v>116</v>
      </c>
      <c r="CZ10" s="190">
        <v>11</v>
      </c>
      <c r="DA10" s="190">
        <v>0</v>
      </c>
      <c r="DB10" s="190">
        <v>0</v>
      </c>
      <c r="DC10" s="190">
        <v>104</v>
      </c>
      <c r="DD10" s="190">
        <v>0</v>
      </c>
      <c r="DE10" s="190">
        <v>0</v>
      </c>
      <c r="DF10" s="190">
        <v>11</v>
      </c>
      <c r="DG10" s="190">
        <v>104</v>
      </c>
      <c r="DH10" s="190">
        <v>115</v>
      </c>
      <c r="DI10" s="190">
        <v>0</v>
      </c>
      <c r="DJ10" s="190">
        <v>0</v>
      </c>
      <c r="DK10" s="190">
        <v>0</v>
      </c>
      <c r="DL10" s="190">
        <v>1</v>
      </c>
      <c r="DM10" s="190">
        <v>0</v>
      </c>
      <c r="DN10" s="190">
        <v>0</v>
      </c>
      <c r="DO10" s="190">
        <v>0</v>
      </c>
      <c r="DP10" s="190">
        <v>1</v>
      </c>
      <c r="DQ10" s="190">
        <v>1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52</v>
      </c>
      <c r="C11" s="190">
        <v>4</v>
      </c>
      <c r="D11" s="190">
        <v>51</v>
      </c>
      <c r="E11" s="190">
        <v>27</v>
      </c>
      <c r="F11" s="190">
        <v>0</v>
      </c>
      <c r="G11" s="190">
        <v>5</v>
      </c>
      <c r="H11" s="190">
        <v>5</v>
      </c>
      <c r="I11" s="190">
        <v>0</v>
      </c>
      <c r="J11" s="190">
        <v>19</v>
      </c>
      <c r="K11" s="190">
        <v>19</v>
      </c>
      <c r="L11" s="190">
        <v>0</v>
      </c>
      <c r="M11" s="190">
        <v>9</v>
      </c>
      <c r="N11" s="190">
        <v>9</v>
      </c>
      <c r="O11" s="190">
        <v>0</v>
      </c>
      <c r="P11" s="190">
        <v>10</v>
      </c>
      <c r="Q11" s="190">
        <v>10</v>
      </c>
      <c r="R11" s="190">
        <v>0</v>
      </c>
      <c r="S11" s="190">
        <v>2</v>
      </c>
      <c r="T11" s="190">
        <v>2</v>
      </c>
      <c r="U11" s="190">
        <v>0</v>
      </c>
      <c r="V11" s="190">
        <v>5</v>
      </c>
      <c r="W11" s="190">
        <v>5</v>
      </c>
      <c r="X11" s="190">
        <v>1</v>
      </c>
      <c r="Y11" s="190">
        <v>50</v>
      </c>
      <c r="Z11" s="190">
        <v>51</v>
      </c>
      <c r="AA11" s="190">
        <v>1</v>
      </c>
      <c r="AB11" s="190">
        <v>14</v>
      </c>
      <c r="AC11" s="190">
        <v>15</v>
      </c>
      <c r="AD11" s="190">
        <v>1</v>
      </c>
      <c r="AE11" s="190">
        <v>14</v>
      </c>
      <c r="AF11" s="190">
        <v>15</v>
      </c>
      <c r="AG11" s="190">
        <v>0</v>
      </c>
      <c r="AH11" s="190">
        <v>0</v>
      </c>
      <c r="AI11" s="190">
        <v>0</v>
      </c>
      <c r="AJ11" s="190">
        <v>0</v>
      </c>
      <c r="AK11" s="190">
        <v>0</v>
      </c>
      <c r="AL11" s="190">
        <v>0</v>
      </c>
      <c r="AM11" s="190">
        <v>0</v>
      </c>
      <c r="AN11" s="190">
        <v>36</v>
      </c>
      <c r="AO11" s="190">
        <v>36</v>
      </c>
      <c r="AP11" s="190">
        <v>65</v>
      </c>
      <c r="AQ11" s="190">
        <v>532</v>
      </c>
      <c r="AR11" s="190">
        <v>597</v>
      </c>
      <c r="AS11" s="190">
        <v>65</v>
      </c>
      <c r="AT11" s="190">
        <v>532</v>
      </c>
      <c r="AU11" s="190">
        <v>597</v>
      </c>
      <c r="AV11" s="190">
        <v>0</v>
      </c>
      <c r="AW11" s="190">
        <v>0</v>
      </c>
      <c r="AX11" s="190">
        <v>0</v>
      </c>
      <c r="AY11" s="190">
        <v>6</v>
      </c>
      <c r="AZ11" s="190">
        <v>52</v>
      </c>
      <c r="BA11" s="190">
        <v>58</v>
      </c>
      <c r="BB11" s="190">
        <v>2</v>
      </c>
      <c r="BC11" s="190">
        <v>0</v>
      </c>
      <c r="BD11" s="190">
        <v>0</v>
      </c>
      <c r="BE11" s="190">
        <v>23</v>
      </c>
      <c r="BF11" s="190">
        <v>0</v>
      </c>
      <c r="BG11" s="190">
        <v>2</v>
      </c>
      <c r="BH11" s="190">
        <v>2</v>
      </c>
      <c r="BI11" s="190">
        <v>25</v>
      </c>
      <c r="BJ11" s="190">
        <v>27</v>
      </c>
      <c r="BK11" s="190">
        <v>1</v>
      </c>
      <c r="BL11" s="190">
        <v>-1</v>
      </c>
      <c r="BM11" s="190">
        <v>0</v>
      </c>
      <c r="BN11" s="190">
        <v>0</v>
      </c>
      <c r="BO11" s="190">
        <v>2</v>
      </c>
      <c r="BP11" s="190">
        <v>2</v>
      </c>
      <c r="BQ11" s="190">
        <v>1</v>
      </c>
      <c r="BR11" s="190">
        <v>7</v>
      </c>
      <c r="BS11" s="190">
        <v>8</v>
      </c>
      <c r="BT11" s="190">
        <v>2</v>
      </c>
      <c r="BU11" s="190">
        <v>19</v>
      </c>
      <c r="BV11" s="190">
        <v>21</v>
      </c>
      <c r="BW11" s="190">
        <v>71</v>
      </c>
      <c r="BX11" s="190">
        <v>584</v>
      </c>
      <c r="BY11" s="190">
        <v>655</v>
      </c>
      <c r="BZ11" s="190">
        <v>70</v>
      </c>
      <c r="CA11" s="190">
        <v>580</v>
      </c>
      <c r="CB11" s="190">
        <v>650</v>
      </c>
      <c r="CC11" s="190">
        <v>1487</v>
      </c>
      <c r="CD11" s="190">
        <v>0</v>
      </c>
      <c r="CE11" s="190">
        <v>4</v>
      </c>
      <c r="CF11" s="190">
        <v>1</v>
      </c>
      <c r="CG11" s="190">
        <v>2</v>
      </c>
      <c r="CH11" s="190">
        <v>3</v>
      </c>
      <c r="CI11" s="190">
        <v>1</v>
      </c>
      <c r="CJ11" s="190">
        <v>1</v>
      </c>
      <c r="CK11" s="190">
        <v>0</v>
      </c>
      <c r="CL11" s="190">
        <v>2</v>
      </c>
      <c r="CM11" s="190">
        <v>2</v>
      </c>
      <c r="CN11" s="190">
        <v>10</v>
      </c>
      <c r="CO11" s="190">
        <v>53</v>
      </c>
      <c r="CP11" s="190">
        <v>63</v>
      </c>
      <c r="CQ11" s="190">
        <v>0</v>
      </c>
      <c r="CR11" s="190">
        <v>0</v>
      </c>
      <c r="CS11" s="190">
        <v>0</v>
      </c>
      <c r="CT11" s="190">
        <v>61</v>
      </c>
      <c r="CU11" s="190">
        <v>531</v>
      </c>
      <c r="CV11" s="190">
        <v>592</v>
      </c>
      <c r="CW11" s="190">
        <v>3</v>
      </c>
      <c r="CX11" s="190">
        <v>22</v>
      </c>
      <c r="CY11" s="190">
        <v>25</v>
      </c>
      <c r="CZ11" s="190">
        <v>3</v>
      </c>
      <c r="DA11" s="190">
        <v>0</v>
      </c>
      <c r="DB11" s="190">
        <v>0</v>
      </c>
      <c r="DC11" s="190">
        <v>22</v>
      </c>
      <c r="DD11" s="190">
        <v>0</v>
      </c>
      <c r="DE11" s="190">
        <v>0</v>
      </c>
      <c r="DF11" s="190">
        <v>3</v>
      </c>
      <c r="DG11" s="190">
        <v>22</v>
      </c>
      <c r="DH11" s="190">
        <v>25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2362</v>
      </c>
      <c r="C12" s="190">
        <v>684</v>
      </c>
      <c r="D12" s="190">
        <v>2022</v>
      </c>
      <c r="E12" s="190">
        <v>1084</v>
      </c>
      <c r="F12" s="190">
        <v>11</v>
      </c>
      <c r="G12" s="190">
        <v>77</v>
      </c>
      <c r="H12" s="190">
        <v>88</v>
      </c>
      <c r="I12" s="190">
        <v>1</v>
      </c>
      <c r="J12" s="190">
        <v>848</v>
      </c>
      <c r="K12" s="190">
        <v>849</v>
      </c>
      <c r="L12" s="190">
        <v>1</v>
      </c>
      <c r="M12" s="190">
        <v>837</v>
      </c>
      <c r="N12" s="190">
        <v>838</v>
      </c>
      <c r="O12" s="190">
        <v>0</v>
      </c>
      <c r="P12" s="190">
        <v>11</v>
      </c>
      <c r="Q12" s="190">
        <v>11</v>
      </c>
      <c r="R12" s="190">
        <v>0</v>
      </c>
      <c r="S12" s="190">
        <v>51</v>
      </c>
      <c r="T12" s="190">
        <v>51</v>
      </c>
      <c r="U12" s="190">
        <v>0</v>
      </c>
      <c r="V12" s="190">
        <v>89</v>
      </c>
      <c r="W12" s="190">
        <v>89</v>
      </c>
      <c r="X12" s="190">
        <v>32</v>
      </c>
      <c r="Y12" s="190">
        <v>1145</v>
      </c>
      <c r="Z12" s="190">
        <v>1177</v>
      </c>
      <c r="AA12" s="190">
        <v>20</v>
      </c>
      <c r="AB12" s="190">
        <v>413</v>
      </c>
      <c r="AC12" s="190">
        <v>433</v>
      </c>
      <c r="AD12" s="190">
        <v>19</v>
      </c>
      <c r="AE12" s="190">
        <v>408</v>
      </c>
      <c r="AF12" s="190">
        <v>427</v>
      </c>
      <c r="AG12" s="190">
        <v>1</v>
      </c>
      <c r="AH12" s="190">
        <v>5</v>
      </c>
      <c r="AI12" s="190">
        <v>6</v>
      </c>
      <c r="AJ12" s="190">
        <v>0</v>
      </c>
      <c r="AK12" s="190">
        <v>0</v>
      </c>
      <c r="AL12" s="190">
        <v>0</v>
      </c>
      <c r="AM12" s="190">
        <v>12</v>
      </c>
      <c r="AN12" s="190">
        <v>732</v>
      </c>
      <c r="AO12" s="190">
        <v>744</v>
      </c>
      <c r="AP12" s="190">
        <v>3893</v>
      </c>
      <c r="AQ12" s="190">
        <v>26962</v>
      </c>
      <c r="AR12" s="190">
        <v>30855</v>
      </c>
      <c r="AS12" s="190">
        <v>3870</v>
      </c>
      <c r="AT12" s="190">
        <v>26675</v>
      </c>
      <c r="AU12" s="190">
        <v>30545</v>
      </c>
      <c r="AV12" s="190">
        <v>23</v>
      </c>
      <c r="AW12" s="190">
        <v>287</v>
      </c>
      <c r="AX12" s="190">
        <v>310</v>
      </c>
      <c r="AY12" s="190">
        <v>140</v>
      </c>
      <c r="AZ12" s="190">
        <v>2698</v>
      </c>
      <c r="BA12" s="190">
        <v>2838</v>
      </c>
      <c r="BB12" s="190">
        <v>86</v>
      </c>
      <c r="BC12" s="190">
        <v>2</v>
      </c>
      <c r="BD12" s="190">
        <v>0</v>
      </c>
      <c r="BE12" s="190">
        <v>981</v>
      </c>
      <c r="BF12" s="190">
        <v>7</v>
      </c>
      <c r="BG12" s="190">
        <v>8</v>
      </c>
      <c r="BH12" s="190">
        <v>88</v>
      </c>
      <c r="BI12" s="190">
        <v>996</v>
      </c>
      <c r="BJ12" s="190">
        <v>1084</v>
      </c>
      <c r="BK12" s="190">
        <v>-101</v>
      </c>
      <c r="BL12" s="190">
        <v>101</v>
      </c>
      <c r="BM12" s="190">
        <v>0</v>
      </c>
      <c r="BN12" s="190">
        <v>16</v>
      </c>
      <c r="BO12" s="190">
        <v>93</v>
      </c>
      <c r="BP12" s="190">
        <v>109</v>
      </c>
      <c r="BQ12" s="190">
        <v>14</v>
      </c>
      <c r="BR12" s="190">
        <v>42</v>
      </c>
      <c r="BS12" s="190">
        <v>56</v>
      </c>
      <c r="BT12" s="190">
        <v>123</v>
      </c>
      <c r="BU12" s="190">
        <v>1466</v>
      </c>
      <c r="BV12" s="190">
        <v>1589</v>
      </c>
      <c r="BW12" s="190">
        <v>4033</v>
      </c>
      <c r="BX12" s="190">
        <v>29660</v>
      </c>
      <c r="BY12" s="190">
        <v>33693</v>
      </c>
      <c r="BZ12" s="190">
        <v>3936</v>
      </c>
      <c r="CA12" s="190">
        <v>29142</v>
      </c>
      <c r="CB12" s="190">
        <v>33078</v>
      </c>
      <c r="CC12" s="190">
        <v>67418</v>
      </c>
      <c r="CD12" s="190">
        <v>37</v>
      </c>
      <c r="CE12" s="190">
        <v>615</v>
      </c>
      <c r="CF12" s="190">
        <v>96</v>
      </c>
      <c r="CG12" s="190">
        <v>371</v>
      </c>
      <c r="CH12" s="190">
        <v>467</v>
      </c>
      <c r="CI12" s="190">
        <v>187</v>
      </c>
      <c r="CJ12" s="190">
        <v>13</v>
      </c>
      <c r="CK12" s="190">
        <v>1</v>
      </c>
      <c r="CL12" s="190">
        <v>147</v>
      </c>
      <c r="CM12" s="190">
        <v>148</v>
      </c>
      <c r="CN12" s="190">
        <v>218</v>
      </c>
      <c r="CO12" s="190">
        <v>3275</v>
      </c>
      <c r="CP12" s="190">
        <v>3493</v>
      </c>
      <c r="CQ12" s="190">
        <v>0</v>
      </c>
      <c r="CR12" s="190">
        <v>0</v>
      </c>
      <c r="CS12" s="190">
        <v>0</v>
      </c>
      <c r="CT12" s="190">
        <v>3815</v>
      </c>
      <c r="CU12" s="190">
        <v>26385</v>
      </c>
      <c r="CV12" s="190">
        <v>30200</v>
      </c>
      <c r="CW12" s="190">
        <v>280</v>
      </c>
      <c r="CX12" s="190">
        <v>1460</v>
      </c>
      <c r="CY12" s="190">
        <v>1740</v>
      </c>
      <c r="CZ12" s="190">
        <v>267</v>
      </c>
      <c r="DA12" s="190">
        <v>8</v>
      </c>
      <c r="DB12" s="190">
        <v>0</v>
      </c>
      <c r="DC12" s="190">
        <v>1384</v>
      </c>
      <c r="DD12" s="190">
        <v>22</v>
      </c>
      <c r="DE12" s="190">
        <v>5</v>
      </c>
      <c r="DF12" s="190">
        <v>275</v>
      </c>
      <c r="DG12" s="190">
        <v>1411</v>
      </c>
      <c r="DH12" s="190">
        <v>1686</v>
      </c>
      <c r="DI12" s="190">
        <v>5</v>
      </c>
      <c r="DJ12" s="190">
        <v>0</v>
      </c>
      <c r="DK12" s="190">
        <v>0</v>
      </c>
      <c r="DL12" s="190">
        <v>45</v>
      </c>
      <c r="DM12" s="190">
        <v>2</v>
      </c>
      <c r="DN12" s="190">
        <v>2</v>
      </c>
      <c r="DO12" s="190">
        <v>5</v>
      </c>
      <c r="DP12" s="190">
        <v>49</v>
      </c>
      <c r="DQ12" s="190">
        <v>54</v>
      </c>
      <c r="DR12" s="190">
        <v>5</v>
      </c>
      <c r="DS12" s="190">
        <v>4</v>
      </c>
      <c r="DT12" s="191">
        <v>9</v>
      </c>
    </row>
    <row r="13" spans="1:129">
      <c r="A13" s="189" t="s">
        <v>278</v>
      </c>
      <c r="B13" s="190">
        <v>197</v>
      </c>
      <c r="C13" s="190">
        <v>14</v>
      </c>
      <c r="D13" s="190">
        <v>200</v>
      </c>
      <c r="E13" s="190">
        <v>102</v>
      </c>
      <c r="F13" s="190">
        <v>0</v>
      </c>
      <c r="G13" s="190">
        <v>0</v>
      </c>
      <c r="H13" s="190">
        <v>0</v>
      </c>
      <c r="I13" s="190">
        <v>0</v>
      </c>
      <c r="J13" s="190">
        <v>87</v>
      </c>
      <c r="K13" s="190">
        <v>87</v>
      </c>
      <c r="L13" s="190">
        <v>0</v>
      </c>
      <c r="M13" s="190">
        <v>46</v>
      </c>
      <c r="N13" s="190">
        <v>46</v>
      </c>
      <c r="O13" s="190">
        <v>0</v>
      </c>
      <c r="P13" s="190">
        <v>41</v>
      </c>
      <c r="Q13" s="190">
        <v>41</v>
      </c>
      <c r="R13" s="190">
        <v>0</v>
      </c>
      <c r="S13" s="190">
        <v>1</v>
      </c>
      <c r="T13" s="190">
        <v>1</v>
      </c>
      <c r="U13" s="190">
        <v>0</v>
      </c>
      <c r="V13" s="190">
        <v>11</v>
      </c>
      <c r="W13" s="190">
        <v>11</v>
      </c>
      <c r="X13" s="190">
        <v>4</v>
      </c>
      <c r="Y13" s="190">
        <v>196</v>
      </c>
      <c r="Z13" s="190">
        <v>200</v>
      </c>
      <c r="AA13" s="190">
        <v>3</v>
      </c>
      <c r="AB13" s="190">
        <v>63</v>
      </c>
      <c r="AC13" s="190">
        <v>66</v>
      </c>
      <c r="AD13" s="190">
        <v>3</v>
      </c>
      <c r="AE13" s="190">
        <v>57</v>
      </c>
      <c r="AF13" s="190">
        <v>60</v>
      </c>
      <c r="AG13" s="190">
        <v>0</v>
      </c>
      <c r="AH13" s="190">
        <v>3</v>
      </c>
      <c r="AI13" s="190">
        <v>3</v>
      </c>
      <c r="AJ13" s="190">
        <v>0</v>
      </c>
      <c r="AK13" s="190">
        <v>3</v>
      </c>
      <c r="AL13" s="190">
        <v>3</v>
      </c>
      <c r="AM13" s="190">
        <v>1</v>
      </c>
      <c r="AN13" s="190">
        <v>133</v>
      </c>
      <c r="AO13" s="190">
        <v>134</v>
      </c>
      <c r="AP13" s="190">
        <v>373</v>
      </c>
      <c r="AQ13" s="190">
        <v>2019</v>
      </c>
      <c r="AR13" s="190">
        <v>2392</v>
      </c>
      <c r="AS13" s="190">
        <v>373</v>
      </c>
      <c r="AT13" s="190">
        <v>2019</v>
      </c>
      <c r="AU13" s="190">
        <v>2392</v>
      </c>
      <c r="AV13" s="190">
        <v>0</v>
      </c>
      <c r="AW13" s="190">
        <v>0</v>
      </c>
      <c r="AX13" s="190">
        <v>0</v>
      </c>
      <c r="AY13" s="190">
        <v>20</v>
      </c>
      <c r="AZ13" s="190">
        <v>185</v>
      </c>
      <c r="BA13" s="190">
        <v>205</v>
      </c>
      <c r="BB13" s="190">
        <v>4</v>
      </c>
      <c r="BC13" s="190">
        <v>0</v>
      </c>
      <c r="BD13" s="190">
        <v>0</v>
      </c>
      <c r="BE13" s="190">
        <v>98</v>
      </c>
      <c r="BF13" s="190">
        <v>0</v>
      </c>
      <c r="BG13" s="190">
        <v>0</v>
      </c>
      <c r="BH13" s="190">
        <v>4</v>
      </c>
      <c r="BI13" s="190">
        <v>98</v>
      </c>
      <c r="BJ13" s="190">
        <v>102</v>
      </c>
      <c r="BK13" s="190">
        <v>4</v>
      </c>
      <c r="BL13" s="190">
        <v>-4</v>
      </c>
      <c r="BM13" s="190">
        <v>0</v>
      </c>
      <c r="BN13" s="190">
        <v>0</v>
      </c>
      <c r="BO13" s="190">
        <v>6</v>
      </c>
      <c r="BP13" s="190">
        <v>6</v>
      </c>
      <c r="BQ13" s="190">
        <v>5</v>
      </c>
      <c r="BR13" s="190">
        <v>17</v>
      </c>
      <c r="BS13" s="190">
        <v>22</v>
      </c>
      <c r="BT13" s="190">
        <v>7</v>
      </c>
      <c r="BU13" s="190">
        <v>68</v>
      </c>
      <c r="BV13" s="190">
        <v>75</v>
      </c>
      <c r="BW13" s="190">
        <v>393</v>
      </c>
      <c r="BX13" s="190">
        <v>2204</v>
      </c>
      <c r="BY13" s="190">
        <v>2597</v>
      </c>
      <c r="BZ13" s="190">
        <v>393</v>
      </c>
      <c r="CA13" s="190">
        <v>2203</v>
      </c>
      <c r="CB13" s="190">
        <v>2596</v>
      </c>
      <c r="CC13" s="190">
        <v>5281</v>
      </c>
      <c r="CD13" s="190">
        <v>0</v>
      </c>
      <c r="CE13" s="190">
        <v>1</v>
      </c>
      <c r="CF13" s="190">
        <v>0</v>
      </c>
      <c r="CG13" s="190">
        <v>1</v>
      </c>
      <c r="CH13" s="190">
        <v>1</v>
      </c>
      <c r="CI13" s="190">
        <v>0</v>
      </c>
      <c r="CJ13" s="190">
        <v>0</v>
      </c>
      <c r="CK13" s="190">
        <v>0</v>
      </c>
      <c r="CL13" s="190">
        <v>0</v>
      </c>
      <c r="CM13" s="190">
        <v>0</v>
      </c>
      <c r="CN13" s="190">
        <v>23</v>
      </c>
      <c r="CO13" s="190">
        <v>186</v>
      </c>
      <c r="CP13" s="190">
        <v>209</v>
      </c>
      <c r="CQ13" s="190">
        <v>0</v>
      </c>
      <c r="CR13" s="190">
        <v>0</v>
      </c>
      <c r="CS13" s="190">
        <v>0</v>
      </c>
      <c r="CT13" s="190">
        <v>370</v>
      </c>
      <c r="CU13" s="190">
        <v>2018</v>
      </c>
      <c r="CV13" s="190">
        <v>2388</v>
      </c>
      <c r="CW13" s="190">
        <v>28</v>
      </c>
      <c r="CX13" s="190">
        <v>97</v>
      </c>
      <c r="CY13" s="190">
        <v>125</v>
      </c>
      <c r="CZ13" s="190">
        <v>28</v>
      </c>
      <c r="DA13" s="190">
        <v>0</v>
      </c>
      <c r="DB13" s="190">
        <v>0</v>
      </c>
      <c r="DC13" s="190">
        <v>93</v>
      </c>
      <c r="DD13" s="190">
        <v>0</v>
      </c>
      <c r="DE13" s="190">
        <v>0</v>
      </c>
      <c r="DF13" s="190">
        <v>28</v>
      </c>
      <c r="DG13" s="190">
        <v>93</v>
      </c>
      <c r="DH13" s="190">
        <v>121</v>
      </c>
      <c r="DI13" s="190">
        <v>0</v>
      </c>
      <c r="DJ13" s="190">
        <v>0</v>
      </c>
      <c r="DK13" s="190">
        <v>0</v>
      </c>
      <c r="DL13" s="190">
        <v>4</v>
      </c>
      <c r="DM13" s="190">
        <v>0</v>
      </c>
      <c r="DN13" s="190">
        <v>0</v>
      </c>
      <c r="DO13" s="190">
        <v>0</v>
      </c>
      <c r="DP13" s="190">
        <v>4</v>
      </c>
      <c r="DQ13" s="190">
        <v>4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559</v>
      </c>
      <c r="C14" s="190">
        <v>97</v>
      </c>
      <c r="D14" s="190">
        <v>586</v>
      </c>
      <c r="E14" s="190">
        <v>349</v>
      </c>
      <c r="F14" s="190">
        <v>1</v>
      </c>
      <c r="G14" s="190">
        <v>8</v>
      </c>
      <c r="H14" s="190">
        <v>9</v>
      </c>
      <c r="I14" s="190">
        <v>0</v>
      </c>
      <c r="J14" s="190">
        <v>212</v>
      </c>
      <c r="K14" s="190">
        <v>212</v>
      </c>
      <c r="L14" s="190">
        <v>0</v>
      </c>
      <c r="M14" s="190">
        <v>78</v>
      </c>
      <c r="N14" s="190">
        <v>78</v>
      </c>
      <c r="O14" s="190">
        <v>0</v>
      </c>
      <c r="P14" s="190">
        <v>134</v>
      </c>
      <c r="Q14" s="190">
        <v>134</v>
      </c>
      <c r="R14" s="190">
        <v>0</v>
      </c>
      <c r="S14" s="190">
        <v>2</v>
      </c>
      <c r="T14" s="190">
        <v>2</v>
      </c>
      <c r="U14" s="190">
        <v>0</v>
      </c>
      <c r="V14" s="190">
        <v>25</v>
      </c>
      <c r="W14" s="190">
        <v>25</v>
      </c>
      <c r="X14" s="190">
        <v>12</v>
      </c>
      <c r="Y14" s="190">
        <v>574</v>
      </c>
      <c r="Z14" s="190">
        <v>586</v>
      </c>
      <c r="AA14" s="190">
        <v>7</v>
      </c>
      <c r="AB14" s="190">
        <v>255</v>
      </c>
      <c r="AC14" s="190">
        <v>262</v>
      </c>
      <c r="AD14" s="190">
        <v>6</v>
      </c>
      <c r="AE14" s="190">
        <v>251</v>
      </c>
      <c r="AF14" s="190">
        <v>257</v>
      </c>
      <c r="AG14" s="190">
        <v>1</v>
      </c>
      <c r="AH14" s="190">
        <v>3</v>
      </c>
      <c r="AI14" s="190">
        <v>4</v>
      </c>
      <c r="AJ14" s="190">
        <v>0</v>
      </c>
      <c r="AK14" s="190">
        <v>1</v>
      </c>
      <c r="AL14" s="190">
        <v>1</v>
      </c>
      <c r="AM14" s="190">
        <v>5</v>
      </c>
      <c r="AN14" s="190">
        <v>319</v>
      </c>
      <c r="AO14" s="190">
        <v>324</v>
      </c>
      <c r="AP14" s="190">
        <v>519</v>
      </c>
      <c r="AQ14" s="190">
        <v>6168</v>
      </c>
      <c r="AR14" s="190">
        <v>6687</v>
      </c>
      <c r="AS14" s="190">
        <v>512</v>
      </c>
      <c r="AT14" s="190">
        <v>6049</v>
      </c>
      <c r="AU14" s="190">
        <v>6561</v>
      </c>
      <c r="AV14" s="190">
        <v>7</v>
      </c>
      <c r="AW14" s="190">
        <v>119</v>
      </c>
      <c r="AX14" s="190">
        <v>126</v>
      </c>
      <c r="AY14" s="190">
        <v>32</v>
      </c>
      <c r="AZ14" s="190">
        <v>567</v>
      </c>
      <c r="BA14" s="190">
        <v>599</v>
      </c>
      <c r="BB14" s="190">
        <v>12</v>
      </c>
      <c r="BC14" s="190">
        <v>1</v>
      </c>
      <c r="BD14" s="190">
        <v>0</v>
      </c>
      <c r="BE14" s="190">
        <v>334</v>
      </c>
      <c r="BF14" s="190">
        <v>2</v>
      </c>
      <c r="BG14" s="190">
        <v>0</v>
      </c>
      <c r="BH14" s="190">
        <v>13</v>
      </c>
      <c r="BI14" s="190">
        <v>336</v>
      </c>
      <c r="BJ14" s="190">
        <v>349</v>
      </c>
      <c r="BK14" s="190">
        <v>9</v>
      </c>
      <c r="BL14" s="190">
        <v>-9</v>
      </c>
      <c r="BM14" s="190">
        <v>0</v>
      </c>
      <c r="BN14" s="190">
        <v>2</v>
      </c>
      <c r="BO14" s="190">
        <v>34</v>
      </c>
      <c r="BP14" s="190">
        <v>36</v>
      </c>
      <c r="BQ14" s="190">
        <v>1</v>
      </c>
      <c r="BR14" s="190">
        <v>57</v>
      </c>
      <c r="BS14" s="190">
        <v>58</v>
      </c>
      <c r="BT14" s="190">
        <v>7</v>
      </c>
      <c r="BU14" s="190">
        <v>149</v>
      </c>
      <c r="BV14" s="190">
        <v>156</v>
      </c>
      <c r="BW14" s="190">
        <v>551</v>
      </c>
      <c r="BX14" s="190">
        <v>6735</v>
      </c>
      <c r="BY14" s="190">
        <v>7286</v>
      </c>
      <c r="BZ14" s="190">
        <v>549</v>
      </c>
      <c r="CA14" s="190">
        <v>6694</v>
      </c>
      <c r="CB14" s="190">
        <v>7243</v>
      </c>
      <c r="CC14" s="190">
        <v>12861</v>
      </c>
      <c r="CD14" s="190">
        <v>2</v>
      </c>
      <c r="CE14" s="190">
        <v>40</v>
      </c>
      <c r="CF14" s="190">
        <v>2</v>
      </c>
      <c r="CG14" s="190">
        <v>33</v>
      </c>
      <c r="CH14" s="190">
        <v>35</v>
      </c>
      <c r="CI14" s="190">
        <v>9</v>
      </c>
      <c r="CJ14" s="190">
        <v>0</v>
      </c>
      <c r="CK14" s="190">
        <v>0</v>
      </c>
      <c r="CL14" s="190">
        <v>8</v>
      </c>
      <c r="CM14" s="190">
        <v>8</v>
      </c>
      <c r="CN14" s="190">
        <v>39</v>
      </c>
      <c r="CO14" s="190">
        <v>686</v>
      </c>
      <c r="CP14" s="190">
        <v>725</v>
      </c>
      <c r="CQ14" s="190">
        <v>0</v>
      </c>
      <c r="CR14" s="190">
        <v>0</v>
      </c>
      <c r="CS14" s="190">
        <v>0</v>
      </c>
      <c r="CT14" s="190">
        <v>512</v>
      </c>
      <c r="CU14" s="190">
        <v>6049</v>
      </c>
      <c r="CV14" s="190">
        <v>6561</v>
      </c>
      <c r="CW14" s="190">
        <v>23</v>
      </c>
      <c r="CX14" s="190">
        <v>270</v>
      </c>
      <c r="CY14" s="190">
        <v>293</v>
      </c>
      <c r="CZ14" s="190">
        <v>23</v>
      </c>
      <c r="DA14" s="190">
        <v>0</v>
      </c>
      <c r="DB14" s="190">
        <v>0</v>
      </c>
      <c r="DC14" s="190">
        <v>268</v>
      </c>
      <c r="DD14" s="190">
        <v>2</v>
      </c>
      <c r="DE14" s="190">
        <v>0</v>
      </c>
      <c r="DF14" s="190">
        <v>23</v>
      </c>
      <c r="DG14" s="190">
        <v>270</v>
      </c>
      <c r="DH14" s="190">
        <v>293</v>
      </c>
      <c r="DI14" s="190">
        <v>0</v>
      </c>
      <c r="DJ14" s="190">
        <v>0</v>
      </c>
      <c r="DK14" s="190">
        <v>0</v>
      </c>
      <c r="DL14" s="190">
        <v>0</v>
      </c>
      <c r="DM14" s="190">
        <v>0</v>
      </c>
      <c r="DN14" s="190">
        <v>0</v>
      </c>
      <c r="DO14" s="190">
        <v>0</v>
      </c>
      <c r="DP14" s="190">
        <v>0</v>
      </c>
      <c r="DQ14" s="190">
        <v>0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4473</v>
      </c>
      <c r="C15" s="190">
        <v>1812</v>
      </c>
      <c r="D15" s="190">
        <v>4376</v>
      </c>
      <c r="E15" s="190">
        <v>3102</v>
      </c>
      <c r="F15" s="190">
        <v>27</v>
      </c>
      <c r="G15" s="190">
        <v>162</v>
      </c>
      <c r="H15" s="190">
        <v>189</v>
      </c>
      <c r="I15" s="190">
        <v>4</v>
      </c>
      <c r="J15" s="190">
        <v>1169</v>
      </c>
      <c r="K15" s="190">
        <v>1173</v>
      </c>
      <c r="L15" s="190">
        <v>4</v>
      </c>
      <c r="M15" s="190">
        <v>1168</v>
      </c>
      <c r="N15" s="190">
        <v>1172</v>
      </c>
      <c r="O15" s="190">
        <v>0</v>
      </c>
      <c r="P15" s="190">
        <v>1</v>
      </c>
      <c r="Q15" s="190">
        <v>1</v>
      </c>
      <c r="R15" s="190">
        <v>1</v>
      </c>
      <c r="S15" s="190">
        <v>262</v>
      </c>
      <c r="T15" s="190">
        <v>263</v>
      </c>
      <c r="U15" s="190">
        <v>0</v>
      </c>
      <c r="V15" s="190">
        <v>101</v>
      </c>
      <c r="W15" s="190">
        <v>101</v>
      </c>
      <c r="X15" s="190">
        <v>59</v>
      </c>
      <c r="Y15" s="190">
        <v>3542</v>
      </c>
      <c r="Z15" s="190">
        <v>3601</v>
      </c>
      <c r="AA15" s="190">
        <v>29</v>
      </c>
      <c r="AB15" s="190">
        <v>1459</v>
      </c>
      <c r="AC15" s="190">
        <v>1488</v>
      </c>
      <c r="AD15" s="190">
        <v>27</v>
      </c>
      <c r="AE15" s="190">
        <v>1391</v>
      </c>
      <c r="AF15" s="190">
        <v>1418</v>
      </c>
      <c r="AG15" s="190">
        <v>2</v>
      </c>
      <c r="AH15" s="190">
        <v>52</v>
      </c>
      <c r="AI15" s="190">
        <v>54</v>
      </c>
      <c r="AJ15" s="190">
        <v>0</v>
      </c>
      <c r="AK15" s="190">
        <v>16</v>
      </c>
      <c r="AL15" s="190">
        <v>16</v>
      </c>
      <c r="AM15" s="190">
        <v>30</v>
      </c>
      <c r="AN15" s="190">
        <v>2083</v>
      </c>
      <c r="AO15" s="190">
        <v>2113</v>
      </c>
      <c r="AP15" s="190">
        <v>12025</v>
      </c>
      <c r="AQ15" s="190">
        <v>77927</v>
      </c>
      <c r="AR15" s="190">
        <v>89952</v>
      </c>
      <c r="AS15" s="190">
        <v>11632</v>
      </c>
      <c r="AT15" s="190">
        <v>75108</v>
      </c>
      <c r="AU15" s="190">
        <v>86740</v>
      </c>
      <c r="AV15" s="190">
        <v>393</v>
      </c>
      <c r="AW15" s="190">
        <v>2819</v>
      </c>
      <c r="AX15" s="190">
        <v>3212</v>
      </c>
      <c r="AY15" s="190">
        <v>18</v>
      </c>
      <c r="AZ15" s="190">
        <v>3151</v>
      </c>
      <c r="BA15" s="190">
        <v>3169</v>
      </c>
      <c r="BB15" s="190">
        <v>220</v>
      </c>
      <c r="BC15" s="190">
        <v>1</v>
      </c>
      <c r="BD15" s="190">
        <v>1</v>
      </c>
      <c r="BE15" s="190">
        <v>2835</v>
      </c>
      <c r="BF15" s="190">
        <v>21</v>
      </c>
      <c r="BG15" s="190">
        <v>24</v>
      </c>
      <c r="BH15" s="190">
        <v>222</v>
      </c>
      <c r="BI15" s="190">
        <v>2880</v>
      </c>
      <c r="BJ15" s="190">
        <v>3102</v>
      </c>
      <c r="BK15" s="190">
        <v>-213</v>
      </c>
      <c r="BL15" s="190">
        <v>213</v>
      </c>
      <c r="BM15" s="190">
        <v>0</v>
      </c>
      <c r="BN15" s="190">
        <v>8</v>
      </c>
      <c r="BO15" s="190">
        <v>20</v>
      </c>
      <c r="BP15" s="190">
        <v>28</v>
      </c>
      <c r="BQ15" s="190">
        <v>0</v>
      </c>
      <c r="BR15" s="190">
        <v>6</v>
      </c>
      <c r="BS15" s="190">
        <v>6</v>
      </c>
      <c r="BT15" s="190">
        <v>1</v>
      </c>
      <c r="BU15" s="190">
        <v>32</v>
      </c>
      <c r="BV15" s="190">
        <v>33</v>
      </c>
      <c r="BW15" s="190">
        <v>12043</v>
      </c>
      <c r="BX15" s="190">
        <v>81078</v>
      </c>
      <c r="BY15" s="190">
        <v>93121</v>
      </c>
      <c r="BZ15" s="190">
        <v>11862</v>
      </c>
      <c r="CA15" s="190">
        <v>80190</v>
      </c>
      <c r="CB15" s="190">
        <v>92052</v>
      </c>
      <c r="CC15" s="190">
        <v>214870</v>
      </c>
      <c r="CD15" s="190">
        <v>66</v>
      </c>
      <c r="CE15" s="190">
        <v>915</v>
      </c>
      <c r="CF15" s="190">
        <v>167</v>
      </c>
      <c r="CG15" s="190">
        <v>674</v>
      </c>
      <c r="CH15" s="190">
        <v>841</v>
      </c>
      <c r="CI15" s="190">
        <v>257</v>
      </c>
      <c r="CJ15" s="190">
        <v>44</v>
      </c>
      <c r="CK15" s="190">
        <v>14</v>
      </c>
      <c r="CL15" s="190">
        <v>214</v>
      </c>
      <c r="CM15" s="190">
        <v>228</v>
      </c>
      <c r="CN15" s="190">
        <v>644</v>
      </c>
      <c r="CO15" s="190">
        <v>6611</v>
      </c>
      <c r="CP15" s="190">
        <v>7255</v>
      </c>
      <c r="CQ15" s="190">
        <v>0</v>
      </c>
      <c r="CR15" s="190">
        <v>42</v>
      </c>
      <c r="CS15" s="190">
        <v>42</v>
      </c>
      <c r="CT15" s="190">
        <v>11399</v>
      </c>
      <c r="CU15" s="190">
        <v>74467</v>
      </c>
      <c r="CV15" s="190">
        <v>85866</v>
      </c>
      <c r="CW15" s="190">
        <v>995</v>
      </c>
      <c r="CX15" s="190">
        <v>5298</v>
      </c>
      <c r="CY15" s="190">
        <v>6293</v>
      </c>
      <c r="CZ15" s="190">
        <v>894</v>
      </c>
      <c r="DA15" s="190">
        <v>16</v>
      </c>
      <c r="DB15" s="190">
        <v>2</v>
      </c>
      <c r="DC15" s="190">
        <v>4356</v>
      </c>
      <c r="DD15" s="190">
        <v>39</v>
      </c>
      <c r="DE15" s="190">
        <v>16</v>
      </c>
      <c r="DF15" s="190">
        <v>912</v>
      </c>
      <c r="DG15" s="190">
        <v>4411</v>
      </c>
      <c r="DH15" s="190">
        <v>5323</v>
      </c>
      <c r="DI15" s="190">
        <v>81</v>
      </c>
      <c r="DJ15" s="190">
        <v>2</v>
      </c>
      <c r="DK15" s="190">
        <v>0</v>
      </c>
      <c r="DL15" s="190">
        <v>863</v>
      </c>
      <c r="DM15" s="190">
        <v>21</v>
      </c>
      <c r="DN15" s="190">
        <v>3</v>
      </c>
      <c r="DO15" s="190">
        <v>83</v>
      </c>
      <c r="DP15" s="190">
        <v>887</v>
      </c>
      <c r="DQ15" s="190">
        <v>970</v>
      </c>
      <c r="DR15" s="190">
        <v>3</v>
      </c>
      <c r="DS15" s="190">
        <v>44</v>
      </c>
      <c r="DT15" s="191">
        <v>47</v>
      </c>
    </row>
    <row r="16" spans="1:129" s="172" customFormat="1">
      <c r="A16" s="189" t="s">
        <v>281</v>
      </c>
      <c r="B16" s="190">
        <v>85</v>
      </c>
      <c r="C16" s="190">
        <v>12</v>
      </c>
      <c r="D16" s="190">
        <v>96</v>
      </c>
      <c r="E16" s="190">
        <v>66</v>
      </c>
      <c r="F16" s="190">
        <v>0</v>
      </c>
      <c r="G16" s="190">
        <v>2</v>
      </c>
      <c r="H16" s="190">
        <v>2</v>
      </c>
      <c r="I16" s="190">
        <v>0</v>
      </c>
      <c r="J16" s="190">
        <v>27</v>
      </c>
      <c r="K16" s="190">
        <v>27</v>
      </c>
      <c r="L16" s="190">
        <v>0</v>
      </c>
      <c r="M16" s="190">
        <v>15</v>
      </c>
      <c r="N16" s="190">
        <v>15</v>
      </c>
      <c r="O16" s="190">
        <v>0</v>
      </c>
      <c r="P16" s="190">
        <v>12</v>
      </c>
      <c r="Q16" s="190">
        <v>12</v>
      </c>
      <c r="R16" s="190">
        <v>0</v>
      </c>
      <c r="S16" s="190">
        <v>0</v>
      </c>
      <c r="T16" s="190">
        <v>0</v>
      </c>
      <c r="U16" s="190">
        <v>0</v>
      </c>
      <c r="V16" s="190">
        <v>3</v>
      </c>
      <c r="W16" s="190">
        <v>3</v>
      </c>
      <c r="X16" s="190">
        <v>3</v>
      </c>
      <c r="Y16" s="190">
        <v>92</v>
      </c>
      <c r="Z16" s="190">
        <v>95</v>
      </c>
      <c r="AA16" s="190">
        <v>3</v>
      </c>
      <c r="AB16" s="190">
        <v>33</v>
      </c>
      <c r="AC16" s="190">
        <v>36</v>
      </c>
      <c r="AD16" s="190">
        <v>3</v>
      </c>
      <c r="AE16" s="190">
        <v>31</v>
      </c>
      <c r="AF16" s="190">
        <v>34</v>
      </c>
      <c r="AG16" s="190">
        <v>0</v>
      </c>
      <c r="AH16" s="190">
        <v>2</v>
      </c>
      <c r="AI16" s="190">
        <v>2</v>
      </c>
      <c r="AJ16" s="190">
        <v>0</v>
      </c>
      <c r="AK16" s="190">
        <v>0</v>
      </c>
      <c r="AL16" s="190">
        <v>0</v>
      </c>
      <c r="AM16" s="190">
        <v>0</v>
      </c>
      <c r="AN16" s="190">
        <v>59</v>
      </c>
      <c r="AO16" s="190">
        <v>59</v>
      </c>
      <c r="AP16" s="190">
        <v>213</v>
      </c>
      <c r="AQ16" s="190">
        <v>1278</v>
      </c>
      <c r="AR16" s="190">
        <v>1491</v>
      </c>
      <c r="AS16" s="190">
        <v>213</v>
      </c>
      <c r="AT16" s="190">
        <v>1278</v>
      </c>
      <c r="AU16" s="190">
        <v>1491</v>
      </c>
      <c r="AV16" s="190">
        <v>0</v>
      </c>
      <c r="AW16" s="190">
        <v>0</v>
      </c>
      <c r="AX16" s="190">
        <v>0</v>
      </c>
      <c r="AY16" s="190">
        <v>10</v>
      </c>
      <c r="AZ16" s="190">
        <v>92</v>
      </c>
      <c r="BA16" s="190">
        <v>102</v>
      </c>
      <c r="BB16" s="190">
        <v>4</v>
      </c>
      <c r="BC16" s="190">
        <v>0</v>
      </c>
      <c r="BD16" s="190">
        <v>0</v>
      </c>
      <c r="BE16" s="190">
        <v>61</v>
      </c>
      <c r="BF16" s="190">
        <v>1</v>
      </c>
      <c r="BG16" s="190">
        <v>0</v>
      </c>
      <c r="BH16" s="190">
        <v>4</v>
      </c>
      <c r="BI16" s="190">
        <v>62</v>
      </c>
      <c r="BJ16" s="190">
        <v>66</v>
      </c>
      <c r="BK16" s="190">
        <v>2</v>
      </c>
      <c r="BL16" s="190">
        <v>-2</v>
      </c>
      <c r="BM16" s="190">
        <v>0</v>
      </c>
      <c r="BN16" s="190">
        <v>0</v>
      </c>
      <c r="BO16" s="190">
        <v>2</v>
      </c>
      <c r="BP16" s="190">
        <v>2</v>
      </c>
      <c r="BQ16" s="190">
        <v>1</v>
      </c>
      <c r="BR16" s="190">
        <v>8</v>
      </c>
      <c r="BS16" s="190">
        <v>9</v>
      </c>
      <c r="BT16" s="190">
        <v>3</v>
      </c>
      <c r="BU16" s="190">
        <v>22</v>
      </c>
      <c r="BV16" s="190">
        <v>25</v>
      </c>
      <c r="BW16" s="190">
        <v>223</v>
      </c>
      <c r="BX16" s="190">
        <v>1370</v>
      </c>
      <c r="BY16" s="190">
        <v>1593</v>
      </c>
      <c r="BZ16" s="190">
        <v>222</v>
      </c>
      <c r="CA16" s="190">
        <v>1358</v>
      </c>
      <c r="CB16" s="190">
        <v>1580</v>
      </c>
      <c r="CC16" s="190">
        <v>3690</v>
      </c>
      <c r="CD16" s="190">
        <v>0</v>
      </c>
      <c r="CE16" s="190">
        <v>13</v>
      </c>
      <c r="CF16" s="190">
        <v>1</v>
      </c>
      <c r="CG16" s="190">
        <v>12</v>
      </c>
      <c r="CH16" s="190">
        <v>13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7</v>
      </c>
      <c r="CO16" s="190">
        <v>134</v>
      </c>
      <c r="CP16" s="190">
        <v>141</v>
      </c>
      <c r="CQ16" s="190">
        <v>0</v>
      </c>
      <c r="CR16" s="190">
        <v>0</v>
      </c>
      <c r="CS16" s="190">
        <v>0</v>
      </c>
      <c r="CT16" s="190">
        <v>216</v>
      </c>
      <c r="CU16" s="190">
        <v>1236</v>
      </c>
      <c r="CV16" s="190">
        <v>1452</v>
      </c>
      <c r="CW16" s="190">
        <v>18</v>
      </c>
      <c r="CX16" s="190">
        <v>62</v>
      </c>
      <c r="CY16" s="190">
        <v>80</v>
      </c>
      <c r="CZ16" s="190">
        <v>18</v>
      </c>
      <c r="DA16" s="190">
        <v>0</v>
      </c>
      <c r="DB16" s="190">
        <v>0</v>
      </c>
      <c r="DC16" s="190">
        <v>62</v>
      </c>
      <c r="DD16" s="190">
        <v>0</v>
      </c>
      <c r="DE16" s="190">
        <v>0</v>
      </c>
      <c r="DF16" s="190">
        <v>18</v>
      </c>
      <c r="DG16" s="190">
        <v>62</v>
      </c>
      <c r="DH16" s="190">
        <v>80</v>
      </c>
      <c r="DI16" s="190">
        <v>0</v>
      </c>
      <c r="DJ16" s="190">
        <v>0</v>
      </c>
      <c r="DK16" s="190">
        <v>0</v>
      </c>
      <c r="DL16" s="190">
        <v>0</v>
      </c>
      <c r="DM16" s="190">
        <v>0</v>
      </c>
      <c r="DN16" s="190">
        <v>0</v>
      </c>
      <c r="DO16" s="190">
        <v>0</v>
      </c>
      <c r="DP16" s="190">
        <v>0</v>
      </c>
      <c r="DQ16" s="190">
        <v>0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1393</v>
      </c>
      <c r="C17" s="190">
        <v>253</v>
      </c>
      <c r="D17" s="190">
        <v>1276</v>
      </c>
      <c r="E17" s="190">
        <v>701</v>
      </c>
      <c r="F17" s="190">
        <v>0</v>
      </c>
      <c r="G17" s="190">
        <v>6</v>
      </c>
      <c r="H17" s="190">
        <v>6</v>
      </c>
      <c r="I17" s="190">
        <v>0</v>
      </c>
      <c r="J17" s="190">
        <v>517</v>
      </c>
      <c r="K17" s="190">
        <v>517</v>
      </c>
      <c r="L17" s="190">
        <v>0</v>
      </c>
      <c r="M17" s="190">
        <v>161</v>
      </c>
      <c r="N17" s="190">
        <v>161</v>
      </c>
      <c r="O17" s="190">
        <v>0</v>
      </c>
      <c r="P17" s="190">
        <v>356</v>
      </c>
      <c r="Q17" s="190">
        <v>356</v>
      </c>
      <c r="R17" s="190">
        <v>0</v>
      </c>
      <c r="S17" s="190">
        <v>4</v>
      </c>
      <c r="T17" s="190">
        <v>4</v>
      </c>
      <c r="U17" s="190">
        <v>0</v>
      </c>
      <c r="V17" s="190">
        <v>58</v>
      </c>
      <c r="W17" s="190">
        <v>58</v>
      </c>
      <c r="X17" s="190">
        <v>16</v>
      </c>
      <c r="Y17" s="190">
        <v>955</v>
      </c>
      <c r="Z17" s="190">
        <v>971</v>
      </c>
      <c r="AA17" s="190">
        <v>12</v>
      </c>
      <c r="AB17" s="190">
        <v>435</v>
      </c>
      <c r="AC17" s="190">
        <v>447</v>
      </c>
      <c r="AD17" s="190">
        <v>12</v>
      </c>
      <c r="AE17" s="190">
        <v>415</v>
      </c>
      <c r="AF17" s="190">
        <v>427</v>
      </c>
      <c r="AG17" s="190">
        <v>0</v>
      </c>
      <c r="AH17" s="190">
        <v>16</v>
      </c>
      <c r="AI17" s="190">
        <v>16</v>
      </c>
      <c r="AJ17" s="190">
        <v>0</v>
      </c>
      <c r="AK17" s="190">
        <v>4</v>
      </c>
      <c r="AL17" s="190">
        <v>4</v>
      </c>
      <c r="AM17" s="190">
        <v>4</v>
      </c>
      <c r="AN17" s="190">
        <v>520</v>
      </c>
      <c r="AO17" s="190">
        <v>524</v>
      </c>
      <c r="AP17" s="190">
        <v>883</v>
      </c>
      <c r="AQ17" s="190">
        <v>10532</v>
      </c>
      <c r="AR17" s="190">
        <v>11415</v>
      </c>
      <c r="AS17" s="190">
        <v>883</v>
      </c>
      <c r="AT17" s="190">
        <v>10532</v>
      </c>
      <c r="AU17" s="190">
        <v>11415</v>
      </c>
      <c r="AV17" s="190">
        <v>0</v>
      </c>
      <c r="AW17" s="190">
        <v>0</v>
      </c>
      <c r="AX17" s="190">
        <v>0</v>
      </c>
      <c r="AY17" s="190">
        <v>40</v>
      </c>
      <c r="AZ17" s="190">
        <v>1272</v>
      </c>
      <c r="BA17" s="190">
        <v>1312</v>
      </c>
      <c r="BB17" s="190">
        <v>11</v>
      </c>
      <c r="BC17" s="190">
        <v>0</v>
      </c>
      <c r="BD17" s="190">
        <v>0</v>
      </c>
      <c r="BE17" s="190">
        <v>687</v>
      </c>
      <c r="BF17" s="190">
        <v>2</v>
      </c>
      <c r="BG17" s="190">
        <v>1</v>
      </c>
      <c r="BH17" s="190">
        <v>11</v>
      </c>
      <c r="BI17" s="190">
        <v>690</v>
      </c>
      <c r="BJ17" s="190">
        <v>701</v>
      </c>
      <c r="BK17" s="190">
        <v>-11</v>
      </c>
      <c r="BL17" s="190">
        <v>11</v>
      </c>
      <c r="BM17" s="190">
        <v>0</v>
      </c>
      <c r="BN17" s="190">
        <v>5</v>
      </c>
      <c r="BO17" s="190">
        <v>33</v>
      </c>
      <c r="BP17" s="190">
        <v>38</v>
      </c>
      <c r="BQ17" s="190">
        <v>0</v>
      </c>
      <c r="BR17" s="190">
        <v>115</v>
      </c>
      <c r="BS17" s="190">
        <v>115</v>
      </c>
      <c r="BT17" s="190">
        <v>35</v>
      </c>
      <c r="BU17" s="190">
        <v>423</v>
      </c>
      <c r="BV17" s="190">
        <v>458</v>
      </c>
      <c r="BW17" s="190">
        <v>923</v>
      </c>
      <c r="BX17" s="190">
        <v>11804</v>
      </c>
      <c r="BY17" s="190">
        <v>12727</v>
      </c>
      <c r="BZ17" s="190">
        <v>923</v>
      </c>
      <c r="CA17" s="190">
        <v>11769</v>
      </c>
      <c r="CB17" s="190">
        <v>12692</v>
      </c>
      <c r="CC17" s="190">
        <v>21478</v>
      </c>
      <c r="CD17" s="190">
        <v>8</v>
      </c>
      <c r="CE17" s="190">
        <v>24</v>
      </c>
      <c r="CF17" s="190">
        <v>0</v>
      </c>
      <c r="CG17" s="190">
        <v>28</v>
      </c>
      <c r="CH17" s="190">
        <v>28</v>
      </c>
      <c r="CI17" s="190">
        <v>7</v>
      </c>
      <c r="CJ17" s="190">
        <v>2</v>
      </c>
      <c r="CK17" s="190">
        <v>0</v>
      </c>
      <c r="CL17" s="190">
        <v>7</v>
      </c>
      <c r="CM17" s="190">
        <v>7</v>
      </c>
      <c r="CN17" s="190">
        <v>47</v>
      </c>
      <c r="CO17" s="190">
        <v>1308</v>
      </c>
      <c r="CP17" s="190">
        <v>1355</v>
      </c>
      <c r="CQ17" s="190">
        <v>0</v>
      </c>
      <c r="CR17" s="190">
        <v>0</v>
      </c>
      <c r="CS17" s="190">
        <v>0</v>
      </c>
      <c r="CT17" s="190">
        <v>876</v>
      </c>
      <c r="CU17" s="190">
        <v>10496</v>
      </c>
      <c r="CV17" s="190">
        <v>11372</v>
      </c>
      <c r="CW17" s="190">
        <v>58</v>
      </c>
      <c r="CX17" s="190">
        <v>388</v>
      </c>
      <c r="CY17" s="190">
        <v>446</v>
      </c>
      <c r="CZ17" s="190">
        <v>58</v>
      </c>
      <c r="DA17" s="190">
        <v>0</v>
      </c>
      <c r="DB17" s="190">
        <v>0</v>
      </c>
      <c r="DC17" s="190">
        <v>387</v>
      </c>
      <c r="DD17" s="190">
        <v>1</v>
      </c>
      <c r="DE17" s="190">
        <v>0</v>
      </c>
      <c r="DF17" s="190">
        <v>58</v>
      </c>
      <c r="DG17" s="190">
        <v>388</v>
      </c>
      <c r="DH17" s="190">
        <v>446</v>
      </c>
      <c r="DI17" s="190">
        <v>0</v>
      </c>
      <c r="DJ17" s="190">
        <v>0</v>
      </c>
      <c r="DK17" s="190">
        <v>0</v>
      </c>
      <c r="DL17" s="190">
        <v>0</v>
      </c>
      <c r="DM17" s="190">
        <v>0</v>
      </c>
      <c r="DN17" s="190">
        <v>0</v>
      </c>
      <c r="DO17" s="190">
        <v>0</v>
      </c>
      <c r="DP17" s="190">
        <v>0</v>
      </c>
      <c r="DQ17" s="190">
        <v>0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1197</v>
      </c>
      <c r="C18" s="190">
        <v>153</v>
      </c>
      <c r="D18" s="190">
        <v>1263</v>
      </c>
      <c r="E18" s="190">
        <v>815</v>
      </c>
      <c r="F18" s="190">
        <v>2</v>
      </c>
      <c r="G18" s="190">
        <v>26</v>
      </c>
      <c r="H18" s="190">
        <v>28</v>
      </c>
      <c r="I18" s="190">
        <v>0</v>
      </c>
      <c r="J18" s="190">
        <v>396</v>
      </c>
      <c r="K18" s="190">
        <v>396</v>
      </c>
      <c r="L18" s="190">
        <v>0</v>
      </c>
      <c r="M18" s="190">
        <v>204</v>
      </c>
      <c r="N18" s="190">
        <v>204</v>
      </c>
      <c r="O18" s="190">
        <v>0</v>
      </c>
      <c r="P18" s="190">
        <v>192</v>
      </c>
      <c r="Q18" s="190">
        <v>192</v>
      </c>
      <c r="R18" s="190">
        <v>0</v>
      </c>
      <c r="S18" s="190">
        <v>3</v>
      </c>
      <c r="T18" s="190">
        <v>3</v>
      </c>
      <c r="U18" s="190">
        <v>0</v>
      </c>
      <c r="V18" s="190">
        <v>52</v>
      </c>
      <c r="W18" s="190">
        <v>52</v>
      </c>
      <c r="X18" s="190">
        <v>41</v>
      </c>
      <c r="Y18" s="190">
        <v>1220</v>
      </c>
      <c r="Z18" s="190">
        <v>1261</v>
      </c>
      <c r="AA18" s="190">
        <v>30</v>
      </c>
      <c r="AB18" s="190">
        <v>473</v>
      </c>
      <c r="AC18" s="190">
        <v>503</v>
      </c>
      <c r="AD18" s="190">
        <v>25</v>
      </c>
      <c r="AE18" s="190">
        <v>442</v>
      </c>
      <c r="AF18" s="190">
        <v>467</v>
      </c>
      <c r="AG18" s="190">
        <v>4</v>
      </c>
      <c r="AH18" s="190">
        <v>17</v>
      </c>
      <c r="AI18" s="190">
        <v>21</v>
      </c>
      <c r="AJ18" s="190">
        <v>1</v>
      </c>
      <c r="AK18" s="190">
        <v>14</v>
      </c>
      <c r="AL18" s="190">
        <v>15</v>
      </c>
      <c r="AM18" s="190">
        <v>11</v>
      </c>
      <c r="AN18" s="190">
        <v>747</v>
      </c>
      <c r="AO18" s="190">
        <v>758</v>
      </c>
      <c r="AP18" s="190">
        <v>2218</v>
      </c>
      <c r="AQ18" s="190">
        <v>14550</v>
      </c>
      <c r="AR18" s="190">
        <v>16768</v>
      </c>
      <c r="AS18" s="190">
        <v>2219</v>
      </c>
      <c r="AT18" s="190">
        <v>14552</v>
      </c>
      <c r="AU18" s="190">
        <v>16771</v>
      </c>
      <c r="AV18" s="190">
        <v>-1</v>
      </c>
      <c r="AW18" s="190">
        <v>-2</v>
      </c>
      <c r="AX18" s="190">
        <v>-3</v>
      </c>
      <c r="AY18" s="190">
        <v>105</v>
      </c>
      <c r="AZ18" s="190">
        <v>1070</v>
      </c>
      <c r="BA18" s="190">
        <v>1175</v>
      </c>
      <c r="BB18" s="190">
        <v>64</v>
      </c>
      <c r="BC18" s="190">
        <v>1</v>
      </c>
      <c r="BD18" s="190">
        <v>0</v>
      </c>
      <c r="BE18" s="190">
        <v>728</v>
      </c>
      <c r="BF18" s="190">
        <v>18</v>
      </c>
      <c r="BG18" s="190">
        <v>4</v>
      </c>
      <c r="BH18" s="190">
        <v>65</v>
      </c>
      <c r="BI18" s="190">
        <v>750</v>
      </c>
      <c r="BJ18" s="190">
        <v>815</v>
      </c>
      <c r="BK18" s="190">
        <v>-3</v>
      </c>
      <c r="BL18" s="190">
        <v>3</v>
      </c>
      <c r="BM18" s="190">
        <v>0</v>
      </c>
      <c r="BN18" s="190">
        <v>2</v>
      </c>
      <c r="BO18" s="190">
        <v>16</v>
      </c>
      <c r="BP18" s="190">
        <v>18</v>
      </c>
      <c r="BQ18" s="190">
        <v>7</v>
      </c>
      <c r="BR18" s="190">
        <v>108</v>
      </c>
      <c r="BS18" s="190">
        <v>115</v>
      </c>
      <c r="BT18" s="190">
        <v>34</v>
      </c>
      <c r="BU18" s="190">
        <v>193</v>
      </c>
      <c r="BV18" s="190">
        <v>227</v>
      </c>
      <c r="BW18" s="190">
        <v>2323</v>
      </c>
      <c r="BX18" s="190">
        <v>15620</v>
      </c>
      <c r="BY18" s="190">
        <v>17943</v>
      </c>
      <c r="BZ18" s="190">
        <v>2290</v>
      </c>
      <c r="CA18" s="190">
        <v>15242</v>
      </c>
      <c r="CB18" s="190">
        <v>17532</v>
      </c>
      <c r="CC18" s="190">
        <v>43185</v>
      </c>
      <c r="CD18" s="190">
        <v>31</v>
      </c>
      <c r="CE18" s="190">
        <v>354</v>
      </c>
      <c r="CF18" s="190">
        <v>29</v>
      </c>
      <c r="CG18" s="190">
        <v>319</v>
      </c>
      <c r="CH18" s="190">
        <v>348</v>
      </c>
      <c r="CI18" s="190">
        <v>63</v>
      </c>
      <c r="CJ18" s="190">
        <v>9</v>
      </c>
      <c r="CK18" s="190">
        <v>4</v>
      </c>
      <c r="CL18" s="190">
        <v>59</v>
      </c>
      <c r="CM18" s="190">
        <v>63</v>
      </c>
      <c r="CN18" s="190">
        <v>95</v>
      </c>
      <c r="CO18" s="190">
        <v>1092</v>
      </c>
      <c r="CP18" s="190">
        <v>1187</v>
      </c>
      <c r="CQ18" s="190">
        <v>0</v>
      </c>
      <c r="CR18" s="190">
        <v>0</v>
      </c>
      <c r="CS18" s="190">
        <v>0</v>
      </c>
      <c r="CT18" s="190">
        <v>2228</v>
      </c>
      <c r="CU18" s="190">
        <v>14528</v>
      </c>
      <c r="CV18" s="190">
        <v>16756</v>
      </c>
      <c r="CW18" s="190">
        <v>133</v>
      </c>
      <c r="CX18" s="190">
        <v>738</v>
      </c>
      <c r="CY18" s="190">
        <v>871</v>
      </c>
      <c r="CZ18" s="190">
        <v>130</v>
      </c>
      <c r="DA18" s="190">
        <v>3</v>
      </c>
      <c r="DB18" s="190">
        <v>0</v>
      </c>
      <c r="DC18" s="190">
        <v>719</v>
      </c>
      <c r="DD18" s="190">
        <v>13</v>
      </c>
      <c r="DE18" s="190">
        <v>3</v>
      </c>
      <c r="DF18" s="190">
        <v>133</v>
      </c>
      <c r="DG18" s="190">
        <v>735</v>
      </c>
      <c r="DH18" s="190">
        <v>868</v>
      </c>
      <c r="DI18" s="190">
        <v>0</v>
      </c>
      <c r="DJ18" s="190">
        <v>0</v>
      </c>
      <c r="DK18" s="190">
        <v>0</v>
      </c>
      <c r="DL18" s="190">
        <v>3</v>
      </c>
      <c r="DM18" s="190">
        <v>0</v>
      </c>
      <c r="DN18" s="190">
        <v>0</v>
      </c>
      <c r="DO18" s="190">
        <v>0</v>
      </c>
      <c r="DP18" s="190">
        <v>3</v>
      </c>
      <c r="DQ18" s="190">
        <v>3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88</v>
      </c>
      <c r="C19" s="190">
        <v>5</v>
      </c>
      <c r="D19" s="190">
        <v>81</v>
      </c>
      <c r="E19" s="190">
        <v>55</v>
      </c>
      <c r="F19" s="190">
        <v>0</v>
      </c>
      <c r="G19" s="190">
        <v>0</v>
      </c>
      <c r="H19" s="190">
        <v>0</v>
      </c>
      <c r="I19" s="190">
        <v>0</v>
      </c>
      <c r="J19" s="190">
        <v>21</v>
      </c>
      <c r="K19" s="190">
        <v>21</v>
      </c>
      <c r="L19" s="190">
        <v>0</v>
      </c>
      <c r="M19" s="190">
        <v>8</v>
      </c>
      <c r="N19" s="190">
        <v>8</v>
      </c>
      <c r="O19" s="190">
        <v>0</v>
      </c>
      <c r="P19" s="190">
        <v>13</v>
      </c>
      <c r="Q19" s="190">
        <v>13</v>
      </c>
      <c r="R19" s="190">
        <v>0</v>
      </c>
      <c r="S19" s="190">
        <v>0</v>
      </c>
      <c r="T19" s="190">
        <v>0</v>
      </c>
      <c r="U19" s="190">
        <v>0</v>
      </c>
      <c r="V19" s="190">
        <v>5</v>
      </c>
      <c r="W19" s="190">
        <v>5</v>
      </c>
      <c r="X19" s="190">
        <v>2</v>
      </c>
      <c r="Y19" s="190">
        <v>78</v>
      </c>
      <c r="Z19" s="190">
        <v>80</v>
      </c>
      <c r="AA19" s="190">
        <v>2</v>
      </c>
      <c r="AB19" s="190">
        <v>34</v>
      </c>
      <c r="AC19" s="190">
        <v>36</v>
      </c>
      <c r="AD19" s="190">
        <v>2</v>
      </c>
      <c r="AE19" s="190">
        <v>32</v>
      </c>
      <c r="AF19" s="190">
        <v>34</v>
      </c>
      <c r="AG19" s="190">
        <v>0</v>
      </c>
      <c r="AH19" s="190">
        <v>0</v>
      </c>
      <c r="AI19" s="190">
        <v>0</v>
      </c>
      <c r="AJ19" s="190">
        <v>0</v>
      </c>
      <c r="AK19" s="190">
        <v>2</v>
      </c>
      <c r="AL19" s="190">
        <v>2</v>
      </c>
      <c r="AM19" s="190">
        <v>0</v>
      </c>
      <c r="AN19" s="190">
        <v>44</v>
      </c>
      <c r="AO19" s="190">
        <v>44</v>
      </c>
      <c r="AP19" s="190">
        <v>87</v>
      </c>
      <c r="AQ19" s="190">
        <v>891</v>
      </c>
      <c r="AR19" s="190">
        <v>978</v>
      </c>
      <c r="AS19" s="190">
        <v>87</v>
      </c>
      <c r="AT19" s="190">
        <v>891</v>
      </c>
      <c r="AU19" s="190">
        <v>978</v>
      </c>
      <c r="AV19" s="190">
        <v>0</v>
      </c>
      <c r="AW19" s="190">
        <v>0</v>
      </c>
      <c r="AX19" s="190">
        <v>0</v>
      </c>
      <c r="AY19" s="190">
        <v>9</v>
      </c>
      <c r="AZ19" s="190">
        <v>66</v>
      </c>
      <c r="BA19" s="190">
        <v>75</v>
      </c>
      <c r="BB19" s="190">
        <v>2</v>
      </c>
      <c r="BC19" s="190">
        <v>0</v>
      </c>
      <c r="BD19" s="190">
        <v>0</v>
      </c>
      <c r="BE19" s="190">
        <v>52</v>
      </c>
      <c r="BF19" s="190">
        <v>0</v>
      </c>
      <c r="BG19" s="190">
        <v>1</v>
      </c>
      <c r="BH19" s="190">
        <v>2</v>
      </c>
      <c r="BI19" s="190">
        <v>53</v>
      </c>
      <c r="BJ19" s="190">
        <v>55</v>
      </c>
      <c r="BK19" s="190">
        <v>4</v>
      </c>
      <c r="BL19" s="190">
        <v>-4</v>
      </c>
      <c r="BM19" s="190">
        <v>0</v>
      </c>
      <c r="BN19" s="190">
        <v>0</v>
      </c>
      <c r="BO19" s="190">
        <v>3</v>
      </c>
      <c r="BP19" s="190">
        <v>3</v>
      </c>
      <c r="BQ19" s="190">
        <v>1</v>
      </c>
      <c r="BR19" s="190">
        <v>3</v>
      </c>
      <c r="BS19" s="190">
        <v>4</v>
      </c>
      <c r="BT19" s="190">
        <v>2</v>
      </c>
      <c r="BU19" s="190">
        <v>11</v>
      </c>
      <c r="BV19" s="190">
        <v>13</v>
      </c>
      <c r="BW19" s="190">
        <v>96</v>
      </c>
      <c r="BX19" s="190">
        <v>957</v>
      </c>
      <c r="BY19" s="190">
        <v>1053</v>
      </c>
      <c r="BZ19" s="190">
        <v>96</v>
      </c>
      <c r="CA19" s="190">
        <v>949</v>
      </c>
      <c r="CB19" s="190">
        <v>1045</v>
      </c>
      <c r="CC19" s="190">
        <v>2029</v>
      </c>
      <c r="CD19" s="190">
        <v>1</v>
      </c>
      <c r="CE19" s="190">
        <v>6</v>
      </c>
      <c r="CF19" s="190">
        <v>0</v>
      </c>
      <c r="CG19" s="190">
        <v>6</v>
      </c>
      <c r="CH19" s="190">
        <v>6</v>
      </c>
      <c r="CI19" s="190">
        <v>2</v>
      </c>
      <c r="CJ19" s="190">
        <v>0</v>
      </c>
      <c r="CK19" s="190">
        <v>0</v>
      </c>
      <c r="CL19" s="190">
        <v>2</v>
      </c>
      <c r="CM19" s="190">
        <v>2</v>
      </c>
      <c r="CN19" s="190">
        <v>5</v>
      </c>
      <c r="CO19" s="190">
        <v>76</v>
      </c>
      <c r="CP19" s="190">
        <v>81</v>
      </c>
      <c r="CQ19" s="190">
        <v>0</v>
      </c>
      <c r="CR19" s="190">
        <v>0</v>
      </c>
      <c r="CS19" s="190">
        <v>0</v>
      </c>
      <c r="CT19" s="190">
        <v>91</v>
      </c>
      <c r="CU19" s="190">
        <v>881</v>
      </c>
      <c r="CV19" s="190">
        <v>972</v>
      </c>
      <c r="CW19" s="190">
        <v>7</v>
      </c>
      <c r="CX19" s="190">
        <v>45</v>
      </c>
      <c r="CY19" s="190">
        <v>52</v>
      </c>
      <c r="CZ19" s="190">
        <v>7</v>
      </c>
      <c r="DA19" s="190">
        <v>0</v>
      </c>
      <c r="DB19" s="190">
        <v>0</v>
      </c>
      <c r="DC19" s="190">
        <v>45</v>
      </c>
      <c r="DD19" s="190">
        <v>0</v>
      </c>
      <c r="DE19" s="190">
        <v>0</v>
      </c>
      <c r="DF19" s="190">
        <v>7</v>
      </c>
      <c r="DG19" s="190">
        <v>45</v>
      </c>
      <c r="DH19" s="190">
        <v>52</v>
      </c>
      <c r="DI19" s="190">
        <v>0</v>
      </c>
      <c r="DJ19" s="190">
        <v>0</v>
      </c>
      <c r="DK19" s="190">
        <v>0</v>
      </c>
      <c r="DL19" s="190">
        <v>0</v>
      </c>
      <c r="DM19" s="190">
        <v>0</v>
      </c>
      <c r="DN19" s="190">
        <v>0</v>
      </c>
      <c r="DO19" s="190">
        <v>0</v>
      </c>
      <c r="DP19" s="190">
        <v>0</v>
      </c>
      <c r="DQ19" s="190">
        <v>0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5764</v>
      </c>
      <c r="C20" s="190">
        <v>1521</v>
      </c>
      <c r="D20" s="190">
        <v>6176</v>
      </c>
      <c r="E20" s="190">
        <v>3832</v>
      </c>
      <c r="F20" s="190">
        <v>7</v>
      </c>
      <c r="G20" s="190">
        <v>44</v>
      </c>
      <c r="H20" s="190">
        <v>51</v>
      </c>
      <c r="I20" s="190">
        <v>1</v>
      </c>
      <c r="J20" s="190">
        <v>2074</v>
      </c>
      <c r="K20" s="190">
        <v>2075</v>
      </c>
      <c r="L20" s="190">
        <v>1</v>
      </c>
      <c r="M20" s="190">
        <v>1059</v>
      </c>
      <c r="N20" s="190">
        <v>1060</v>
      </c>
      <c r="O20" s="190">
        <v>0</v>
      </c>
      <c r="P20" s="190">
        <v>1015</v>
      </c>
      <c r="Q20" s="190">
        <v>1015</v>
      </c>
      <c r="R20" s="190">
        <v>0</v>
      </c>
      <c r="S20" s="190">
        <v>39</v>
      </c>
      <c r="T20" s="190">
        <v>39</v>
      </c>
      <c r="U20" s="190">
        <v>0</v>
      </c>
      <c r="V20" s="190">
        <v>269</v>
      </c>
      <c r="W20" s="190">
        <v>269</v>
      </c>
      <c r="X20" s="190">
        <v>193</v>
      </c>
      <c r="Y20" s="190">
        <v>5982</v>
      </c>
      <c r="Z20" s="190">
        <v>6175</v>
      </c>
      <c r="AA20" s="190">
        <v>111</v>
      </c>
      <c r="AB20" s="190">
        <v>2232</v>
      </c>
      <c r="AC20" s="190">
        <v>2343</v>
      </c>
      <c r="AD20" s="190">
        <v>109</v>
      </c>
      <c r="AE20" s="190">
        <v>2093</v>
      </c>
      <c r="AF20" s="190">
        <v>2202</v>
      </c>
      <c r="AG20" s="190">
        <v>2</v>
      </c>
      <c r="AH20" s="190">
        <v>102</v>
      </c>
      <c r="AI20" s="190">
        <v>104</v>
      </c>
      <c r="AJ20" s="190">
        <v>0</v>
      </c>
      <c r="AK20" s="190">
        <v>37</v>
      </c>
      <c r="AL20" s="190">
        <v>37</v>
      </c>
      <c r="AM20" s="190">
        <v>82</v>
      </c>
      <c r="AN20" s="190">
        <v>3750</v>
      </c>
      <c r="AO20" s="190">
        <v>3832</v>
      </c>
      <c r="AP20" s="190">
        <v>9624</v>
      </c>
      <c r="AQ20" s="190">
        <v>56253</v>
      </c>
      <c r="AR20" s="190">
        <v>65877</v>
      </c>
      <c r="AS20" s="190">
        <v>9624</v>
      </c>
      <c r="AT20" s="190">
        <v>56255</v>
      </c>
      <c r="AU20" s="190">
        <v>65879</v>
      </c>
      <c r="AV20" s="190">
        <v>0</v>
      </c>
      <c r="AW20" s="190">
        <v>-2</v>
      </c>
      <c r="AX20" s="190">
        <v>-2</v>
      </c>
      <c r="AY20" s="190">
        <v>434</v>
      </c>
      <c r="AZ20" s="190">
        <v>5367</v>
      </c>
      <c r="BA20" s="190">
        <v>5801</v>
      </c>
      <c r="BB20" s="190">
        <v>242</v>
      </c>
      <c r="BC20" s="190">
        <v>1</v>
      </c>
      <c r="BD20" s="190">
        <v>1</v>
      </c>
      <c r="BE20" s="190">
        <v>3530</v>
      </c>
      <c r="BF20" s="190">
        <v>37</v>
      </c>
      <c r="BG20" s="190">
        <v>21</v>
      </c>
      <c r="BH20" s="190">
        <v>244</v>
      </c>
      <c r="BI20" s="190">
        <v>3588</v>
      </c>
      <c r="BJ20" s="190">
        <v>3832</v>
      </c>
      <c r="BK20" s="190">
        <v>-5</v>
      </c>
      <c r="BL20" s="190">
        <v>5</v>
      </c>
      <c r="BM20" s="190">
        <v>0</v>
      </c>
      <c r="BN20" s="190">
        <v>14</v>
      </c>
      <c r="BO20" s="190">
        <v>81</v>
      </c>
      <c r="BP20" s="190">
        <v>95</v>
      </c>
      <c r="BQ20" s="190">
        <v>53</v>
      </c>
      <c r="BR20" s="190">
        <v>507</v>
      </c>
      <c r="BS20" s="190">
        <v>560</v>
      </c>
      <c r="BT20" s="190">
        <v>128</v>
      </c>
      <c r="BU20" s="190">
        <v>1186</v>
      </c>
      <c r="BV20" s="190">
        <v>1314</v>
      </c>
      <c r="BW20" s="190">
        <v>10058</v>
      </c>
      <c r="BX20" s="190">
        <v>61620</v>
      </c>
      <c r="BY20" s="190">
        <v>71678</v>
      </c>
      <c r="BZ20" s="190">
        <v>9994</v>
      </c>
      <c r="CA20" s="190">
        <v>60612</v>
      </c>
      <c r="CB20" s="190">
        <v>70606</v>
      </c>
      <c r="CC20" s="190">
        <v>164744</v>
      </c>
      <c r="CD20" s="190">
        <v>48</v>
      </c>
      <c r="CE20" s="190">
        <v>841</v>
      </c>
      <c r="CF20" s="190">
        <v>62</v>
      </c>
      <c r="CG20" s="190">
        <v>752</v>
      </c>
      <c r="CH20" s="190">
        <v>814</v>
      </c>
      <c r="CI20" s="190">
        <v>328</v>
      </c>
      <c r="CJ20" s="190">
        <v>16</v>
      </c>
      <c r="CK20" s="190">
        <v>2</v>
      </c>
      <c r="CL20" s="190">
        <v>256</v>
      </c>
      <c r="CM20" s="190">
        <v>258</v>
      </c>
      <c r="CN20" s="190">
        <v>432</v>
      </c>
      <c r="CO20" s="190">
        <v>5442</v>
      </c>
      <c r="CP20" s="190">
        <v>5874</v>
      </c>
      <c r="CQ20" s="190">
        <v>0</v>
      </c>
      <c r="CR20" s="190">
        <v>2</v>
      </c>
      <c r="CS20" s="190">
        <v>2</v>
      </c>
      <c r="CT20" s="190">
        <v>9626</v>
      </c>
      <c r="CU20" s="190">
        <v>56178</v>
      </c>
      <c r="CV20" s="190">
        <v>65804</v>
      </c>
      <c r="CW20" s="190">
        <v>655</v>
      </c>
      <c r="CX20" s="190">
        <v>2565</v>
      </c>
      <c r="CY20" s="190">
        <v>3220</v>
      </c>
      <c r="CZ20" s="190">
        <v>649</v>
      </c>
      <c r="DA20" s="190">
        <v>4</v>
      </c>
      <c r="DB20" s="190">
        <v>0</v>
      </c>
      <c r="DC20" s="190">
        <v>2460</v>
      </c>
      <c r="DD20" s="190">
        <v>36</v>
      </c>
      <c r="DE20" s="190">
        <v>8</v>
      </c>
      <c r="DF20" s="190">
        <v>653</v>
      </c>
      <c r="DG20" s="190">
        <v>2504</v>
      </c>
      <c r="DH20" s="190">
        <v>3157</v>
      </c>
      <c r="DI20" s="190">
        <v>2</v>
      </c>
      <c r="DJ20" s="190">
        <v>0</v>
      </c>
      <c r="DK20" s="190">
        <v>0</v>
      </c>
      <c r="DL20" s="190">
        <v>60</v>
      </c>
      <c r="DM20" s="190">
        <v>0</v>
      </c>
      <c r="DN20" s="190">
        <v>1</v>
      </c>
      <c r="DO20" s="190">
        <v>2</v>
      </c>
      <c r="DP20" s="190">
        <v>61</v>
      </c>
      <c r="DQ20" s="190">
        <v>63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793</v>
      </c>
      <c r="C21" s="190">
        <v>123</v>
      </c>
      <c r="D21" s="190">
        <v>788</v>
      </c>
      <c r="E21" s="190">
        <v>503</v>
      </c>
      <c r="F21" s="190">
        <v>0</v>
      </c>
      <c r="G21" s="190">
        <v>5</v>
      </c>
      <c r="H21" s="190">
        <v>5</v>
      </c>
      <c r="I21" s="190">
        <v>0</v>
      </c>
      <c r="J21" s="190">
        <v>262</v>
      </c>
      <c r="K21" s="190">
        <v>262</v>
      </c>
      <c r="L21" s="190">
        <v>0</v>
      </c>
      <c r="M21" s="190">
        <v>157</v>
      </c>
      <c r="N21" s="190">
        <v>157</v>
      </c>
      <c r="O21" s="190">
        <v>0</v>
      </c>
      <c r="P21" s="190">
        <v>105</v>
      </c>
      <c r="Q21" s="190">
        <v>105</v>
      </c>
      <c r="R21" s="190">
        <v>0</v>
      </c>
      <c r="S21" s="190">
        <v>9</v>
      </c>
      <c r="T21" s="190">
        <v>9</v>
      </c>
      <c r="U21" s="190">
        <v>0</v>
      </c>
      <c r="V21" s="190">
        <v>23</v>
      </c>
      <c r="W21" s="190">
        <v>23</v>
      </c>
      <c r="X21" s="190">
        <v>28</v>
      </c>
      <c r="Y21" s="190">
        <v>759</v>
      </c>
      <c r="Z21" s="190">
        <v>787</v>
      </c>
      <c r="AA21" s="190">
        <v>20</v>
      </c>
      <c r="AB21" s="190">
        <v>315</v>
      </c>
      <c r="AC21" s="190">
        <v>335</v>
      </c>
      <c r="AD21" s="190">
        <v>19</v>
      </c>
      <c r="AE21" s="190">
        <v>309</v>
      </c>
      <c r="AF21" s="190">
        <v>328</v>
      </c>
      <c r="AG21" s="190">
        <v>1</v>
      </c>
      <c r="AH21" s="190">
        <v>6</v>
      </c>
      <c r="AI21" s="190">
        <v>7</v>
      </c>
      <c r="AJ21" s="190">
        <v>0</v>
      </c>
      <c r="AK21" s="190">
        <v>0</v>
      </c>
      <c r="AL21" s="190">
        <v>0</v>
      </c>
      <c r="AM21" s="190">
        <v>8</v>
      </c>
      <c r="AN21" s="190">
        <v>444</v>
      </c>
      <c r="AO21" s="190">
        <v>452</v>
      </c>
      <c r="AP21" s="190">
        <v>1398</v>
      </c>
      <c r="AQ21" s="190">
        <v>8719</v>
      </c>
      <c r="AR21" s="190">
        <v>10117</v>
      </c>
      <c r="AS21" s="190">
        <v>1398</v>
      </c>
      <c r="AT21" s="190">
        <v>8719</v>
      </c>
      <c r="AU21" s="190">
        <v>10117</v>
      </c>
      <c r="AV21" s="190">
        <v>0</v>
      </c>
      <c r="AW21" s="190">
        <v>0</v>
      </c>
      <c r="AX21" s="190">
        <v>0</v>
      </c>
      <c r="AY21" s="190">
        <v>50</v>
      </c>
      <c r="AZ21" s="190">
        <v>752</v>
      </c>
      <c r="BA21" s="190">
        <v>802</v>
      </c>
      <c r="BB21" s="190">
        <v>28</v>
      </c>
      <c r="BC21" s="190">
        <v>0</v>
      </c>
      <c r="BD21" s="190">
        <v>0</v>
      </c>
      <c r="BE21" s="190">
        <v>471</v>
      </c>
      <c r="BF21" s="190">
        <v>4</v>
      </c>
      <c r="BG21" s="190">
        <v>0</v>
      </c>
      <c r="BH21" s="190">
        <v>28</v>
      </c>
      <c r="BI21" s="190">
        <v>475</v>
      </c>
      <c r="BJ21" s="190">
        <v>503</v>
      </c>
      <c r="BK21" s="190">
        <v>-4</v>
      </c>
      <c r="BL21" s="190">
        <v>4</v>
      </c>
      <c r="BM21" s="190">
        <v>0</v>
      </c>
      <c r="BN21" s="190">
        <v>7</v>
      </c>
      <c r="BO21" s="190">
        <v>11</v>
      </c>
      <c r="BP21" s="190">
        <v>18</v>
      </c>
      <c r="BQ21" s="190">
        <v>4</v>
      </c>
      <c r="BR21" s="190">
        <v>94</v>
      </c>
      <c r="BS21" s="190">
        <v>98</v>
      </c>
      <c r="BT21" s="190">
        <v>15</v>
      </c>
      <c r="BU21" s="190">
        <v>168</v>
      </c>
      <c r="BV21" s="190">
        <v>183</v>
      </c>
      <c r="BW21" s="190">
        <v>1448</v>
      </c>
      <c r="BX21" s="190">
        <v>9471</v>
      </c>
      <c r="BY21" s="190">
        <v>10919</v>
      </c>
      <c r="BZ21" s="190">
        <v>1432</v>
      </c>
      <c r="CA21" s="190">
        <v>9340</v>
      </c>
      <c r="CB21" s="190">
        <v>10772</v>
      </c>
      <c r="CC21" s="190">
        <v>24506</v>
      </c>
      <c r="CD21" s="190">
        <v>13</v>
      </c>
      <c r="CE21" s="190">
        <v>114</v>
      </c>
      <c r="CF21" s="190">
        <v>13</v>
      </c>
      <c r="CG21" s="190">
        <v>110</v>
      </c>
      <c r="CH21" s="190">
        <v>123</v>
      </c>
      <c r="CI21" s="190">
        <v>28</v>
      </c>
      <c r="CJ21" s="190">
        <v>2</v>
      </c>
      <c r="CK21" s="190">
        <v>3</v>
      </c>
      <c r="CL21" s="190">
        <v>21</v>
      </c>
      <c r="CM21" s="190">
        <v>24</v>
      </c>
      <c r="CN21" s="190">
        <v>69</v>
      </c>
      <c r="CO21" s="190">
        <v>882</v>
      </c>
      <c r="CP21" s="190">
        <v>951</v>
      </c>
      <c r="CQ21" s="190">
        <v>0</v>
      </c>
      <c r="CR21" s="190">
        <v>0</v>
      </c>
      <c r="CS21" s="190">
        <v>0</v>
      </c>
      <c r="CT21" s="190">
        <v>1379</v>
      </c>
      <c r="CU21" s="190">
        <v>8589</v>
      </c>
      <c r="CV21" s="190">
        <v>9968</v>
      </c>
      <c r="CW21" s="190">
        <v>92</v>
      </c>
      <c r="CX21" s="190">
        <v>378</v>
      </c>
      <c r="CY21" s="190">
        <v>470</v>
      </c>
      <c r="CZ21" s="190">
        <v>92</v>
      </c>
      <c r="DA21" s="190">
        <v>0</v>
      </c>
      <c r="DB21" s="190">
        <v>0</v>
      </c>
      <c r="DC21" s="190">
        <v>361</v>
      </c>
      <c r="DD21" s="190">
        <v>6</v>
      </c>
      <c r="DE21" s="190">
        <v>2</v>
      </c>
      <c r="DF21" s="190">
        <v>92</v>
      </c>
      <c r="DG21" s="190">
        <v>369</v>
      </c>
      <c r="DH21" s="190">
        <v>461</v>
      </c>
      <c r="DI21" s="190">
        <v>0</v>
      </c>
      <c r="DJ21" s="190">
        <v>0</v>
      </c>
      <c r="DK21" s="190">
        <v>0</v>
      </c>
      <c r="DL21" s="190">
        <v>9</v>
      </c>
      <c r="DM21" s="190">
        <v>0</v>
      </c>
      <c r="DN21" s="190">
        <v>0</v>
      </c>
      <c r="DO21" s="190">
        <v>0</v>
      </c>
      <c r="DP21" s="190">
        <v>9</v>
      </c>
      <c r="DQ21" s="190">
        <v>9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401</v>
      </c>
      <c r="C22" s="190">
        <v>53</v>
      </c>
      <c r="D22" s="190">
        <v>448</v>
      </c>
      <c r="E22" s="190">
        <v>309</v>
      </c>
      <c r="F22" s="190">
        <v>3</v>
      </c>
      <c r="G22" s="190">
        <v>20</v>
      </c>
      <c r="H22" s="190">
        <v>23</v>
      </c>
      <c r="I22" s="190">
        <v>0</v>
      </c>
      <c r="J22" s="190">
        <v>112</v>
      </c>
      <c r="K22" s="190">
        <v>112</v>
      </c>
      <c r="L22" s="190">
        <v>0</v>
      </c>
      <c r="M22" s="190">
        <v>51</v>
      </c>
      <c r="N22" s="190">
        <v>51</v>
      </c>
      <c r="O22" s="190">
        <v>0</v>
      </c>
      <c r="P22" s="190">
        <v>61</v>
      </c>
      <c r="Q22" s="190">
        <v>61</v>
      </c>
      <c r="R22" s="190">
        <v>0</v>
      </c>
      <c r="S22" s="190">
        <v>4</v>
      </c>
      <c r="T22" s="190">
        <v>4</v>
      </c>
      <c r="U22" s="190">
        <v>0</v>
      </c>
      <c r="V22" s="190">
        <v>27</v>
      </c>
      <c r="W22" s="190">
        <v>27</v>
      </c>
      <c r="X22" s="190">
        <v>6</v>
      </c>
      <c r="Y22" s="190">
        <v>442</v>
      </c>
      <c r="Z22" s="190">
        <v>448</v>
      </c>
      <c r="AA22" s="190">
        <v>2</v>
      </c>
      <c r="AB22" s="190">
        <v>193</v>
      </c>
      <c r="AC22" s="190">
        <v>195</v>
      </c>
      <c r="AD22" s="190">
        <v>2</v>
      </c>
      <c r="AE22" s="190">
        <v>184</v>
      </c>
      <c r="AF22" s="190">
        <v>186</v>
      </c>
      <c r="AG22" s="190">
        <v>0</v>
      </c>
      <c r="AH22" s="190">
        <v>4</v>
      </c>
      <c r="AI22" s="190">
        <v>4</v>
      </c>
      <c r="AJ22" s="190">
        <v>0</v>
      </c>
      <c r="AK22" s="190">
        <v>5</v>
      </c>
      <c r="AL22" s="190">
        <v>5</v>
      </c>
      <c r="AM22" s="190">
        <v>4</v>
      </c>
      <c r="AN22" s="190">
        <v>249</v>
      </c>
      <c r="AO22" s="190">
        <v>253</v>
      </c>
      <c r="AP22" s="190">
        <v>555</v>
      </c>
      <c r="AQ22" s="190">
        <v>5535</v>
      </c>
      <c r="AR22" s="190">
        <v>6090</v>
      </c>
      <c r="AS22" s="190">
        <v>555</v>
      </c>
      <c r="AT22" s="190">
        <v>5535</v>
      </c>
      <c r="AU22" s="190">
        <v>6090</v>
      </c>
      <c r="AV22" s="190">
        <v>0</v>
      </c>
      <c r="AW22" s="190">
        <v>0</v>
      </c>
      <c r="AX22" s="190">
        <v>0</v>
      </c>
      <c r="AY22" s="190">
        <v>50</v>
      </c>
      <c r="AZ22" s="190">
        <v>580</v>
      </c>
      <c r="BA22" s="190">
        <v>630</v>
      </c>
      <c r="BB22" s="190">
        <v>13</v>
      </c>
      <c r="BC22" s="190">
        <v>0</v>
      </c>
      <c r="BD22" s="190">
        <v>0</v>
      </c>
      <c r="BE22" s="190">
        <v>295</v>
      </c>
      <c r="BF22" s="190">
        <v>1</v>
      </c>
      <c r="BG22" s="190">
        <v>0</v>
      </c>
      <c r="BH22" s="190">
        <v>13</v>
      </c>
      <c r="BI22" s="190">
        <v>296</v>
      </c>
      <c r="BJ22" s="190">
        <v>309</v>
      </c>
      <c r="BK22" s="190">
        <v>13</v>
      </c>
      <c r="BL22" s="190">
        <v>-13</v>
      </c>
      <c r="BM22" s="190">
        <v>0</v>
      </c>
      <c r="BN22" s="190">
        <v>3</v>
      </c>
      <c r="BO22" s="190">
        <v>17</v>
      </c>
      <c r="BP22" s="190">
        <v>20</v>
      </c>
      <c r="BQ22" s="190">
        <v>1</v>
      </c>
      <c r="BR22" s="190">
        <v>29</v>
      </c>
      <c r="BS22" s="190">
        <v>30</v>
      </c>
      <c r="BT22" s="190">
        <v>20</v>
      </c>
      <c r="BU22" s="190">
        <v>251</v>
      </c>
      <c r="BV22" s="190">
        <v>271</v>
      </c>
      <c r="BW22" s="190">
        <v>605</v>
      </c>
      <c r="BX22" s="190">
        <v>6115</v>
      </c>
      <c r="BY22" s="190">
        <v>6720</v>
      </c>
      <c r="BZ22" s="190">
        <v>602</v>
      </c>
      <c r="CA22" s="190">
        <v>6088</v>
      </c>
      <c r="CB22" s="190">
        <v>6690</v>
      </c>
      <c r="CC22" s="190">
        <v>12566</v>
      </c>
      <c r="CD22" s="190">
        <v>3</v>
      </c>
      <c r="CE22" s="190">
        <v>23</v>
      </c>
      <c r="CF22" s="190">
        <v>3</v>
      </c>
      <c r="CG22" s="190">
        <v>21</v>
      </c>
      <c r="CH22" s="190">
        <v>24</v>
      </c>
      <c r="CI22" s="190">
        <v>8</v>
      </c>
      <c r="CJ22" s="190">
        <v>0</v>
      </c>
      <c r="CK22" s="190">
        <v>0</v>
      </c>
      <c r="CL22" s="190">
        <v>6</v>
      </c>
      <c r="CM22" s="190">
        <v>6</v>
      </c>
      <c r="CN22" s="190">
        <v>42</v>
      </c>
      <c r="CO22" s="190">
        <v>557</v>
      </c>
      <c r="CP22" s="190">
        <v>599</v>
      </c>
      <c r="CQ22" s="190">
        <v>0</v>
      </c>
      <c r="CR22" s="190">
        <v>0</v>
      </c>
      <c r="CS22" s="190">
        <v>0</v>
      </c>
      <c r="CT22" s="190">
        <v>563</v>
      </c>
      <c r="CU22" s="190">
        <v>5558</v>
      </c>
      <c r="CV22" s="190">
        <v>6121</v>
      </c>
      <c r="CW22" s="190">
        <v>41</v>
      </c>
      <c r="CX22" s="190">
        <v>339</v>
      </c>
      <c r="CY22" s="190">
        <v>380</v>
      </c>
      <c r="CZ22" s="190">
        <v>41</v>
      </c>
      <c r="DA22" s="190">
        <v>0</v>
      </c>
      <c r="DB22" s="190">
        <v>0</v>
      </c>
      <c r="DC22" s="190">
        <v>334</v>
      </c>
      <c r="DD22" s="190">
        <v>1</v>
      </c>
      <c r="DE22" s="190">
        <v>0</v>
      </c>
      <c r="DF22" s="190">
        <v>41</v>
      </c>
      <c r="DG22" s="190">
        <v>335</v>
      </c>
      <c r="DH22" s="190">
        <v>376</v>
      </c>
      <c r="DI22" s="190">
        <v>0</v>
      </c>
      <c r="DJ22" s="190">
        <v>0</v>
      </c>
      <c r="DK22" s="190">
        <v>0</v>
      </c>
      <c r="DL22" s="190">
        <v>4</v>
      </c>
      <c r="DM22" s="190">
        <v>0</v>
      </c>
      <c r="DN22" s="190">
        <v>0</v>
      </c>
      <c r="DO22" s="190">
        <v>0</v>
      </c>
      <c r="DP22" s="190">
        <v>4</v>
      </c>
      <c r="DQ22" s="190">
        <v>4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127</v>
      </c>
      <c r="C23" s="190">
        <v>16</v>
      </c>
      <c r="D23" s="190">
        <v>141</v>
      </c>
      <c r="E23" s="190">
        <v>105</v>
      </c>
      <c r="F23" s="190">
        <v>3</v>
      </c>
      <c r="G23" s="190">
        <v>10</v>
      </c>
      <c r="H23" s="190">
        <v>13</v>
      </c>
      <c r="I23" s="190">
        <v>0</v>
      </c>
      <c r="J23" s="190">
        <v>32</v>
      </c>
      <c r="K23" s="190">
        <v>32</v>
      </c>
      <c r="L23" s="190">
        <v>0</v>
      </c>
      <c r="M23" s="190">
        <v>17</v>
      </c>
      <c r="N23" s="190">
        <v>17</v>
      </c>
      <c r="O23" s="190">
        <v>0</v>
      </c>
      <c r="P23" s="190">
        <v>15</v>
      </c>
      <c r="Q23" s="190">
        <v>15</v>
      </c>
      <c r="R23" s="190">
        <v>0</v>
      </c>
      <c r="S23" s="190">
        <v>1</v>
      </c>
      <c r="T23" s="190">
        <v>1</v>
      </c>
      <c r="U23" s="190">
        <v>0</v>
      </c>
      <c r="V23" s="190">
        <v>4</v>
      </c>
      <c r="W23" s="190">
        <v>4</v>
      </c>
      <c r="X23" s="190">
        <v>5</v>
      </c>
      <c r="Y23" s="190">
        <v>136</v>
      </c>
      <c r="Z23" s="190">
        <v>141</v>
      </c>
      <c r="AA23" s="190">
        <v>1</v>
      </c>
      <c r="AB23" s="190">
        <v>73</v>
      </c>
      <c r="AC23" s="190">
        <v>74</v>
      </c>
      <c r="AD23" s="190">
        <v>1</v>
      </c>
      <c r="AE23" s="190">
        <v>52</v>
      </c>
      <c r="AF23" s="190">
        <v>53</v>
      </c>
      <c r="AG23" s="190">
        <v>0</v>
      </c>
      <c r="AH23" s="190">
        <v>10</v>
      </c>
      <c r="AI23" s="190">
        <v>10</v>
      </c>
      <c r="AJ23" s="190">
        <v>0</v>
      </c>
      <c r="AK23" s="190">
        <v>11</v>
      </c>
      <c r="AL23" s="190">
        <v>11</v>
      </c>
      <c r="AM23" s="190">
        <v>4</v>
      </c>
      <c r="AN23" s="190">
        <v>63</v>
      </c>
      <c r="AO23" s="190">
        <v>67</v>
      </c>
      <c r="AP23" s="190">
        <v>209</v>
      </c>
      <c r="AQ23" s="190">
        <v>1209</v>
      </c>
      <c r="AR23" s="190">
        <v>1418</v>
      </c>
      <c r="AS23" s="190">
        <v>209</v>
      </c>
      <c r="AT23" s="190">
        <v>1209</v>
      </c>
      <c r="AU23" s="190">
        <v>1418</v>
      </c>
      <c r="AV23" s="190">
        <v>0</v>
      </c>
      <c r="AW23" s="190">
        <v>0</v>
      </c>
      <c r="AX23" s="190">
        <v>0</v>
      </c>
      <c r="AY23" s="190">
        <v>19</v>
      </c>
      <c r="AZ23" s="190">
        <v>169</v>
      </c>
      <c r="BA23" s="190">
        <v>188</v>
      </c>
      <c r="BB23" s="190">
        <v>10</v>
      </c>
      <c r="BC23" s="190">
        <v>0</v>
      </c>
      <c r="BD23" s="190">
        <v>0</v>
      </c>
      <c r="BE23" s="190">
        <v>95</v>
      </c>
      <c r="BF23" s="190">
        <v>0</v>
      </c>
      <c r="BG23" s="190">
        <v>0</v>
      </c>
      <c r="BH23" s="190">
        <v>10</v>
      </c>
      <c r="BI23" s="190">
        <v>95</v>
      </c>
      <c r="BJ23" s="190">
        <v>105</v>
      </c>
      <c r="BK23" s="190">
        <v>-1</v>
      </c>
      <c r="BL23" s="190">
        <v>1</v>
      </c>
      <c r="BM23" s="190">
        <v>0</v>
      </c>
      <c r="BN23" s="190">
        <v>2</v>
      </c>
      <c r="BO23" s="190">
        <v>4</v>
      </c>
      <c r="BP23" s="190">
        <v>6</v>
      </c>
      <c r="BQ23" s="190">
        <v>2</v>
      </c>
      <c r="BR23" s="190">
        <v>34</v>
      </c>
      <c r="BS23" s="190">
        <v>36</v>
      </c>
      <c r="BT23" s="190">
        <v>6</v>
      </c>
      <c r="BU23" s="190">
        <v>35</v>
      </c>
      <c r="BV23" s="190">
        <v>41</v>
      </c>
      <c r="BW23" s="190">
        <v>228</v>
      </c>
      <c r="BX23" s="190">
        <v>1378</v>
      </c>
      <c r="BY23" s="190">
        <v>1606</v>
      </c>
      <c r="BZ23" s="190">
        <v>228</v>
      </c>
      <c r="CA23" s="190">
        <v>1375</v>
      </c>
      <c r="CB23" s="190">
        <v>1603</v>
      </c>
      <c r="CC23" s="190">
        <v>3177</v>
      </c>
      <c r="CD23" s="190">
        <v>0</v>
      </c>
      <c r="CE23" s="190">
        <v>4</v>
      </c>
      <c r="CF23" s="190">
        <v>0</v>
      </c>
      <c r="CG23" s="190">
        <v>3</v>
      </c>
      <c r="CH23" s="190">
        <v>3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19</v>
      </c>
      <c r="CO23" s="190">
        <v>150</v>
      </c>
      <c r="CP23" s="190">
        <v>169</v>
      </c>
      <c r="CQ23" s="190">
        <v>0</v>
      </c>
      <c r="CR23" s="190">
        <v>0</v>
      </c>
      <c r="CS23" s="190">
        <v>0</v>
      </c>
      <c r="CT23" s="190">
        <v>209</v>
      </c>
      <c r="CU23" s="190">
        <v>1228</v>
      </c>
      <c r="CV23" s="190">
        <v>1437</v>
      </c>
      <c r="CW23" s="190">
        <v>10</v>
      </c>
      <c r="CX23" s="190">
        <v>73</v>
      </c>
      <c r="CY23" s="190">
        <v>83</v>
      </c>
      <c r="CZ23" s="190">
        <v>10</v>
      </c>
      <c r="DA23" s="190">
        <v>0</v>
      </c>
      <c r="DB23" s="190">
        <v>0</v>
      </c>
      <c r="DC23" s="190">
        <v>73</v>
      </c>
      <c r="DD23" s="190">
        <v>0</v>
      </c>
      <c r="DE23" s="190">
        <v>0</v>
      </c>
      <c r="DF23" s="190">
        <v>10</v>
      </c>
      <c r="DG23" s="190">
        <v>73</v>
      </c>
      <c r="DH23" s="190">
        <v>83</v>
      </c>
      <c r="DI23" s="190">
        <v>0</v>
      </c>
      <c r="DJ23" s="190">
        <v>0</v>
      </c>
      <c r="DK23" s="190">
        <v>0</v>
      </c>
      <c r="DL23" s="190">
        <v>0</v>
      </c>
      <c r="DM23" s="190">
        <v>0</v>
      </c>
      <c r="DN23" s="190">
        <v>0</v>
      </c>
      <c r="DO23" s="190">
        <v>0</v>
      </c>
      <c r="DP23" s="190">
        <v>0</v>
      </c>
      <c r="DQ23" s="190">
        <v>0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33964</v>
      </c>
      <c r="C24" s="190">
        <v>6162</v>
      </c>
      <c r="D24" s="190">
        <v>36068</v>
      </c>
      <c r="E24" s="190">
        <v>26016</v>
      </c>
      <c r="F24" s="190">
        <v>158</v>
      </c>
      <c r="G24" s="190">
        <v>764</v>
      </c>
      <c r="H24" s="190">
        <v>922</v>
      </c>
      <c r="I24" s="190">
        <v>15</v>
      </c>
      <c r="J24" s="190">
        <v>8622</v>
      </c>
      <c r="K24" s="190">
        <v>8637</v>
      </c>
      <c r="L24" s="190">
        <v>0</v>
      </c>
      <c r="M24" s="190">
        <v>3154</v>
      </c>
      <c r="N24" s="190">
        <v>3154</v>
      </c>
      <c r="O24" s="190">
        <v>15</v>
      </c>
      <c r="P24" s="190">
        <v>5468</v>
      </c>
      <c r="Q24" s="190">
        <v>5483</v>
      </c>
      <c r="R24" s="190">
        <v>5</v>
      </c>
      <c r="S24" s="190">
        <v>297</v>
      </c>
      <c r="T24" s="190">
        <v>302</v>
      </c>
      <c r="U24" s="190">
        <v>0</v>
      </c>
      <c r="V24" s="190">
        <v>1415</v>
      </c>
      <c r="W24" s="190">
        <v>1415</v>
      </c>
      <c r="X24" s="190">
        <v>2760</v>
      </c>
      <c r="Y24" s="190">
        <v>33293</v>
      </c>
      <c r="Z24" s="190">
        <v>36053</v>
      </c>
      <c r="AA24" s="190">
        <v>1890</v>
      </c>
      <c r="AB24" s="190">
        <v>15128</v>
      </c>
      <c r="AC24" s="190">
        <v>17018</v>
      </c>
      <c r="AD24" s="190">
        <v>1404</v>
      </c>
      <c r="AE24" s="190">
        <v>13188</v>
      </c>
      <c r="AF24" s="190">
        <v>14592</v>
      </c>
      <c r="AG24" s="190">
        <v>130</v>
      </c>
      <c r="AH24" s="190">
        <v>592</v>
      </c>
      <c r="AI24" s="190">
        <v>722</v>
      </c>
      <c r="AJ24" s="190">
        <v>356</v>
      </c>
      <c r="AK24" s="190">
        <v>1348</v>
      </c>
      <c r="AL24" s="190">
        <v>1704</v>
      </c>
      <c r="AM24" s="190">
        <v>870</v>
      </c>
      <c r="AN24" s="190">
        <v>18165</v>
      </c>
      <c r="AO24" s="190">
        <v>19035</v>
      </c>
      <c r="AP24" s="190">
        <v>82437</v>
      </c>
      <c r="AQ24" s="190">
        <v>443893</v>
      </c>
      <c r="AR24" s="190">
        <v>526330</v>
      </c>
      <c r="AS24" s="190">
        <v>81682</v>
      </c>
      <c r="AT24" s="190">
        <v>440942</v>
      </c>
      <c r="AU24" s="190">
        <v>522624</v>
      </c>
      <c r="AV24" s="190">
        <v>755</v>
      </c>
      <c r="AW24" s="190">
        <v>2951</v>
      </c>
      <c r="AX24" s="190">
        <v>3706</v>
      </c>
      <c r="AY24" s="190">
        <v>6316</v>
      </c>
      <c r="AZ24" s="190">
        <v>38390</v>
      </c>
      <c r="BA24" s="190">
        <v>44706</v>
      </c>
      <c r="BB24" s="190">
        <v>2894</v>
      </c>
      <c r="BC24" s="190">
        <v>63</v>
      </c>
      <c r="BD24" s="190">
        <v>14</v>
      </c>
      <c r="BE24" s="190">
        <v>22544</v>
      </c>
      <c r="BF24" s="190">
        <v>279</v>
      </c>
      <c r="BG24" s="190">
        <v>222</v>
      </c>
      <c r="BH24" s="190">
        <v>2971</v>
      </c>
      <c r="BI24" s="190">
        <v>23045</v>
      </c>
      <c r="BJ24" s="190">
        <v>26016</v>
      </c>
      <c r="BK24" s="190">
        <v>-331</v>
      </c>
      <c r="BL24" s="190">
        <v>331</v>
      </c>
      <c r="BM24" s="190">
        <v>0</v>
      </c>
      <c r="BN24" s="190">
        <v>181</v>
      </c>
      <c r="BO24" s="190">
        <v>52</v>
      </c>
      <c r="BP24" s="190">
        <v>233</v>
      </c>
      <c r="BQ24" s="190">
        <v>288</v>
      </c>
      <c r="BR24" s="190">
        <v>1388</v>
      </c>
      <c r="BS24" s="190">
        <v>1676</v>
      </c>
      <c r="BT24" s="190">
        <v>3207</v>
      </c>
      <c r="BU24" s="190">
        <v>13574</v>
      </c>
      <c r="BV24" s="190">
        <v>16781</v>
      </c>
      <c r="BW24" s="190">
        <v>88753</v>
      </c>
      <c r="BX24" s="190">
        <v>482283</v>
      </c>
      <c r="BY24" s="190">
        <v>571036</v>
      </c>
      <c r="BZ24" s="190">
        <v>86452</v>
      </c>
      <c r="CA24" s="190">
        <v>473169</v>
      </c>
      <c r="CB24" s="190">
        <v>559621</v>
      </c>
      <c r="CC24" s="190">
        <v>1127711</v>
      </c>
      <c r="CD24" s="190">
        <v>661</v>
      </c>
      <c r="CE24" s="190">
        <v>9219</v>
      </c>
      <c r="CF24" s="190">
        <v>2248</v>
      </c>
      <c r="CG24" s="190">
        <v>5535</v>
      </c>
      <c r="CH24" s="190">
        <v>7783</v>
      </c>
      <c r="CI24" s="190">
        <v>4121</v>
      </c>
      <c r="CJ24" s="190">
        <v>534</v>
      </c>
      <c r="CK24" s="190">
        <v>53</v>
      </c>
      <c r="CL24" s="190">
        <v>3579</v>
      </c>
      <c r="CM24" s="190">
        <v>3632</v>
      </c>
      <c r="CN24" s="190">
        <v>5487</v>
      </c>
      <c r="CO24" s="190">
        <v>45346</v>
      </c>
      <c r="CP24" s="190">
        <v>50833</v>
      </c>
      <c r="CQ24" s="190">
        <v>30</v>
      </c>
      <c r="CR24" s="190">
        <v>80</v>
      </c>
      <c r="CS24" s="190">
        <v>110</v>
      </c>
      <c r="CT24" s="190">
        <v>83266</v>
      </c>
      <c r="CU24" s="190">
        <v>436937</v>
      </c>
      <c r="CV24" s="190">
        <v>520203</v>
      </c>
      <c r="CW24" s="190">
        <v>5536</v>
      </c>
      <c r="CX24" s="190">
        <v>16292</v>
      </c>
      <c r="CY24" s="190">
        <v>21828</v>
      </c>
      <c r="CZ24" s="190">
        <v>5269</v>
      </c>
      <c r="DA24" s="190">
        <v>166</v>
      </c>
      <c r="DB24" s="190">
        <v>3</v>
      </c>
      <c r="DC24" s="190">
        <v>15458</v>
      </c>
      <c r="DD24" s="190">
        <v>287</v>
      </c>
      <c r="DE24" s="190">
        <v>91</v>
      </c>
      <c r="DF24" s="190">
        <v>5438</v>
      </c>
      <c r="DG24" s="190">
        <v>15836</v>
      </c>
      <c r="DH24" s="190">
        <v>21274</v>
      </c>
      <c r="DI24" s="190">
        <v>93</v>
      </c>
      <c r="DJ24" s="190">
        <v>5</v>
      </c>
      <c r="DK24" s="190">
        <v>0</v>
      </c>
      <c r="DL24" s="190">
        <v>446</v>
      </c>
      <c r="DM24" s="190">
        <v>10</v>
      </c>
      <c r="DN24" s="190">
        <v>0</v>
      </c>
      <c r="DO24" s="190">
        <v>98</v>
      </c>
      <c r="DP24" s="190">
        <v>456</v>
      </c>
      <c r="DQ24" s="190">
        <v>554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717</v>
      </c>
      <c r="C25" s="190">
        <v>113</v>
      </c>
      <c r="D25" s="190">
        <v>723</v>
      </c>
      <c r="E25" s="190">
        <v>451</v>
      </c>
      <c r="F25" s="190">
        <v>0</v>
      </c>
      <c r="G25" s="190">
        <v>3</v>
      </c>
      <c r="H25" s="190">
        <v>3</v>
      </c>
      <c r="I25" s="190">
        <v>0</v>
      </c>
      <c r="J25" s="190">
        <v>251</v>
      </c>
      <c r="K25" s="190">
        <v>251</v>
      </c>
      <c r="L25" s="190">
        <v>0</v>
      </c>
      <c r="M25" s="190">
        <v>110</v>
      </c>
      <c r="N25" s="190">
        <v>110</v>
      </c>
      <c r="O25" s="190">
        <v>0</v>
      </c>
      <c r="P25" s="190">
        <v>141</v>
      </c>
      <c r="Q25" s="190">
        <v>141</v>
      </c>
      <c r="R25" s="190">
        <v>0</v>
      </c>
      <c r="S25" s="190">
        <v>1</v>
      </c>
      <c r="T25" s="190">
        <v>1</v>
      </c>
      <c r="U25" s="190">
        <v>0</v>
      </c>
      <c r="V25" s="190">
        <v>21</v>
      </c>
      <c r="W25" s="190">
        <v>21</v>
      </c>
      <c r="X25" s="190">
        <v>26</v>
      </c>
      <c r="Y25" s="190">
        <v>696</v>
      </c>
      <c r="Z25" s="190">
        <v>722</v>
      </c>
      <c r="AA25" s="190">
        <v>12</v>
      </c>
      <c r="AB25" s="190">
        <v>247</v>
      </c>
      <c r="AC25" s="190">
        <v>259</v>
      </c>
      <c r="AD25" s="190">
        <v>12</v>
      </c>
      <c r="AE25" s="190">
        <v>235</v>
      </c>
      <c r="AF25" s="190">
        <v>247</v>
      </c>
      <c r="AG25" s="190">
        <v>0</v>
      </c>
      <c r="AH25" s="190">
        <v>9</v>
      </c>
      <c r="AI25" s="190">
        <v>9</v>
      </c>
      <c r="AJ25" s="190">
        <v>0</v>
      </c>
      <c r="AK25" s="190">
        <v>3</v>
      </c>
      <c r="AL25" s="190">
        <v>3</v>
      </c>
      <c r="AM25" s="190">
        <v>14</v>
      </c>
      <c r="AN25" s="190">
        <v>449</v>
      </c>
      <c r="AO25" s="190">
        <v>463</v>
      </c>
      <c r="AP25" s="190">
        <v>1582</v>
      </c>
      <c r="AQ25" s="190">
        <v>9501</v>
      </c>
      <c r="AR25" s="190">
        <v>11083</v>
      </c>
      <c r="AS25" s="190">
        <v>1582</v>
      </c>
      <c r="AT25" s="190">
        <v>9501</v>
      </c>
      <c r="AU25" s="190">
        <v>11083</v>
      </c>
      <c r="AV25" s="190">
        <v>0</v>
      </c>
      <c r="AW25" s="190">
        <v>0</v>
      </c>
      <c r="AX25" s="190">
        <v>0</v>
      </c>
      <c r="AY25" s="190">
        <v>58</v>
      </c>
      <c r="AZ25" s="190">
        <v>684</v>
      </c>
      <c r="BA25" s="190">
        <v>742</v>
      </c>
      <c r="BB25" s="190">
        <v>35</v>
      </c>
      <c r="BC25" s="190">
        <v>0</v>
      </c>
      <c r="BD25" s="190">
        <v>0</v>
      </c>
      <c r="BE25" s="190">
        <v>413</v>
      </c>
      <c r="BF25" s="190">
        <v>3</v>
      </c>
      <c r="BG25" s="190">
        <v>0</v>
      </c>
      <c r="BH25" s="190">
        <v>35</v>
      </c>
      <c r="BI25" s="190">
        <v>416</v>
      </c>
      <c r="BJ25" s="190">
        <v>451</v>
      </c>
      <c r="BK25" s="190">
        <v>-37</v>
      </c>
      <c r="BL25" s="190">
        <v>37</v>
      </c>
      <c r="BM25" s="190">
        <v>0</v>
      </c>
      <c r="BN25" s="190">
        <v>10</v>
      </c>
      <c r="BO25" s="190">
        <v>25</v>
      </c>
      <c r="BP25" s="190">
        <v>35</v>
      </c>
      <c r="BQ25" s="190">
        <v>13</v>
      </c>
      <c r="BR25" s="190">
        <v>118</v>
      </c>
      <c r="BS25" s="190">
        <v>131</v>
      </c>
      <c r="BT25" s="190">
        <v>37</v>
      </c>
      <c r="BU25" s="190">
        <v>88</v>
      </c>
      <c r="BV25" s="190">
        <v>125</v>
      </c>
      <c r="BW25" s="190">
        <v>1640</v>
      </c>
      <c r="BX25" s="190">
        <v>10185</v>
      </c>
      <c r="BY25" s="190">
        <v>11825</v>
      </c>
      <c r="BZ25" s="190">
        <v>1630</v>
      </c>
      <c r="CA25" s="190">
        <v>10124</v>
      </c>
      <c r="CB25" s="190">
        <v>11754</v>
      </c>
      <c r="CC25" s="190">
        <v>28485</v>
      </c>
      <c r="CD25" s="190">
        <v>1</v>
      </c>
      <c r="CE25" s="190">
        <v>66</v>
      </c>
      <c r="CF25" s="190">
        <v>9</v>
      </c>
      <c r="CG25" s="190">
        <v>55</v>
      </c>
      <c r="CH25" s="190">
        <v>64</v>
      </c>
      <c r="CI25" s="190">
        <v>8</v>
      </c>
      <c r="CJ25" s="190">
        <v>2</v>
      </c>
      <c r="CK25" s="190">
        <v>1</v>
      </c>
      <c r="CL25" s="190">
        <v>6</v>
      </c>
      <c r="CM25" s="190">
        <v>7</v>
      </c>
      <c r="CN25" s="190">
        <v>66</v>
      </c>
      <c r="CO25" s="190">
        <v>823</v>
      </c>
      <c r="CP25" s="190">
        <v>889</v>
      </c>
      <c r="CQ25" s="190">
        <v>0</v>
      </c>
      <c r="CR25" s="190">
        <v>0</v>
      </c>
      <c r="CS25" s="190">
        <v>0</v>
      </c>
      <c r="CT25" s="190">
        <v>1574</v>
      </c>
      <c r="CU25" s="190">
        <v>9362</v>
      </c>
      <c r="CV25" s="190">
        <v>10936</v>
      </c>
      <c r="CW25" s="190">
        <v>132</v>
      </c>
      <c r="CX25" s="190">
        <v>502</v>
      </c>
      <c r="CY25" s="190">
        <v>634</v>
      </c>
      <c r="CZ25" s="190">
        <v>131</v>
      </c>
      <c r="DA25" s="190">
        <v>0</v>
      </c>
      <c r="DB25" s="190">
        <v>0</v>
      </c>
      <c r="DC25" s="190">
        <v>494</v>
      </c>
      <c r="DD25" s="190">
        <v>0</v>
      </c>
      <c r="DE25" s="190">
        <v>0</v>
      </c>
      <c r="DF25" s="190">
        <v>131</v>
      </c>
      <c r="DG25" s="190">
        <v>494</v>
      </c>
      <c r="DH25" s="190">
        <v>625</v>
      </c>
      <c r="DI25" s="190">
        <v>1</v>
      </c>
      <c r="DJ25" s="190">
        <v>0</v>
      </c>
      <c r="DK25" s="190">
        <v>0</v>
      </c>
      <c r="DL25" s="190">
        <v>8</v>
      </c>
      <c r="DM25" s="190">
        <v>0</v>
      </c>
      <c r="DN25" s="190">
        <v>0</v>
      </c>
      <c r="DO25" s="190">
        <v>1</v>
      </c>
      <c r="DP25" s="190">
        <v>8</v>
      </c>
      <c r="DQ25" s="190">
        <v>9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490</v>
      </c>
      <c r="C26" s="190">
        <v>117</v>
      </c>
      <c r="D26" s="190">
        <v>505</v>
      </c>
      <c r="E26" s="190">
        <v>351</v>
      </c>
      <c r="F26" s="190">
        <v>1</v>
      </c>
      <c r="G26" s="190">
        <v>7</v>
      </c>
      <c r="H26" s="190">
        <v>8</v>
      </c>
      <c r="I26" s="190">
        <v>0</v>
      </c>
      <c r="J26" s="190">
        <v>132</v>
      </c>
      <c r="K26" s="190">
        <v>132</v>
      </c>
      <c r="L26" s="190">
        <v>0</v>
      </c>
      <c r="M26" s="190">
        <v>47</v>
      </c>
      <c r="N26" s="190">
        <v>47</v>
      </c>
      <c r="O26" s="190">
        <v>0</v>
      </c>
      <c r="P26" s="190">
        <v>85</v>
      </c>
      <c r="Q26" s="190">
        <v>85</v>
      </c>
      <c r="R26" s="190">
        <v>0</v>
      </c>
      <c r="S26" s="190">
        <v>2</v>
      </c>
      <c r="T26" s="190">
        <v>2</v>
      </c>
      <c r="U26" s="190">
        <v>0</v>
      </c>
      <c r="V26" s="190">
        <v>22</v>
      </c>
      <c r="W26" s="190">
        <v>22</v>
      </c>
      <c r="X26" s="190">
        <v>17</v>
      </c>
      <c r="Y26" s="190">
        <v>488</v>
      </c>
      <c r="Z26" s="190">
        <v>505</v>
      </c>
      <c r="AA26" s="190">
        <v>11</v>
      </c>
      <c r="AB26" s="190">
        <v>204</v>
      </c>
      <c r="AC26" s="190">
        <v>215</v>
      </c>
      <c r="AD26" s="190">
        <v>11</v>
      </c>
      <c r="AE26" s="190">
        <v>196</v>
      </c>
      <c r="AF26" s="190">
        <v>207</v>
      </c>
      <c r="AG26" s="190">
        <v>0</v>
      </c>
      <c r="AH26" s="190">
        <v>4</v>
      </c>
      <c r="AI26" s="190">
        <v>4</v>
      </c>
      <c r="AJ26" s="190">
        <v>0</v>
      </c>
      <c r="AK26" s="190">
        <v>4</v>
      </c>
      <c r="AL26" s="190">
        <v>4</v>
      </c>
      <c r="AM26" s="190">
        <v>6</v>
      </c>
      <c r="AN26" s="190">
        <v>284</v>
      </c>
      <c r="AO26" s="190">
        <v>290</v>
      </c>
      <c r="AP26" s="190">
        <v>540</v>
      </c>
      <c r="AQ26" s="190">
        <v>5205</v>
      </c>
      <c r="AR26" s="190">
        <v>5745</v>
      </c>
      <c r="AS26" s="190">
        <v>540</v>
      </c>
      <c r="AT26" s="190">
        <v>5205</v>
      </c>
      <c r="AU26" s="190">
        <v>5745</v>
      </c>
      <c r="AV26" s="190">
        <v>0</v>
      </c>
      <c r="AW26" s="190">
        <v>0</v>
      </c>
      <c r="AX26" s="190">
        <v>0</v>
      </c>
      <c r="AY26" s="190">
        <v>31</v>
      </c>
      <c r="AZ26" s="190">
        <v>525</v>
      </c>
      <c r="BA26" s="190">
        <v>556</v>
      </c>
      <c r="BB26" s="190">
        <v>18</v>
      </c>
      <c r="BC26" s="190">
        <v>2</v>
      </c>
      <c r="BD26" s="190">
        <v>1</v>
      </c>
      <c r="BE26" s="190">
        <v>309</v>
      </c>
      <c r="BF26" s="190">
        <v>17</v>
      </c>
      <c r="BG26" s="190">
        <v>4</v>
      </c>
      <c r="BH26" s="190">
        <v>21</v>
      </c>
      <c r="BI26" s="190">
        <v>330</v>
      </c>
      <c r="BJ26" s="190">
        <v>351</v>
      </c>
      <c r="BK26" s="190">
        <v>-8</v>
      </c>
      <c r="BL26" s="190">
        <v>8</v>
      </c>
      <c r="BM26" s="190">
        <v>0</v>
      </c>
      <c r="BN26" s="190">
        <v>0</v>
      </c>
      <c r="BO26" s="190">
        <v>15</v>
      </c>
      <c r="BP26" s="190">
        <v>15</v>
      </c>
      <c r="BQ26" s="190">
        <v>0</v>
      </c>
      <c r="BR26" s="190">
        <v>58</v>
      </c>
      <c r="BS26" s="190">
        <v>58</v>
      </c>
      <c r="BT26" s="190">
        <v>18</v>
      </c>
      <c r="BU26" s="190">
        <v>114</v>
      </c>
      <c r="BV26" s="190">
        <v>132</v>
      </c>
      <c r="BW26" s="190">
        <v>571</v>
      </c>
      <c r="BX26" s="190">
        <v>5730</v>
      </c>
      <c r="BY26" s="190">
        <v>6301</v>
      </c>
      <c r="BZ26" s="190">
        <v>531</v>
      </c>
      <c r="CA26" s="190">
        <v>5441</v>
      </c>
      <c r="CB26" s="190">
        <v>5972</v>
      </c>
      <c r="CC26" s="190">
        <v>9952</v>
      </c>
      <c r="CD26" s="190">
        <v>7</v>
      </c>
      <c r="CE26" s="190">
        <v>308</v>
      </c>
      <c r="CF26" s="190">
        <v>37</v>
      </c>
      <c r="CG26" s="190">
        <v>223</v>
      </c>
      <c r="CH26" s="190">
        <v>260</v>
      </c>
      <c r="CI26" s="190">
        <v>63</v>
      </c>
      <c r="CJ26" s="190">
        <v>21</v>
      </c>
      <c r="CK26" s="190">
        <v>3</v>
      </c>
      <c r="CL26" s="190">
        <v>66</v>
      </c>
      <c r="CM26" s="190">
        <v>69</v>
      </c>
      <c r="CN26" s="190">
        <v>27</v>
      </c>
      <c r="CO26" s="190">
        <v>519</v>
      </c>
      <c r="CP26" s="190">
        <v>546</v>
      </c>
      <c r="CQ26" s="190">
        <v>0</v>
      </c>
      <c r="CR26" s="190">
        <v>0</v>
      </c>
      <c r="CS26" s="190">
        <v>0</v>
      </c>
      <c r="CT26" s="190">
        <v>544</v>
      </c>
      <c r="CU26" s="190">
        <v>5211</v>
      </c>
      <c r="CV26" s="190">
        <v>5755</v>
      </c>
      <c r="CW26" s="190">
        <v>52</v>
      </c>
      <c r="CX26" s="190">
        <v>198</v>
      </c>
      <c r="CY26" s="190">
        <v>250</v>
      </c>
      <c r="CZ26" s="190">
        <v>48</v>
      </c>
      <c r="DA26" s="190">
        <v>4</v>
      </c>
      <c r="DB26" s="190">
        <v>0</v>
      </c>
      <c r="DC26" s="190">
        <v>191</v>
      </c>
      <c r="DD26" s="190">
        <v>6</v>
      </c>
      <c r="DE26" s="190">
        <v>0</v>
      </c>
      <c r="DF26" s="190">
        <v>52</v>
      </c>
      <c r="DG26" s="190">
        <v>197</v>
      </c>
      <c r="DH26" s="190">
        <v>249</v>
      </c>
      <c r="DI26" s="190">
        <v>0</v>
      </c>
      <c r="DJ26" s="190">
        <v>0</v>
      </c>
      <c r="DK26" s="190">
        <v>0</v>
      </c>
      <c r="DL26" s="190">
        <v>1</v>
      </c>
      <c r="DM26" s="190">
        <v>0</v>
      </c>
      <c r="DN26" s="190">
        <v>0</v>
      </c>
      <c r="DO26" s="190">
        <v>0</v>
      </c>
      <c r="DP26" s="190">
        <v>1</v>
      </c>
      <c r="DQ26" s="190">
        <v>1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66</v>
      </c>
      <c r="C27" s="190">
        <v>10</v>
      </c>
      <c r="D27" s="190">
        <v>55</v>
      </c>
      <c r="E27" s="190">
        <v>34</v>
      </c>
      <c r="F27" s="190">
        <v>1</v>
      </c>
      <c r="G27" s="190">
        <v>0</v>
      </c>
      <c r="H27" s="190">
        <v>1</v>
      </c>
      <c r="I27" s="190">
        <v>0</v>
      </c>
      <c r="J27" s="190">
        <v>19</v>
      </c>
      <c r="K27" s="190">
        <v>19</v>
      </c>
      <c r="L27" s="190">
        <v>0</v>
      </c>
      <c r="M27" s="190">
        <v>7</v>
      </c>
      <c r="N27" s="190">
        <v>7</v>
      </c>
      <c r="O27" s="190">
        <v>0</v>
      </c>
      <c r="P27" s="190">
        <v>12</v>
      </c>
      <c r="Q27" s="190">
        <v>12</v>
      </c>
      <c r="R27" s="190">
        <v>0</v>
      </c>
      <c r="S27" s="190">
        <v>0</v>
      </c>
      <c r="T27" s="190">
        <v>0</v>
      </c>
      <c r="U27" s="190">
        <v>0</v>
      </c>
      <c r="V27" s="190">
        <v>2</v>
      </c>
      <c r="W27" s="190">
        <v>2</v>
      </c>
      <c r="X27" s="190">
        <v>2</v>
      </c>
      <c r="Y27" s="190">
        <v>53</v>
      </c>
      <c r="Z27" s="190">
        <v>55</v>
      </c>
      <c r="AA27" s="190">
        <v>1</v>
      </c>
      <c r="AB27" s="190">
        <v>24</v>
      </c>
      <c r="AC27" s="190">
        <v>25</v>
      </c>
      <c r="AD27" s="190">
        <v>1</v>
      </c>
      <c r="AE27" s="190">
        <v>23</v>
      </c>
      <c r="AF27" s="190">
        <v>24</v>
      </c>
      <c r="AG27" s="190">
        <v>0</v>
      </c>
      <c r="AH27" s="190">
        <v>0</v>
      </c>
      <c r="AI27" s="190">
        <v>0</v>
      </c>
      <c r="AJ27" s="190">
        <v>0</v>
      </c>
      <c r="AK27" s="190">
        <v>1</v>
      </c>
      <c r="AL27" s="190">
        <v>1</v>
      </c>
      <c r="AM27" s="190">
        <v>1</v>
      </c>
      <c r="AN27" s="190">
        <v>29</v>
      </c>
      <c r="AO27" s="190">
        <v>30</v>
      </c>
      <c r="AP27" s="190">
        <v>98</v>
      </c>
      <c r="AQ27" s="190">
        <v>924</v>
      </c>
      <c r="AR27" s="190">
        <v>1022</v>
      </c>
      <c r="AS27" s="190">
        <v>98</v>
      </c>
      <c r="AT27" s="190">
        <v>925</v>
      </c>
      <c r="AU27" s="190">
        <v>1023</v>
      </c>
      <c r="AV27" s="190">
        <v>0</v>
      </c>
      <c r="AW27" s="190">
        <v>-1</v>
      </c>
      <c r="AX27" s="190">
        <v>-1</v>
      </c>
      <c r="AY27" s="190">
        <v>-6</v>
      </c>
      <c r="AZ27" s="190">
        <v>65</v>
      </c>
      <c r="BA27" s="190">
        <v>59</v>
      </c>
      <c r="BB27" s="190">
        <v>2</v>
      </c>
      <c r="BC27" s="190">
        <v>0</v>
      </c>
      <c r="BD27" s="190">
        <v>0</v>
      </c>
      <c r="BE27" s="190">
        <v>32</v>
      </c>
      <c r="BF27" s="190">
        <v>0</v>
      </c>
      <c r="BG27" s="190">
        <v>0</v>
      </c>
      <c r="BH27" s="190">
        <v>2</v>
      </c>
      <c r="BI27" s="190">
        <v>32</v>
      </c>
      <c r="BJ27" s="190">
        <v>34</v>
      </c>
      <c r="BK27" s="190">
        <v>-9</v>
      </c>
      <c r="BL27" s="190">
        <v>9</v>
      </c>
      <c r="BM27" s="190">
        <v>0</v>
      </c>
      <c r="BN27" s="190">
        <v>1</v>
      </c>
      <c r="BO27" s="190">
        <v>6</v>
      </c>
      <c r="BP27" s="190">
        <v>7</v>
      </c>
      <c r="BQ27" s="190">
        <v>0</v>
      </c>
      <c r="BR27" s="190">
        <v>7</v>
      </c>
      <c r="BS27" s="190">
        <v>7</v>
      </c>
      <c r="BT27" s="190">
        <v>0</v>
      </c>
      <c r="BU27" s="190">
        <v>11</v>
      </c>
      <c r="BV27" s="190">
        <v>11</v>
      </c>
      <c r="BW27" s="190">
        <v>92</v>
      </c>
      <c r="BX27" s="190">
        <v>989</v>
      </c>
      <c r="BY27" s="190">
        <v>1081</v>
      </c>
      <c r="BZ27" s="190">
        <v>91</v>
      </c>
      <c r="CA27" s="190">
        <v>986</v>
      </c>
      <c r="CB27" s="190">
        <v>1077</v>
      </c>
      <c r="CC27" s="190">
        <v>1985</v>
      </c>
      <c r="CD27" s="190">
        <v>1</v>
      </c>
      <c r="CE27" s="190">
        <v>1</v>
      </c>
      <c r="CF27" s="190">
        <v>1</v>
      </c>
      <c r="CG27" s="190">
        <v>1</v>
      </c>
      <c r="CH27" s="190">
        <v>2</v>
      </c>
      <c r="CI27" s="190">
        <v>2</v>
      </c>
      <c r="CJ27" s="190">
        <v>0</v>
      </c>
      <c r="CK27" s="190">
        <v>0</v>
      </c>
      <c r="CL27" s="190">
        <v>2</v>
      </c>
      <c r="CM27" s="190">
        <v>2</v>
      </c>
      <c r="CN27" s="190">
        <v>2</v>
      </c>
      <c r="CO27" s="190">
        <v>93</v>
      </c>
      <c r="CP27" s="190">
        <v>95</v>
      </c>
      <c r="CQ27" s="190">
        <v>0</v>
      </c>
      <c r="CR27" s="190">
        <v>0</v>
      </c>
      <c r="CS27" s="190">
        <v>0</v>
      </c>
      <c r="CT27" s="190">
        <v>90</v>
      </c>
      <c r="CU27" s="190">
        <v>896</v>
      </c>
      <c r="CV27" s="190">
        <v>986</v>
      </c>
      <c r="CW27" s="190">
        <v>6</v>
      </c>
      <c r="CX27" s="190">
        <v>51</v>
      </c>
      <c r="CY27" s="190">
        <v>57</v>
      </c>
      <c r="CZ27" s="190">
        <v>6</v>
      </c>
      <c r="DA27" s="190">
        <v>0</v>
      </c>
      <c r="DB27" s="190">
        <v>0</v>
      </c>
      <c r="DC27" s="190">
        <v>50</v>
      </c>
      <c r="DD27" s="190">
        <v>0</v>
      </c>
      <c r="DE27" s="190">
        <v>0</v>
      </c>
      <c r="DF27" s="190">
        <v>6</v>
      </c>
      <c r="DG27" s="190">
        <v>50</v>
      </c>
      <c r="DH27" s="190">
        <v>56</v>
      </c>
      <c r="DI27" s="190">
        <v>0</v>
      </c>
      <c r="DJ27" s="190">
        <v>0</v>
      </c>
      <c r="DK27" s="190">
        <v>0</v>
      </c>
      <c r="DL27" s="190">
        <v>1</v>
      </c>
      <c r="DM27" s="190">
        <v>0</v>
      </c>
      <c r="DN27" s="190">
        <v>0</v>
      </c>
      <c r="DO27" s="190">
        <v>0</v>
      </c>
      <c r="DP27" s="190">
        <v>1</v>
      </c>
      <c r="DQ27" s="190">
        <v>1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463</v>
      </c>
      <c r="C28" s="190">
        <v>43</v>
      </c>
      <c r="D28" s="190">
        <v>514</v>
      </c>
      <c r="E28" s="190">
        <v>359</v>
      </c>
      <c r="F28" s="190">
        <v>1</v>
      </c>
      <c r="G28" s="190">
        <v>24</v>
      </c>
      <c r="H28" s="190">
        <v>25</v>
      </c>
      <c r="I28" s="190">
        <v>0</v>
      </c>
      <c r="J28" s="190">
        <v>140</v>
      </c>
      <c r="K28" s="190">
        <v>140</v>
      </c>
      <c r="L28" s="190">
        <v>0</v>
      </c>
      <c r="M28" s="190">
        <v>49</v>
      </c>
      <c r="N28" s="190">
        <v>49</v>
      </c>
      <c r="O28" s="190">
        <v>0</v>
      </c>
      <c r="P28" s="190">
        <v>91</v>
      </c>
      <c r="Q28" s="190">
        <v>91</v>
      </c>
      <c r="R28" s="190">
        <v>0</v>
      </c>
      <c r="S28" s="190">
        <v>6</v>
      </c>
      <c r="T28" s="190">
        <v>6</v>
      </c>
      <c r="U28" s="190">
        <v>0</v>
      </c>
      <c r="V28" s="190">
        <v>15</v>
      </c>
      <c r="W28" s="190">
        <v>15</v>
      </c>
      <c r="X28" s="190">
        <v>13</v>
      </c>
      <c r="Y28" s="190">
        <v>500</v>
      </c>
      <c r="Z28" s="190">
        <v>513</v>
      </c>
      <c r="AA28" s="190">
        <v>6</v>
      </c>
      <c r="AB28" s="190">
        <v>245</v>
      </c>
      <c r="AC28" s="190">
        <v>251</v>
      </c>
      <c r="AD28" s="190">
        <v>6</v>
      </c>
      <c r="AE28" s="190">
        <v>235</v>
      </c>
      <c r="AF28" s="190">
        <v>241</v>
      </c>
      <c r="AG28" s="190">
        <v>0</v>
      </c>
      <c r="AH28" s="190">
        <v>4</v>
      </c>
      <c r="AI28" s="190">
        <v>4</v>
      </c>
      <c r="AJ28" s="190">
        <v>0</v>
      </c>
      <c r="AK28" s="190">
        <v>6</v>
      </c>
      <c r="AL28" s="190">
        <v>6</v>
      </c>
      <c r="AM28" s="190">
        <v>7</v>
      </c>
      <c r="AN28" s="190">
        <v>255</v>
      </c>
      <c r="AO28" s="190">
        <v>262</v>
      </c>
      <c r="AP28" s="190">
        <v>554</v>
      </c>
      <c r="AQ28" s="190">
        <v>5634</v>
      </c>
      <c r="AR28" s="190">
        <v>6188</v>
      </c>
      <c r="AS28" s="190">
        <v>554</v>
      </c>
      <c r="AT28" s="190">
        <v>5634</v>
      </c>
      <c r="AU28" s="190">
        <v>6188</v>
      </c>
      <c r="AV28" s="190">
        <v>0</v>
      </c>
      <c r="AW28" s="190">
        <v>0</v>
      </c>
      <c r="AX28" s="190">
        <v>0</v>
      </c>
      <c r="AY28" s="190">
        <v>38</v>
      </c>
      <c r="AZ28" s="190">
        <v>535</v>
      </c>
      <c r="BA28" s="190">
        <v>573</v>
      </c>
      <c r="BB28" s="190">
        <v>15</v>
      </c>
      <c r="BC28" s="190">
        <v>1</v>
      </c>
      <c r="BD28" s="190">
        <v>0</v>
      </c>
      <c r="BE28" s="190">
        <v>340</v>
      </c>
      <c r="BF28" s="190">
        <v>3</v>
      </c>
      <c r="BG28" s="190">
        <v>0</v>
      </c>
      <c r="BH28" s="190">
        <v>16</v>
      </c>
      <c r="BI28" s="190">
        <v>343</v>
      </c>
      <c r="BJ28" s="190">
        <v>359</v>
      </c>
      <c r="BK28" s="190">
        <v>2</v>
      </c>
      <c r="BL28" s="190">
        <v>-2</v>
      </c>
      <c r="BM28" s="190">
        <v>0</v>
      </c>
      <c r="BN28" s="190">
        <v>1</v>
      </c>
      <c r="BO28" s="190">
        <v>10</v>
      </c>
      <c r="BP28" s="190">
        <v>11</v>
      </c>
      <c r="BQ28" s="190">
        <v>7</v>
      </c>
      <c r="BR28" s="190">
        <v>80</v>
      </c>
      <c r="BS28" s="190">
        <v>87</v>
      </c>
      <c r="BT28" s="190">
        <v>12</v>
      </c>
      <c r="BU28" s="190">
        <v>104</v>
      </c>
      <c r="BV28" s="190">
        <v>116</v>
      </c>
      <c r="BW28" s="190">
        <v>592</v>
      </c>
      <c r="BX28" s="190">
        <v>6169</v>
      </c>
      <c r="BY28" s="190">
        <v>6761</v>
      </c>
      <c r="BZ28" s="190">
        <v>586</v>
      </c>
      <c r="CA28" s="190">
        <v>6120</v>
      </c>
      <c r="CB28" s="190">
        <v>6706</v>
      </c>
      <c r="CC28" s="190">
        <v>12554</v>
      </c>
      <c r="CD28" s="190">
        <v>2</v>
      </c>
      <c r="CE28" s="190">
        <v>46</v>
      </c>
      <c r="CF28" s="190">
        <v>6</v>
      </c>
      <c r="CG28" s="190">
        <v>40</v>
      </c>
      <c r="CH28" s="190">
        <v>46</v>
      </c>
      <c r="CI28" s="190">
        <v>10</v>
      </c>
      <c r="CJ28" s="190">
        <v>1</v>
      </c>
      <c r="CK28" s="190">
        <v>0</v>
      </c>
      <c r="CL28" s="190">
        <v>9</v>
      </c>
      <c r="CM28" s="190">
        <v>9</v>
      </c>
      <c r="CN28" s="190">
        <v>42</v>
      </c>
      <c r="CO28" s="190">
        <v>604</v>
      </c>
      <c r="CP28" s="190">
        <v>646</v>
      </c>
      <c r="CQ28" s="190">
        <v>0</v>
      </c>
      <c r="CR28" s="190">
        <v>0</v>
      </c>
      <c r="CS28" s="190">
        <v>0</v>
      </c>
      <c r="CT28" s="190">
        <v>550</v>
      </c>
      <c r="CU28" s="190">
        <v>5565</v>
      </c>
      <c r="CV28" s="190">
        <v>6115</v>
      </c>
      <c r="CW28" s="190">
        <v>21</v>
      </c>
      <c r="CX28" s="190">
        <v>171</v>
      </c>
      <c r="CY28" s="190">
        <v>192</v>
      </c>
      <c r="CZ28" s="190">
        <v>21</v>
      </c>
      <c r="DA28" s="190">
        <v>0</v>
      </c>
      <c r="DB28" s="190">
        <v>0</v>
      </c>
      <c r="DC28" s="190">
        <v>170</v>
      </c>
      <c r="DD28" s="190">
        <v>1</v>
      </c>
      <c r="DE28" s="190">
        <v>0</v>
      </c>
      <c r="DF28" s="190">
        <v>21</v>
      </c>
      <c r="DG28" s="190">
        <v>171</v>
      </c>
      <c r="DH28" s="190">
        <v>192</v>
      </c>
      <c r="DI28" s="190">
        <v>0</v>
      </c>
      <c r="DJ28" s="190">
        <v>0</v>
      </c>
      <c r="DK28" s="190">
        <v>0</v>
      </c>
      <c r="DL28" s="190">
        <v>0</v>
      </c>
      <c r="DM28" s="190">
        <v>0</v>
      </c>
      <c r="DN28" s="190">
        <v>0</v>
      </c>
      <c r="DO28" s="190">
        <v>0</v>
      </c>
      <c r="DP28" s="190">
        <v>0</v>
      </c>
      <c r="DQ28" s="190">
        <v>0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1459</v>
      </c>
      <c r="C29" s="190">
        <v>247</v>
      </c>
      <c r="D29" s="190">
        <v>1548</v>
      </c>
      <c r="E29" s="190">
        <v>859</v>
      </c>
      <c r="F29" s="190">
        <v>5</v>
      </c>
      <c r="G29" s="190">
        <v>65</v>
      </c>
      <c r="H29" s="190">
        <v>70</v>
      </c>
      <c r="I29" s="190">
        <v>0</v>
      </c>
      <c r="J29" s="190">
        <v>560</v>
      </c>
      <c r="K29" s="190">
        <v>560</v>
      </c>
      <c r="L29" s="190">
        <v>0</v>
      </c>
      <c r="M29" s="190">
        <v>252</v>
      </c>
      <c r="N29" s="190">
        <v>252</v>
      </c>
      <c r="O29" s="190">
        <v>0</v>
      </c>
      <c r="P29" s="190">
        <v>308</v>
      </c>
      <c r="Q29" s="190">
        <v>308</v>
      </c>
      <c r="R29" s="190">
        <v>0</v>
      </c>
      <c r="S29" s="190">
        <v>44</v>
      </c>
      <c r="T29" s="190">
        <v>44</v>
      </c>
      <c r="U29" s="190">
        <v>0</v>
      </c>
      <c r="V29" s="190">
        <v>129</v>
      </c>
      <c r="W29" s="190">
        <v>129</v>
      </c>
      <c r="X29" s="190">
        <v>53</v>
      </c>
      <c r="Y29" s="190">
        <v>1494</v>
      </c>
      <c r="Z29" s="190">
        <v>1547</v>
      </c>
      <c r="AA29" s="190">
        <v>35</v>
      </c>
      <c r="AB29" s="190">
        <v>514</v>
      </c>
      <c r="AC29" s="190">
        <v>549</v>
      </c>
      <c r="AD29" s="190">
        <v>35</v>
      </c>
      <c r="AE29" s="190">
        <v>500</v>
      </c>
      <c r="AF29" s="190">
        <v>535</v>
      </c>
      <c r="AG29" s="190">
        <v>0</v>
      </c>
      <c r="AH29" s="190">
        <v>6</v>
      </c>
      <c r="AI29" s="190">
        <v>6</v>
      </c>
      <c r="AJ29" s="190">
        <v>0</v>
      </c>
      <c r="AK29" s="190">
        <v>8</v>
      </c>
      <c r="AL29" s="190">
        <v>8</v>
      </c>
      <c r="AM29" s="190">
        <v>18</v>
      </c>
      <c r="AN29" s="190">
        <v>980</v>
      </c>
      <c r="AO29" s="190">
        <v>998</v>
      </c>
      <c r="AP29" s="190">
        <v>3712</v>
      </c>
      <c r="AQ29" s="190">
        <v>19103</v>
      </c>
      <c r="AR29" s="190">
        <v>22815</v>
      </c>
      <c r="AS29" s="190">
        <v>3712</v>
      </c>
      <c r="AT29" s="190">
        <v>19103</v>
      </c>
      <c r="AU29" s="190">
        <v>22815</v>
      </c>
      <c r="AV29" s="190">
        <v>0</v>
      </c>
      <c r="AW29" s="190">
        <v>0</v>
      </c>
      <c r="AX29" s="190">
        <v>0</v>
      </c>
      <c r="AY29" s="190">
        <v>74</v>
      </c>
      <c r="AZ29" s="190">
        <v>1606</v>
      </c>
      <c r="BA29" s="190">
        <v>1680</v>
      </c>
      <c r="BB29" s="190">
        <v>57</v>
      </c>
      <c r="BC29" s="190">
        <v>0</v>
      </c>
      <c r="BD29" s="190">
        <v>0</v>
      </c>
      <c r="BE29" s="190">
        <v>800</v>
      </c>
      <c r="BF29" s="190">
        <v>2</v>
      </c>
      <c r="BG29" s="190">
        <v>0</v>
      </c>
      <c r="BH29" s="190">
        <v>57</v>
      </c>
      <c r="BI29" s="190">
        <v>802</v>
      </c>
      <c r="BJ29" s="190">
        <v>859</v>
      </c>
      <c r="BK29" s="190">
        <v>-93</v>
      </c>
      <c r="BL29" s="190">
        <v>93</v>
      </c>
      <c r="BM29" s="190">
        <v>0</v>
      </c>
      <c r="BN29" s="190">
        <v>5</v>
      </c>
      <c r="BO29" s="190">
        <v>45</v>
      </c>
      <c r="BP29" s="190">
        <v>50</v>
      </c>
      <c r="BQ29" s="190">
        <v>26</v>
      </c>
      <c r="BR29" s="190">
        <v>206</v>
      </c>
      <c r="BS29" s="190">
        <v>232</v>
      </c>
      <c r="BT29" s="190">
        <v>79</v>
      </c>
      <c r="BU29" s="190">
        <v>460</v>
      </c>
      <c r="BV29" s="190">
        <v>539</v>
      </c>
      <c r="BW29" s="190">
        <v>3786</v>
      </c>
      <c r="BX29" s="190">
        <v>20709</v>
      </c>
      <c r="BY29" s="190">
        <v>24495</v>
      </c>
      <c r="BZ29" s="190">
        <v>3764</v>
      </c>
      <c r="CA29" s="190">
        <v>20622</v>
      </c>
      <c r="CB29" s="190">
        <v>24386</v>
      </c>
      <c r="CC29" s="190">
        <v>56237</v>
      </c>
      <c r="CD29" s="190">
        <v>6</v>
      </c>
      <c r="CE29" s="190">
        <v>106</v>
      </c>
      <c r="CF29" s="190">
        <v>22</v>
      </c>
      <c r="CG29" s="190">
        <v>77</v>
      </c>
      <c r="CH29" s="190">
        <v>99</v>
      </c>
      <c r="CI29" s="190">
        <v>8</v>
      </c>
      <c r="CJ29" s="190">
        <v>3</v>
      </c>
      <c r="CK29" s="190">
        <v>0</v>
      </c>
      <c r="CL29" s="190">
        <v>10</v>
      </c>
      <c r="CM29" s="190">
        <v>10</v>
      </c>
      <c r="CN29" s="190">
        <v>206</v>
      </c>
      <c r="CO29" s="190">
        <v>1715</v>
      </c>
      <c r="CP29" s="190">
        <v>1921</v>
      </c>
      <c r="CQ29" s="190">
        <v>0</v>
      </c>
      <c r="CR29" s="190">
        <v>0</v>
      </c>
      <c r="CS29" s="190">
        <v>0</v>
      </c>
      <c r="CT29" s="190">
        <v>3580</v>
      </c>
      <c r="CU29" s="190">
        <v>18994</v>
      </c>
      <c r="CV29" s="190">
        <v>22574</v>
      </c>
      <c r="CW29" s="190">
        <v>236</v>
      </c>
      <c r="CX29" s="190">
        <v>963</v>
      </c>
      <c r="CY29" s="190">
        <v>1199</v>
      </c>
      <c r="CZ29" s="190">
        <v>235</v>
      </c>
      <c r="DA29" s="190">
        <v>0</v>
      </c>
      <c r="DB29" s="190">
        <v>0</v>
      </c>
      <c r="DC29" s="190">
        <v>943</v>
      </c>
      <c r="DD29" s="190">
        <v>3</v>
      </c>
      <c r="DE29" s="190">
        <v>0</v>
      </c>
      <c r="DF29" s="190">
        <v>235</v>
      </c>
      <c r="DG29" s="190">
        <v>946</v>
      </c>
      <c r="DH29" s="190">
        <v>1181</v>
      </c>
      <c r="DI29" s="190">
        <v>1</v>
      </c>
      <c r="DJ29" s="190">
        <v>0</v>
      </c>
      <c r="DK29" s="190">
        <v>0</v>
      </c>
      <c r="DL29" s="190">
        <v>17</v>
      </c>
      <c r="DM29" s="190">
        <v>0</v>
      </c>
      <c r="DN29" s="190">
        <v>0</v>
      </c>
      <c r="DO29" s="190">
        <v>1</v>
      </c>
      <c r="DP29" s="190">
        <v>17</v>
      </c>
      <c r="DQ29" s="190">
        <v>18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42</v>
      </c>
      <c r="C30" s="190">
        <v>4</v>
      </c>
      <c r="D30" s="190">
        <v>41</v>
      </c>
      <c r="E30" s="190">
        <v>28</v>
      </c>
      <c r="F30" s="190">
        <v>0</v>
      </c>
      <c r="G30" s="190">
        <v>3</v>
      </c>
      <c r="H30" s="190">
        <v>3</v>
      </c>
      <c r="I30" s="190">
        <v>0</v>
      </c>
      <c r="J30" s="190">
        <v>11</v>
      </c>
      <c r="K30" s="190">
        <v>11</v>
      </c>
      <c r="L30" s="190">
        <v>0</v>
      </c>
      <c r="M30" s="190">
        <v>4</v>
      </c>
      <c r="N30" s="190">
        <v>4</v>
      </c>
      <c r="O30" s="190">
        <v>0</v>
      </c>
      <c r="P30" s="190">
        <v>7</v>
      </c>
      <c r="Q30" s="190">
        <v>7</v>
      </c>
      <c r="R30" s="190">
        <v>0</v>
      </c>
      <c r="S30" s="190">
        <v>0</v>
      </c>
      <c r="T30" s="190">
        <v>0</v>
      </c>
      <c r="U30" s="190">
        <v>0</v>
      </c>
      <c r="V30" s="190">
        <v>2</v>
      </c>
      <c r="W30" s="190">
        <v>2</v>
      </c>
      <c r="X30" s="190">
        <v>0</v>
      </c>
      <c r="Y30" s="190">
        <v>41</v>
      </c>
      <c r="Z30" s="190">
        <v>41</v>
      </c>
      <c r="AA30" s="190">
        <v>0</v>
      </c>
      <c r="AB30" s="190">
        <v>15</v>
      </c>
      <c r="AC30" s="190">
        <v>15</v>
      </c>
      <c r="AD30" s="190">
        <v>0</v>
      </c>
      <c r="AE30" s="190">
        <v>13</v>
      </c>
      <c r="AF30" s="190">
        <v>13</v>
      </c>
      <c r="AG30" s="190">
        <v>0</v>
      </c>
      <c r="AH30" s="190">
        <v>2</v>
      </c>
      <c r="AI30" s="190">
        <v>2</v>
      </c>
      <c r="AJ30" s="190">
        <v>0</v>
      </c>
      <c r="AK30" s="190">
        <v>0</v>
      </c>
      <c r="AL30" s="190">
        <v>0</v>
      </c>
      <c r="AM30" s="190">
        <v>0</v>
      </c>
      <c r="AN30" s="190">
        <v>26</v>
      </c>
      <c r="AO30" s="190">
        <v>26</v>
      </c>
      <c r="AP30" s="190">
        <v>70</v>
      </c>
      <c r="AQ30" s="190">
        <v>425</v>
      </c>
      <c r="AR30" s="190">
        <v>495</v>
      </c>
      <c r="AS30" s="190">
        <v>70</v>
      </c>
      <c r="AT30" s="190">
        <v>425</v>
      </c>
      <c r="AU30" s="190">
        <v>495</v>
      </c>
      <c r="AV30" s="190">
        <v>0</v>
      </c>
      <c r="AW30" s="190">
        <v>0</v>
      </c>
      <c r="AX30" s="190">
        <v>0</v>
      </c>
      <c r="AY30" s="190">
        <v>-1</v>
      </c>
      <c r="AZ30" s="190">
        <v>49</v>
      </c>
      <c r="BA30" s="190">
        <v>48</v>
      </c>
      <c r="BB30" s="190">
        <v>0</v>
      </c>
      <c r="BC30" s="190">
        <v>0</v>
      </c>
      <c r="BD30" s="190">
        <v>0</v>
      </c>
      <c r="BE30" s="190">
        <v>28</v>
      </c>
      <c r="BF30" s="190">
        <v>0</v>
      </c>
      <c r="BG30" s="190">
        <v>0</v>
      </c>
      <c r="BH30" s="190">
        <v>0</v>
      </c>
      <c r="BI30" s="190">
        <v>28</v>
      </c>
      <c r="BJ30" s="190">
        <v>28</v>
      </c>
      <c r="BK30" s="190">
        <v>-5</v>
      </c>
      <c r="BL30" s="190">
        <v>5</v>
      </c>
      <c r="BM30" s="190">
        <v>0</v>
      </c>
      <c r="BN30" s="190">
        <v>2</v>
      </c>
      <c r="BO30" s="190">
        <v>1</v>
      </c>
      <c r="BP30" s="190">
        <v>3</v>
      </c>
      <c r="BQ30" s="190">
        <v>1</v>
      </c>
      <c r="BR30" s="190">
        <v>3</v>
      </c>
      <c r="BS30" s="190">
        <v>4</v>
      </c>
      <c r="BT30" s="190">
        <v>1</v>
      </c>
      <c r="BU30" s="190">
        <v>12</v>
      </c>
      <c r="BV30" s="190">
        <v>13</v>
      </c>
      <c r="BW30" s="190">
        <v>69</v>
      </c>
      <c r="BX30" s="190">
        <v>474</v>
      </c>
      <c r="BY30" s="190">
        <v>543</v>
      </c>
      <c r="BZ30" s="190">
        <v>68</v>
      </c>
      <c r="CA30" s="190">
        <v>473</v>
      </c>
      <c r="CB30" s="190">
        <v>541</v>
      </c>
      <c r="CC30" s="190">
        <v>1107</v>
      </c>
      <c r="CD30" s="190">
        <v>0</v>
      </c>
      <c r="CE30" s="190">
        <v>2</v>
      </c>
      <c r="CF30" s="190">
        <v>1</v>
      </c>
      <c r="CG30" s="190">
        <v>1</v>
      </c>
      <c r="CH30" s="190">
        <v>2</v>
      </c>
      <c r="CI30" s="190">
        <v>0</v>
      </c>
      <c r="CJ30" s="190">
        <v>0</v>
      </c>
      <c r="CK30" s="190">
        <v>0</v>
      </c>
      <c r="CL30" s="190">
        <v>0</v>
      </c>
      <c r="CM30" s="190">
        <v>0</v>
      </c>
      <c r="CN30" s="190">
        <v>9</v>
      </c>
      <c r="CO30" s="190">
        <v>55</v>
      </c>
      <c r="CP30" s="190">
        <v>64</v>
      </c>
      <c r="CQ30" s="190">
        <v>0</v>
      </c>
      <c r="CR30" s="190">
        <v>0</v>
      </c>
      <c r="CS30" s="190">
        <v>0</v>
      </c>
      <c r="CT30" s="190">
        <v>60</v>
      </c>
      <c r="CU30" s="190">
        <v>419</v>
      </c>
      <c r="CV30" s="190">
        <v>479</v>
      </c>
      <c r="CW30" s="190">
        <v>3</v>
      </c>
      <c r="CX30" s="190">
        <v>18</v>
      </c>
      <c r="CY30" s="190">
        <v>21</v>
      </c>
      <c r="CZ30" s="190">
        <v>3</v>
      </c>
      <c r="DA30" s="190">
        <v>0</v>
      </c>
      <c r="DB30" s="190">
        <v>0</v>
      </c>
      <c r="DC30" s="190">
        <v>18</v>
      </c>
      <c r="DD30" s="190">
        <v>0</v>
      </c>
      <c r="DE30" s="190">
        <v>0</v>
      </c>
      <c r="DF30" s="190">
        <v>3</v>
      </c>
      <c r="DG30" s="190">
        <v>18</v>
      </c>
      <c r="DH30" s="190">
        <v>21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55</v>
      </c>
      <c r="C31" s="190">
        <v>13</v>
      </c>
      <c r="D31" s="190">
        <v>52</v>
      </c>
      <c r="E31" s="190">
        <v>27</v>
      </c>
      <c r="F31" s="190">
        <v>1</v>
      </c>
      <c r="G31" s="190">
        <v>0</v>
      </c>
      <c r="H31" s="190">
        <v>1</v>
      </c>
      <c r="I31" s="190">
        <v>1</v>
      </c>
      <c r="J31" s="190">
        <v>23</v>
      </c>
      <c r="K31" s="190">
        <v>24</v>
      </c>
      <c r="L31" s="190">
        <v>1</v>
      </c>
      <c r="M31" s="190">
        <v>9</v>
      </c>
      <c r="N31" s="190">
        <v>10</v>
      </c>
      <c r="O31" s="190">
        <v>0</v>
      </c>
      <c r="P31" s="190">
        <v>14</v>
      </c>
      <c r="Q31" s="190">
        <v>14</v>
      </c>
      <c r="R31" s="190">
        <v>0</v>
      </c>
      <c r="S31" s="190">
        <v>1</v>
      </c>
      <c r="T31" s="190">
        <v>1</v>
      </c>
      <c r="U31" s="190">
        <v>0</v>
      </c>
      <c r="V31" s="190">
        <v>1</v>
      </c>
      <c r="W31" s="190">
        <v>1</v>
      </c>
      <c r="X31" s="190">
        <v>2</v>
      </c>
      <c r="Y31" s="190">
        <v>50</v>
      </c>
      <c r="Z31" s="190">
        <v>52</v>
      </c>
      <c r="AA31" s="190">
        <v>0</v>
      </c>
      <c r="AB31" s="190">
        <v>20</v>
      </c>
      <c r="AC31" s="190">
        <v>20</v>
      </c>
      <c r="AD31" s="190">
        <v>0</v>
      </c>
      <c r="AE31" s="190">
        <v>20</v>
      </c>
      <c r="AF31" s="190">
        <v>20</v>
      </c>
      <c r="AG31" s="190">
        <v>0</v>
      </c>
      <c r="AH31" s="190">
        <v>0</v>
      </c>
      <c r="AI31" s="190">
        <v>0</v>
      </c>
      <c r="AJ31" s="190">
        <v>0</v>
      </c>
      <c r="AK31" s="190">
        <v>0</v>
      </c>
      <c r="AL31" s="190">
        <v>0</v>
      </c>
      <c r="AM31" s="190">
        <v>2</v>
      </c>
      <c r="AN31" s="190">
        <v>30</v>
      </c>
      <c r="AO31" s="190">
        <v>32</v>
      </c>
      <c r="AP31" s="190">
        <v>14</v>
      </c>
      <c r="AQ31" s="190">
        <v>404</v>
      </c>
      <c r="AR31" s="190">
        <v>418</v>
      </c>
      <c r="AS31" s="190">
        <v>14</v>
      </c>
      <c r="AT31" s="190">
        <v>404</v>
      </c>
      <c r="AU31" s="190">
        <v>418</v>
      </c>
      <c r="AV31" s="190">
        <v>0</v>
      </c>
      <c r="AW31" s="190">
        <v>0</v>
      </c>
      <c r="AX31" s="190">
        <v>0</v>
      </c>
      <c r="AY31" s="190">
        <v>1</v>
      </c>
      <c r="AZ31" s="190">
        <v>45</v>
      </c>
      <c r="BA31" s="190">
        <v>46</v>
      </c>
      <c r="BB31" s="190">
        <v>1</v>
      </c>
      <c r="BC31" s="190">
        <v>0</v>
      </c>
      <c r="BD31" s="190">
        <v>0</v>
      </c>
      <c r="BE31" s="190">
        <v>26</v>
      </c>
      <c r="BF31" s="190">
        <v>0</v>
      </c>
      <c r="BG31" s="190">
        <v>0</v>
      </c>
      <c r="BH31" s="190">
        <v>1</v>
      </c>
      <c r="BI31" s="190">
        <v>26</v>
      </c>
      <c r="BJ31" s="190">
        <v>27</v>
      </c>
      <c r="BK31" s="190">
        <v>-1</v>
      </c>
      <c r="BL31" s="190">
        <v>1</v>
      </c>
      <c r="BM31" s="190">
        <v>0</v>
      </c>
      <c r="BN31" s="190">
        <v>0</v>
      </c>
      <c r="BO31" s="190">
        <v>2</v>
      </c>
      <c r="BP31" s="190">
        <v>2</v>
      </c>
      <c r="BQ31" s="190">
        <v>0</v>
      </c>
      <c r="BR31" s="190">
        <v>4</v>
      </c>
      <c r="BS31" s="190">
        <v>4</v>
      </c>
      <c r="BT31" s="190">
        <v>1</v>
      </c>
      <c r="BU31" s="190">
        <v>12</v>
      </c>
      <c r="BV31" s="190">
        <v>13</v>
      </c>
      <c r="BW31" s="190">
        <v>15</v>
      </c>
      <c r="BX31" s="190">
        <v>449</v>
      </c>
      <c r="BY31" s="190">
        <v>464</v>
      </c>
      <c r="BZ31" s="190">
        <v>15</v>
      </c>
      <c r="CA31" s="190">
        <v>446</v>
      </c>
      <c r="CB31" s="190">
        <v>461</v>
      </c>
      <c r="CC31" s="190">
        <v>793</v>
      </c>
      <c r="CD31" s="190">
        <v>0</v>
      </c>
      <c r="CE31" s="190">
        <v>3</v>
      </c>
      <c r="CF31" s="190">
        <v>0</v>
      </c>
      <c r="CG31" s="190">
        <v>3</v>
      </c>
      <c r="CH31" s="190">
        <v>3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2</v>
      </c>
      <c r="CO31" s="190">
        <v>54</v>
      </c>
      <c r="CP31" s="190">
        <v>56</v>
      </c>
      <c r="CQ31" s="190">
        <v>0</v>
      </c>
      <c r="CR31" s="190">
        <v>0</v>
      </c>
      <c r="CS31" s="190">
        <v>0</v>
      </c>
      <c r="CT31" s="190">
        <v>13</v>
      </c>
      <c r="CU31" s="190">
        <v>395</v>
      </c>
      <c r="CV31" s="190">
        <v>408</v>
      </c>
      <c r="CW31" s="190">
        <v>0</v>
      </c>
      <c r="CX31" s="190">
        <v>17</v>
      </c>
      <c r="CY31" s="190">
        <v>17</v>
      </c>
      <c r="CZ31" s="190">
        <v>0</v>
      </c>
      <c r="DA31" s="190">
        <v>0</v>
      </c>
      <c r="DB31" s="190">
        <v>0</v>
      </c>
      <c r="DC31" s="190">
        <v>17</v>
      </c>
      <c r="DD31" s="190">
        <v>0</v>
      </c>
      <c r="DE31" s="190">
        <v>0</v>
      </c>
      <c r="DF31" s="190">
        <v>0</v>
      </c>
      <c r="DG31" s="190">
        <v>17</v>
      </c>
      <c r="DH31" s="190">
        <v>17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1783</v>
      </c>
      <c r="C32" s="190">
        <v>411</v>
      </c>
      <c r="D32" s="190">
        <v>1761</v>
      </c>
      <c r="E32" s="190">
        <v>1052</v>
      </c>
      <c r="F32" s="190">
        <v>0</v>
      </c>
      <c r="G32" s="190">
        <v>6</v>
      </c>
      <c r="H32" s="190">
        <v>6</v>
      </c>
      <c r="I32" s="190">
        <v>1</v>
      </c>
      <c r="J32" s="190">
        <v>631</v>
      </c>
      <c r="K32" s="190">
        <v>632</v>
      </c>
      <c r="L32" s="190">
        <v>1</v>
      </c>
      <c r="M32" s="190">
        <v>382</v>
      </c>
      <c r="N32" s="190">
        <v>383</v>
      </c>
      <c r="O32" s="190">
        <v>0</v>
      </c>
      <c r="P32" s="190">
        <v>249</v>
      </c>
      <c r="Q32" s="190">
        <v>249</v>
      </c>
      <c r="R32" s="190">
        <v>0</v>
      </c>
      <c r="S32" s="190">
        <v>2</v>
      </c>
      <c r="T32" s="190">
        <v>2</v>
      </c>
      <c r="U32" s="190">
        <v>0</v>
      </c>
      <c r="V32" s="190">
        <v>77</v>
      </c>
      <c r="W32" s="190">
        <v>77</v>
      </c>
      <c r="X32" s="190">
        <v>32</v>
      </c>
      <c r="Y32" s="190">
        <v>1729</v>
      </c>
      <c r="Z32" s="190">
        <v>1761</v>
      </c>
      <c r="AA32" s="190">
        <v>21</v>
      </c>
      <c r="AB32" s="190">
        <v>560</v>
      </c>
      <c r="AC32" s="190">
        <v>581</v>
      </c>
      <c r="AD32" s="190">
        <v>19</v>
      </c>
      <c r="AE32" s="190">
        <v>541</v>
      </c>
      <c r="AF32" s="190">
        <v>560</v>
      </c>
      <c r="AG32" s="190">
        <v>0</v>
      </c>
      <c r="AH32" s="190">
        <v>6</v>
      </c>
      <c r="AI32" s="190">
        <v>6</v>
      </c>
      <c r="AJ32" s="190">
        <v>2</v>
      </c>
      <c r="AK32" s="190">
        <v>13</v>
      </c>
      <c r="AL32" s="190">
        <v>15</v>
      </c>
      <c r="AM32" s="190">
        <v>11</v>
      </c>
      <c r="AN32" s="190">
        <v>1169</v>
      </c>
      <c r="AO32" s="190">
        <v>1180</v>
      </c>
      <c r="AP32" s="190">
        <v>2066</v>
      </c>
      <c r="AQ32" s="190">
        <v>17505</v>
      </c>
      <c r="AR32" s="190">
        <v>19571</v>
      </c>
      <c r="AS32" s="190">
        <v>2066</v>
      </c>
      <c r="AT32" s="190">
        <v>17507</v>
      </c>
      <c r="AU32" s="190">
        <v>19573</v>
      </c>
      <c r="AV32" s="190">
        <v>0</v>
      </c>
      <c r="AW32" s="190">
        <v>-2</v>
      </c>
      <c r="AX32" s="190">
        <v>-2</v>
      </c>
      <c r="AY32" s="190">
        <v>42</v>
      </c>
      <c r="AZ32" s="190">
        <v>1678</v>
      </c>
      <c r="BA32" s="190">
        <v>1720</v>
      </c>
      <c r="BB32" s="190">
        <v>36</v>
      </c>
      <c r="BC32" s="190">
        <v>1</v>
      </c>
      <c r="BD32" s="190">
        <v>0</v>
      </c>
      <c r="BE32" s="190">
        <v>997</v>
      </c>
      <c r="BF32" s="190">
        <v>15</v>
      </c>
      <c r="BG32" s="190">
        <v>3</v>
      </c>
      <c r="BH32" s="190">
        <v>37</v>
      </c>
      <c r="BI32" s="190">
        <v>1015</v>
      </c>
      <c r="BJ32" s="190">
        <v>1052</v>
      </c>
      <c r="BK32" s="190">
        <v>-57</v>
      </c>
      <c r="BL32" s="190">
        <v>57</v>
      </c>
      <c r="BM32" s="190">
        <v>0</v>
      </c>
      <c r="BN32" s="190">
        <v>2</v>
      </c>
      <c r="BO32" s="190">
        <v>19</v>
      </c>
      <c r="BP32" s="190">
        <v>21</v>
      </c>
      <c r="BQ32" s="190">
        <v>15</v>
      </c>
      <c r="BR32" s="190">
        <v>125</v>
      </c>
      <c r="BS32" s="190">
        <v>140</v>
      </c>
      <c r="BT32" s="190">
        <v>45</v>
      </c>
      <c r="BU32" s="190">
        <v>462</v>
      </c>
      <c r="BV32" s="190">
        <v>507</v>
      </c>
      <c r="BW32" s="190">
        <v>2108</v>
      </c>
      <c r="BX32" s="190">
        <v>19183</v>
      </c>
      <c r="BY32" s="190">
        <v>21291</v>
      </c>
      <c r="BZ32" s="190">
        <v>2085</v>
      </c>
      <c r="CA32" s="190">
        <v>18960</v>
      </c>
      <c r="CB32" s="190">
        <v>21045</v>
      </c>
      <c r="CC32" s="190">
        <v>46181</v>
      </c>
      <c r="CD32" s="190">
        <v>8</v>
      </c>
      <c r="CE32" s="190">
        <v>231</v>
      </c>
      <c r="CF32" s="190">
        <v>23</v>
      </c>
      <c r="CG32" s="190">
        <v>186</v>
      </c>
      <c r="CH32" s="190">
        <v>209</v>
      </c>
      <c r="CI32" s="190">
        <v>44</v>
      </c>
      <c r="CJ32" s="190">
        <v>6</v>
      </c>
      <c r="CK32" s="190">
        <v>0</v>
      </c>
      <c r="CL32" s="190">
        <v>37</v>
      </c>
      <c r="CM32" s="190">
        <v>37</v>
      </c>
      <c r="CN32" s="190">
        <v>146</v>
      </c>
      <c r="CO32" s="190">
        <v>2480</v>
      </c>
      <c r="CP32" s="190">
        <v>2626</v>
      </c>
      <c r="CQ32" s="190">
        <v>0</v>
      </c>
      <c r="CR32" s="190">
        <v>0</v>
      </c>
      <c r="CS32" s="190">
        <v>0</v>
      </c>
      <c r="CT32" s="190">
        <v>1962</v>
      </c>
      <c r="CU32" s="190">
        <v>16703</v>
      </c>
      <c r="CV32" s="190">
        <v>18665</v>
      </c>
      <c r="CW32" s="190">
        <v>149</v>
      </c>
      <c r="CX32" s="190">
        <v>739</v>
      </c>
      <c r="CY32" s="190">
        <v>888</v>
      </c>
      <c r="CZ32" s="190">
        <v>144</v>
      </c>
      <c r="DA32" s="190">
        <v>3</v>
      </c>
      <c r="DB32" s="190">
        <v>0</v>
      </c>
      <c r="DC32" s="190">
        <v>692</v>
      </c>
      <c r="DD32" s="190">
        <v>4</v>
      </c>
      <c r="DE32" s="190">
        <v>0</v>
      </c>
      <c r="DF32" s="190">
        <v>147</v>
      </c>
      <c r="DG32" s="190">
        <v>696</v>
      </c>
      <c r="DH32" s="190">
        <v>843</v>
      </c>
      <c r="DI32" s="190">
        <v>2</v>
      </c>
      <c r="DJ32" s="190">
        <v>0</v>
      </c>
      <c r="DK32" s="190">
        <v>0</v>
      </c>
      <c r="DL32" s="190">
        <v>43</v>
      </c>
      <c r="DM32" s="190">
        <v>0</v>
      </c>
      <c r="DN32" s="190">
        <v>0</v>
      </c>
      <c r="DO32" s="190">
        <v>2</v>
      </c>
      <c r="DP32" s="190">
        <v>43</v>
      </c>
      <c r="DQ32" s="190">
        <v>45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300</v>
      </c>
      <c r="C33" s="190">
        <v>80</v>
      </c>
      <c r="D33" s="190">
        <v>298</v>
      </c>
      <c r="E33" s="190">
        <v>142</v>
      </c>
      <c r="F33" s="190">
        <v>0</v>
      </c>
      <c r="G33" s="190">
        <v>3</v>
      </c>
      <c r="H33" s="190">
        <v>3</v>
      </c>
      <c r="I33" s="190">
        <v>0</v>
      </c>
      <c r="J33" s="190">
        <v>125</v>
      </c>
      <c r="K33" s="190">
        <v>125</v>
      </c>
      <c r="L33" s="190">
        <v>0</v>
      </c>
      <c r="M33" s="190">
        <v>39</v>
      </c>
      <c r="N33" s="190">
        <v>39</v>
      </c>
      <c r="O33" s="190">
        <v>0</v>
      </c>
      <c r="P33" s="190">
        <v>86</v>
      </c>
      <c r="Q33" s="190">
        <v>86</v>
      </c>
      <c r="R33" s="190">
        <v>0</v>
      </c>
      <c r="S33" s="190">
        <v>3</v>
      </c>
      <c r="T33" s="190">
        <v>3</v>
      </c>
      <c r="U33" s="190">
        <v>0</v>
      </c>
      <c r="V33" s="190">
        <v>31</v>
      </c>
      <c r="W33" s="190">
        <v>31</v>
      </c>
      <c r="X33" s="190">
        <v>5</v>
      </c>
      <c r="Y33" s="190">
        <v>293</v>
      </c>
      <c r="Z33" s="190">
        <v>298</v>
      </c>
      <c r="AA33" s="190">
        <v>3</v>
      </c>
      <c r="AB33" s="190">
        <v>67</v>
      </c>
      <c r="AC33" s="190">
        <v>70</v>
      </c>
      <c r="AD33" s="190">
        <v>3</v>
      </c>
      <c r="AE33" s="190">
        <v>58</v>
      </c>
      <c r="AF33" s="190">
        <v>61</v>
      </c>
      <c r="AG33" s="190">
        <v>0</v>
      </c>
      <c r="AH33" s="190">
        <v>4</v>
      </c>
      <c r="AI33" s="190">
        <v>4</v>
      </c>
      <c r="AJ33" s="190">
        <v>0</v>
      </c>
      <c r="AK33" s="190">
        <v>5</v>
      </c>
      <c r="AL33" s="190">
        <v>5</v>
      </c>
      <c r="AM33" s="190">
        <v>2</v>
      </c>
      <c r="AN33" s="190">
        <v>226</v>
      </c>
      <c r="AO33" s="190">
        <v>228</v>
      </c>
      <c r="AP33" s="190">
        <v>293</v>
      </c>
      <c r="AQ33" s="190">
        <v>2937</v>
      </c>
      <c r="AR33" s="190">
        <v>3230</v>
      </c>
      <c r="AS33" s="190">
        <v>294</v>
      </c>
      <c r="AT33" s="190">
        <v>2937</v>
      </c>
      <c r="AU33" s="190">
        <v>3231</v>
      </c>
      <c r="AV33" s="190">
        <v>-1</v>
      </c>
      <c r="AW33" s="190">
        <v>0</v>
      </c>
      <c r="AX33" s="190">
        <v>-1</v>
      </c>
      <c r="AY33" s="190">
        <v>24</v>
      </c>
      <c r="AZ33" s="190">
        <v>268</v>
      </c>
      <c r="BA33" s="190">
        <v>292</v>
      </c>
      <c r="BB33" s="190">
        <v>5</v>
      </c>
      <c r="BC33" s="190">
        <v>0</v>
      </c>
      <c r="BD33" s="190">
        <v>0</v>
      </c>
      <c r="BE33" s="190">
        <v>132</v>
      </c>
      <c r="BF33" s="190">
        <v>4</v>
      </c>
      <c r="BG33" s="190">
        <v>1</v>
      </c>
      <c r="BH33" s="190">
        <v>5</v>
      </c>
      <c r="BI33" s="190">
        <v>137</v>
      </c>
      <c r="BJ33" s="190">
        <v>142</v>
      </c>
      <c r="BK33" s="190">
        <v>11</v>
      </c>
      <c r="BL33" s="190">
        <v>-11</v>
      </c>
      <c r="BM33" s="190">
        <v>0</v>
      </c>
      <c r="BN33" s="190">
        <v>1</v>
      </c>
      <c r="BO33" s="190">
        <v>16</v>
      </c>
      <c r="BP33" s="190">
        <v>17</v>
      </c>
      <c r="BQ33" s="190">
        <v>2</v>
      </c>
      <c r="BR33" s="190">
        <v>16</v>
      </c>
      <c r="BS33" s="190">
        <v>18</v>
      </c>
      <c r="BT33" s="190">
        <v>5</v>
      </c>
      <c r="BU33" s="190">
        <v>110</v>
      </c>
      <c r="BV33" s="190">
        <v>115</v>
      </c>
      <c r="BW33" s="190">
        <v>317</v>
      </c>
      <c r="BX33" s="190">
        <v>3205</v>
      </c>
      <c r="BY33" s="190">
        <v>3522</v>
      </c>
      <c r="BZ33" s="190">
        <v>309</v>
      </c>
      <c r="CA33" s="190">
        <v>3149</v>
      </c>
      <c r="CB33" s="190">
        <v>3458</v>
      </c>
      <c r="CC33" s="190">
        <v>7122</v>
      </c>
      <c r="CD33" s="190">
        <v>2</v>
      </c>
      <c r="CE33" s="190">
        <v>58</v>
      </c>
      <c r="CF33" s="190">
        <v>8</v>
      </c>
      <c r="CG33" s="190">
        <v>47</v>
      </c>
      <c r="CH33" s="190">
        <v>55</v>
      </c>
      <c r="CI33" s="190">
        <v>8</v>
      </c>
      <c r="CJ33" s="190">
        <v>4</v>
      </c>
      <c r="CK33" s="190">
        <v>0</v>
      </c>
      <c r="CL33" s="190">
        <v>9</v>
      </c>
      <c r="CM33" s="190">
        <v>9</v>
      </c>
      <c r="CN33" s="190">
        <v>20</v>
      </c>
      <c r="CO33" s="190">
        <v>311</v>
      </c>
      <c r="CP33" s="190">
        <v>331</v>
      </c>
      <c r="CQ33" s="190">
        <v>0</v>
      </c>
      <c r="CR33" s="190">
        <v>0</v>
      </c>
      <c r="CS33" s="190">
        <v>0</v>
      </c>
      <c r="CT33" s="190">
        <v>297</v>
      </c>
      <c r="CU33" s="190">
        <v>2894</v>
      </c>
      <c r="CV33" s="190">
        <v>3191</v>
      </c>
      <c r="CW33" s="190">
        <v>19</v>
      </c>
      <c r="CX33" s="190">
        <v>156</v>
      </c>
      <c r="CY33" s="190">
        <v>175</v>
      </c>
      <c r="CZ33" s="190">
        <v>18</v>
      </c>
      <c r="DA33" s="190">
        <v>1</v>
      </c>
      <c r="DB33" s="190">
        <v>0</v>
      </c>
      <c r="DC33" s="190">
        <v>155</v>
      </c>
      <c r="DD33" s="190">
        <v>1</v>
      </c>
      <c r="DE33" s="190">
        <v>0</v>
      </c>
      <c r="DF33" s="190">
        <v>19</v>
      </c>
      <c r="DG33" s="190">
        <v>156</v>
      </c>
      <c r="DH33" s="190">
        <v>175</v>
      </c>
      <c r="DI33" s="190">
        <v>0</v>
      </c>
      <c r="DJ33" s="190">
        <v>0</v>
      </c>
      <c r="DK33" s="190">
        <v>0</v>
      </c>
      <c r="DL33" s="190">
        <v>0</v>
      </c>
      <c r="DM33" s="190">
        <v>0</v>
      </c>
      <c r="DN33" s="190">
        <v>0</v>
      </c>
      <c r="DO33" s="190">
        <v>0</v>
      </c>
      <c r="DP33" s="190">
        <v>0</v>
      </c>
      <c r="DQ33" s="190">
        <v>0</v>
      </c>
      <c r="DR33" s="190">
        <v>0</v>
      </c>
      <c r="DS33" s="190">
        <v>0</v>
      </c>
      <c r="DT33" s="191">
        <v>0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370</v>
      </c>
      <c r="C34" s="190">
        <v>96</v>
      </c>
      <c r="D34" s="190">
        <v>391</v>
      </c>
      <c r="E34" s="190">
        <v>247</v>
      </c>
      <c r="F34" s="190">
        <v>0</v>
      </c>
      <c r="G34" s="190">
        <v>18</v>
      </c>
      <c r="H34" s="190">
        <v>18</v>
      </c>
      <c r="I34" s="190">
        <v>0</v>
      </c>
      <c r="J34" s="190">
        <v>130</v>
      </c>
      <c r="K34" s="190">
        <v>130</v>
      </c>
      <c r="L34" s="190">
        <v>0</v>
      </c>
      <c r="M34" s="190">
        <v>64</v>
      </c>
      <c r="N34" s="190">
        <v>64</v>
      </c>
      <c r="O34" s="190">
        <v>0</v>
      </c>
      <c r="P34" s="190">
        <v>66</v>
      </c>
      <c r="Q34" s="190">
        <v>66</v>
      </c>
      <c r="R34" s="190">
        <v>0</v>
      </c>
      <c r="S34" s="190">
        <v>12</v>
      </c>
      <c r="T34" s="190">
        <v>12</v>
      </c>
      <c r="U34" s="190">
        <v>0</v>
      </c>
      <c r="V34" s="190">
        <v>14</v>
      </c>
      <c r="W34" s="190">
        <v>14</v>
      </c>
      <c r="X34" s="190">
        <v>2</v>
      </c>
      <c r="Y34" s="190">
        <v>389</v>
      </c>
      <c r="Z34" s="190">
        <v>391</v>
      </c>
      <c r="AA34" s="190">
        <v>1</v>
      </c>
      <c r="AB34" s="190">
        <v>183</v>
      </c>
      <c r="AC34" s="190">
        <v>184</v>
      </c>
      <c r="AD34" s="190">
        <v>1</v>
      </c>
      <c r="AE34" s="190">
        <v>164</v>
      </c>
      <c r="AF34" s="190">
        <v>165</v>
      </c>
      <c r="AG34" s="190">
        <v>0</v>
      </c>
      <c r="AH34" s="190">
        <v>4</v>
      </c>
      <c r="AI34" s="190">
        <v>4</v>
      </c>
      <c r="AJ34" s="190">
        <v>0</v>
      </c>
      <c r="AK34" s="190">
        <v>15</v>
      </c>
      <c r="AL34" s="190">
        <v>15</v>
      </c>
      <c r="AM34" s="190">
        <v>1</v>
      </c>
      <c r="AN34" s="190">
        <v>206</v>
      </c>
      <c r="AO34" s="190">
        <v>207</v>
      </c>
      <c r="AP34" s="190">
        <v>241</v>
      </c>
      <c r="AQ34" s="190">
        <v>3819</v>
      </c>
      <c r="AR34" s="190">
        <v>4060</v>
      </c>
      <c r="AS34" s="190">
        <v>241</v>
      </c>
      <c r="AT34" s="190">
        <v>3819</v>
      </c>
      <c r="AU34" s="190">
        <v>4060</v>
      </c>
      <c r="AV34" s="190">
        <v>0</v>
      </c>
      <c r="AW34" s="190">
        <v>0</v>
      </c>
      <c r="AX34" s="190">
        <v>0</v>
      </c>
      <c r="AY34" s="190">
        <v>2</v>
      </c>
      <c r="AZ34" s="190">
        <v>377</v>
      </c>
      <c r="BA34" s="190">
        <v>379</v>
      </c>
      <c r="BB34" s="190">
        <v>2</v>
      </c>
      <c r="BC34" s="190">
        <v>0</v>
      </c>
      <c r="BD34" s="190">
        <v>0</v>
      </c>
      <c r="BE34" s="190">
        <v>244</v>
      </c>
      <c r="BF34" s="190">
        <v>0</v>
      </c>
      <c r="BG34" s="190">
        <v>1</v>
      </c>
      <c r="BH34" s="190">
        <v>2</v>
      </c>
      <c r="BI34" s="190">
        <v>245</v>
      </c>
      <c r="BJ34" s="190">
        <v>247</v>
      </c>
      <c r="BK34" s="190">
        <v>-7</v>
      </c>
      <c r="BL34" s="190">
        <v>7</v>
      </c>
      <c r="BM34" s="190">
        <v>0</v>
      </c>
      <c r="BN34" s="190">
        <v>0</v>
      </c>
      <c r="BO34" s="190">
        <v>11</v>
      </c>
      <c r="BP34" s="190">
        <v>11</v>
      </c>
      <c r="BQ34" s="190">
        <v>0</v>
      </c>
      <c r="BR34" s="190">
        <v>28</v>
      </c>
      <c r="BS34" s="190">
        <v>28</v>
      </c>
      <c r="BT34" s="190">
        <v>7</v>
      </c>
      <c r="BU34" s="190">
        <v>86</v>
      </c>
      <c r="BV34" s="190">
        <v>93</v>
      </c>
      <c r="BW34" s="190">
        <v>243</v>
      </c>
      <c r="BX34" s="190">
        <v>4196</v>
      </c>
      <c r="BY34" s="190">
        <v>4439</v>
      </c>
      <c r="BZ34" s="190">
        <v>243</v>
      </c>
      <c r="CA34" s="190">
        <v>4181</v>
      </c>
      <c r="CB34" s="190">
        <v>4424</v>
      </c>
      <c r="CC34" s="190">
        <v>7703</v>
      </c>
      <c r="CD34" s="190">
        <v>0</v>
      </c>
      <c r="CE34" s="190">
        <v>13</v>
      </c>
      <c r="CF34" s="190">
        <v>0</v>
      </c>
      <c r="CG34" s="190">
        <v>11</v>
      </c>
      <c r="CH34" s="190">
        <v>11</v>
      </c>
      <c r="CI34" s="190">
        <v>5</v>
      </c>
      <c r="CJ34" s="190">
        <v>0</v>
      </c>
      <c r="CK34" s="190">
        <v>0</v>
      </c>
      <c r="CL34" s="190">
        <v>4</v>
      </c>
      <c r="CM34" s="190">
        <v>4</v>
      </c>
      <c r="CN34" s="190">
        <v>16</v>
      </c>
      <c r="CO34" s="190">
        <v>373</v>
      </c>
      <c r="CP34" s="190">
        <v>389</v>
      </c>
      <c r="CQ34" s="190">
        <v>0</v>
      </c>
      <c r="CR34" s="190">
        <v>0</v>
      </c>
      <c r="CS34" s="190">
        <v>0</v>
      </c>
      <c r="CT34" s="190">
        <v>227</v>
      </c>
      <c r="CU34" s="190">
        <v>3823</v>
      </c>
      <c r="CV34" s="190">
        <v>4050</v>
      </c>
      <c r="CW34" s="190">
        <v>11</v>
      </c>
      <c r="CX34" s="190">
        <v>150</v>
      </c>
      <c r="CY34" s="190">
        <v>161</v>
      </c>
      <c r="CZ34" s="190">
        <v>11</v>
      </c>
      <c r="DA34" s="190">
        <v>0</v>
      </c>
      <c r="DB34" s="190">
        <v>0</v>
      </c>
      <c r="DC34" s="190">
        <v>149</v>
      </c>
      <c r="DD34" s="190">
        <v>0</v>
      </c>
      <c r="DE34" s="190">
        <v>0</v>
      </c>
      <c r="DF34" s="190">
        <v>11</v>
      </c>
      <c r="DG34" s="190">
        <v>149</v>
      </c>
      <c r="DH34" s="190">
        <v>160</v>
      </c>
      <c r="DI34" s="190">
        <v>0</v>
      </c>
      <c r="DJ34" s="190">
        <v>0</v>
      </c>
      <c r="DK34" s="190">
        <v>0</v>
      </c>
      <c r="DL34" s="190">
        <v>1</v>
      </c>
      <c r="DM34" s="190">
        <v>0</v>
      </c>
      <c r="DN34" s="190">
        <v>0</v>
      </c>
      <c r="DO34" s="190">
        <v>0</v>
      </c>
      <c r="DP34" s="190">
        <v>1</v>
      </c>
      <c r="DQ34" s="190">
        <v>1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8339</v>
      </c>
      <c r="C35" s="190">
        <v>2132</v>
      </c>
      <c r="D35" s="190">
        <v>8343</v>
      </c>
      <c r="E35" s="190">
        <v>6180</v>
      </c>
      <c r="F35" s="190">
        <v>3</v>
      </c>
      <c r="G35" s="190">
        <v>61</v>
      </c>
      <c r="H35" s="190">
        <v>64</v>
      </c>
      <c r="I35" s="190">
        <v>1</v>
      </c>
      <c r="J35" s="190">
        <v>1897</v>
      </c>
      <c r="K35" s="190">
        <v>1898</v>
      </c>
      <c r="L35" s="190">
        <v>1</v>
      </c>
      <c r="M35" s="190">
        <v>1891</v>
      </c>
      <c r="N35" s="190">
        <v>1892</v>
      </c>
      <c r="O35" s="190">
        <v>0</v>
      </c>
      <c r="P35" s="190">
        <v>6</v>
      </c>
      <c r="Q35" s="190">
        <v>6</v>
      </c>
      <c r="R35" s="190">
        <v>1</v>
      </c>
      <c r="S35" s="190">
        <v>173</v>
      </c>
      <c r="T35" s="190">
        <v>174</v>
      </c>
      <c r="U35" s="190">
        <v>0</v>
      </c>
      <c r="V35" s="190">
        <v>265</v>
      </c>
      <c r="W35" s="190">
        <v>265</v>
      </c>
      <c r="X35" s="190">
        <v>129</v>
      </c>
      <c r="Y35" s="190">
        <v>5405</v>
      </c>
      <c r="Z35" s="190">
        <v>5534</v>
      </c>
      <c r="AA35" s="190">
        <v>82</v>
      </c>
      <c r="AB35" s="190">
        <v>1995</v>
      </c>
      <c r="AC35" s="190">
        <v>2077</v>
      </c>
      <c r="AD35" s="190">
        <v>82</v>
      </c>
      <c r="AE35" s="190">
        <v>1995</v>
      </c>
      <c r="AF35" s="190">
        <v>2077</v>
      </c>
      <c r="AG35" s="190">
        <v>0</v>
      </c>
      <c r="AH35" s="190">
        <v>0</v>
      </c>
      <c r="AI35" s="190">
        <v>0</v>
      </c>
      <c r="AJ35" s="190">
        <v>0</v>
      </c>
      <c r="AK35" s="190">
        <v>0</v>
      </c>
      <c r="AL35" s="190">
        <v>0</v>
      </c>
      <c r="AM35" s="190">
        <v>47</v>
      </c>
      <c r="AN35" s="190">
        <v>3410</v>
      </c>
      <c r="AO35" s="190">
        <v>3457</v>
      </c>
      <c r="AP35" s="190">
        <v>10405</v>
      </c>
      <c r="AQ35" s="190">
        <v>104423</v>
      </c>
      <c r="AR35" s="190">
        <v>114828</v>
      </c>
      <c r="AS35" s="190">
        <v>10344</v>
      </c>
      <c r="AT35" s="190">
        <v>104540</v>
      </c>
      <c r="AU35" s="190">
        <v>114884</v>
      </c>
      <c r="AV35" s="190">
        <v>61</v>
      </c>
      <c r="AW35" s="190">
        <v>-117</v>
      </c>
      <c r="AX35" s="190">
        <v>-56</v>
      </c>
      <c r="AY35" s="190">
        <v>384</v>
      </c>
      <c r="AZ35" s="190">
        <v>8569</v>
      </c>
      <c r="BA35" s="190">
        <v>8953</v>
      </c>
      <c r="BB35" s="190">
        <v>325</v>
      </c>
      <c r="BC35" s="190">
        <v>5</v>
      </c>
      <c r="BD35" s="190">
        <v>0</v>
      </c>
      <c r="BE35" s="190">
        <v>5674</v>
      </c>
      <c r="BF35" s="190">
        <v>101</v>
      </c>
      <c r="BG35" s="190">
        <v>75</v>
      </c>
      <c r="BH35" s="190">
        <v>330</v>
      </c>
      <c r="BI35" s="190">
        <v>5850</v>
      </c>
      <c r="BJ35" s="190">
        <v>6180</v>
      </c>
      <c r="BK35" s="190">
        <v>-202</v>
      </c>
      <c r="BL35" s="190">
        <v>202</v>
      </c>
      <c r="BM35" s="190">
        <v>0</v>
      </c>
      <c r="BN35" s="190">
        <v>8</v>
      </c>
      <c r="BO35" s="190">
        <v>50</v>
      </c>
      <c r="BP35" s="190">
        <v>58</v>
      </c>
      <c r="BQ35" s="190">
        <v>3</v>
      </c>
      <c r="BR35" s="190">
        <v>3</v>
      </c>
      <c r="BS35" s="190">
        <v>6</v>
      </c>
      <c r="BT35" s="190">
        <v>245</v>
      </c>
      <c r="BU35" s="190">
        <v>2464</v>
      </c>
      <c r="BV35" s="190">
        <v>2709</v>
      </c>
      <c r="BW35" s="190">
        <v>10789</v>
      </c>
      <c r="BX35" s="190">
        <v>112992</v>
      </c>
      <c r="BY35" s="190">
        <v>123781</v>
      </c>
      <c r="BZ35" s="190">
        <v>10569</v>
      </c>
      <c r="CA35" s="190">
        <v>109784</v>
      </c>
      <c r="CB35" s="190">
        <v>120353</v>
      </c>
      <c r="CC35" s="190">
        <v>253702</v>
      </c>
      <c r="CD35" s="190">
        <v>278</v>
      </c>
      <c r="CE35" s="190">
        <v>2942</v>
      </c>
      <c r="CF35" s="190">
        <v>215</v>
      </c>
      <c r="CG35" s="190">
        <v>2063</v>
      </c>
      <c r="CH35" s="190">
        <v>2278</v>
      </c>
      <c r="CI35" s="190">
        <v>1580</v>
      </c>
      <c r="CJ35" s="190">
        <v>15</v>
      </c>
      <c r="CK35" s="190">
        <v>5</v>
      </c>
      <c r="CL35" s="190">
        <v>1145</v>
      </c>
      <c r="CM35" s="190">
        <v>1150</v>
      </c>
      <c r="CN35" s="190">
        <v>560</v>
      </c>
      <c r="CO35" s="190">
        <v>9492</v>
      </c>
      <c r="CP35" s="190">
        <v>10052</v>
      </c>
      <c r="CQ35" s="190">
        <v>2</v>
      </c>
      <c r="CR35" s="190">
        <v>61</v>
      </c>
      <c r="CS35" s="190">
        <v>63</v>
      </c>
      <c r="CT35" s="190">
        <v>10229</v>
      </c>
      <c r="CU35" s="190">
        <v>103500</v>
      </c>
      <c r="CV35" s="190">
        <v>113729</v>
      </c>
      <c r="CW35" s="190">
        <v>736</v>
      </c>
      <c r="CX35" s="190">
        <v>6871</v>
      </c>
      <c r="CY35" s="190">
        <v>7607</v>
      </c>
      <c r="CZ35" s="190">
        <v>700</v>
      </c>
      <c r="DA35" s="190">
        <v>15</v>
      </c>
      <c r="DB35" s="190">
        <v>2</v>
      </c>
      <c r="DC35" s="190">
        <v>5495</v>
      </c>
      <c r="DD35" s="190">
        <v>128</v>
      </c>
      <c r="DE35" s="190">
        <v>39</v>
      </c>
      <c r="DF35" s="190">
        <v>717</v>
      </c>
      <c r="DG35" s="190">
        <v>5662</v>
      </c>
      <c r="DH35" s="190">
        <v>6379</v>
      </c>
      <c r="DI35" s="190">
        <v>16</v>
      </c>
      <c r="DJ35" s="190">
        <v>2</v>
      </c>
      <c r="DK35" s="190">
        <v>1</v>
      </c>
      <c r="DL35" s="190">
        <v>1172</v>
      </c>
      <c r="DM35" s="190">
        <v>29</v>
      </c>
      <c r="DN35" s="190">
        <v>8</v>
      </c>
      <c r="DO35" s="190">
        <v>19</v>
      </c>
      <c r="DP35" s="190">
        <v>1209</v>
      </c>
      <c r="DQ35" s="190">
        <v>1228</v>
      </c>
      <c r="DR35" s="190">
        <v>0</v>
      </c>
      <c r="DS35" s="190">
        <v>0</v>
      </c>
      <c r="DT35" s="191">
        <v>0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630</v>
      </c>
      <c r="C36" s="190">
        <v>253</v>
      </c>
      <c r="D36" s="190">
        <v>587</v>
      </c>
      <c r="E36" s="190">
        <v>300</v>
      </c>
      <c r="F36" s="190">
        <v>0</v>
      </c>
      <c r="G36" s="190">
        <v>1</v>
      </c>
      <c r="H36" s="190">
        <v>1</v>
      </c>
      <c r="I36" s="190">
        <v>0</v>
      </c>
      <c r="J36" s="190">
        <v>256</v>
      </c>
      <c r="K36" s="190">
        <v>256</v>
      </c>
      <c r="L36" s="190">
        <v>0</v>
      </c>
      <c r="M36" s="190">
        <v>69</v>
      </c>
      <c r="N36" s="190">
        <v>69</v>
      </c>
      <c r="O36" s="190">
        <v>0</v>
      </c>
      <c r="P36" s="190">
        <v>187</v>
      </c>
      <c r="Q36" s="190">
        <v>187</v>
      </c>
      <c r="R36" s="190">
        <v>0</v>
      </c>
      <c r="S36" s="190">
        <v>19</v>
      </c>
      <c r="T36" s="190">
        <v>19</v>
      </c>
      <c r="U36" s="190">
        <v>0</v>
      </c>
      <c r="V36" s="190">
        <v>31</v>
      </c>
      <c r="W36" s="190">
        <v>31</v>
      </c>
      <c r="X36" s="190">
        <v>2</v>
      </c>
      <c r="Y36" s="190">
        <v>347</v>
      </c>
      <c r="Z36" s="190">
        <v>349</v>
      </c>
      <c r="AA36" s="190">
        <v>0</v>
      </c>
      <c r="AB36" s="190">
        <v>169</v>
      </c>
      <c r="AC36" s="190">
        <v>169</v>
      </c>
      <c r="AD36" s="190">
        <v>0</v>
      </c>
      <c r="AE36" s="190">
        <v>162</v>
      </c>
      <c r="AF36" s="190">
        <v>162</v>
      </c>
      <c r="AG36" s="190">
        <v>0</v>
      </c>
      <c r="AH36" s="190">
        <v>6</v>
      </c>
      <c r="AI36" s="190">
        <v>6</v>
      </c>
      <c r="AJ36" s="190">
        <v>0</v>
      </c>
      <c r="AK36" s="190">
        <v>1</v>
      </c>
      <c r="AL36" s="190">
        <v>1</v>
      </c>
      <c r="AM36" s="190">
        <v>2</v>
      </c>
      <c r="AN36" s="190">
        <v>178</v>
      </c>
      <c r="AO36" s="190">
        <v>180</v>
      </c>
      <c r="AP36" s="190">
        <v>650</v>
      </c>
      <c r="AQ36" s="190">
        <v>8022</v>
      </c>
      <c r="AR36" s="190">
        <v>8672</v>
      </c>
      <c r="AS36" s="190">
        <v>636</v>
      </c>
      <c r="AT36" s="190">
        <v>7635</v>
      </c>
      <c r="AU36" s="190">
        <v>8271</v>
      </c>
      <c r="AV36" s="190">
        <v>14</v>
      </c>
      <c r="AW36" s="190">
        <v>387</v>
      </c>
      <c r="AX36" s="190">
        <v>401</v>
      </c>
      <c r="AY36" s="190">
        <v>45</v>
      </c>
      <c r="AZ36" s="190">
        <v>615</v>
      </c>
      <c r="BA36" s="190">
        <v>660</v>
      </c>
      <c r="BB36" s="190">
        <v>21</v>
      </c>
      <c r="BC36" s="190">
        <v>1</v>
      </c>
      <c r="BD36" s="190">
        <v>0</v>
      </c>
      <c r="BE36" s="190">
        <v>277</v>
      </c>
      <c r="BF36" s="190">
        <v>1</v>
      </c>
      <c r="BG36" s="190">
        <v>0</v>
      </c>
      <c r="BH36" s="190">
        <v>22</v>
      </c>
      <c r="BI36" s="190">
        <v>278</v>
      </c>
      <c r="BJ36" s="190">
        <v>300</v>
      </c>
      <c r="BK36" s="190">
        <v>-15</v>
      </c>
      <c r="BL36" s="190">
        <v>15</v>
      </c>
      <c r="BM36" s="190">
        <v>0</v>
      </c>
      <c r="BN36" s="190">
        <v>5</v>
      </c>
      <c r="BO36" s="190">
        <v>43</v>
      </c>
      <c r="BP36" s="190">
        <v>48</v>
      </c>
      <c r="BQ36" s="190">
        <v>10</v>
      </c>
      <c r="BR36" s="190">
        <v>85</v>
      </c>
      <c r="BS36" s="190">
        <v>95</v>
      </c>
      <c r="BT36" s="190">
        <v>23</v>
      </c>
      <c r="BU36" s="190">
        <v>194</v>
      </c>
      <c r="BV36" s="190">
        <v>217</v>
      </c>
      <c r="BW36" s="190">
        <v>695</v>
      </c>
      <c r="BX36" s="190">
        <v>8637</v>
      </c>
      <c r="BY36" s="190">
        <v>9332</v>
      </c>
      <c r="BZ36" s="190">
        <v>686</v>
      </c>
      <c r="CA36" s="190">
        <v>8569</v>
      </c>
      <c r="CB36" s="190">
        <v>9255</v>
      </c>
      <c r="CC36" s="190">
        <v>17181</v>
      </c>
      <c r="CD36" s="190">
        <v>4</v>
      </c>
      <c r="CE36" s="190">
        <v>58</v>
      </c>
      <c r="CF36" s="190">
        <v>9</v>
      </c>
      <c r="CG36" s="190">
        <v>38</v>
      </c>
      <c r="CH36" s="190">
        <v>47</v>
      </c>
      <c r="CI36" s="190">
        <v>46</v>
      </c>
      <c r="CJ36" s="190">
        <v>2</v>
      </c>
      <c r="CK36" s="190">
        <v>0</v>
      </c>
      <c r="CL36" s="190">
        <v>30</v>
      </c>
      <c r="CM36" s="190">
        <v>30</v>
      </c>
      <c r="CN36" s="190">
        <v>57</v>
      </c>
      <c r="CO36" s="190">
        <v>863</v>
      </c>
      <c r="CP36" s="190">
        <v>920</v>
      </c>
      <c r="CQ36" s="190">
        <v>0</v>
      </c>
      <c r="CR36" s="190">
        <v>12</v>
      </c>
      <c r="CS36" s="190">
        <v>12</v>
      </c>
      <c r="CT36" s="190">
        <v>638</v>
      </c>
      <c r="CU36" s="190">
        <v>7774</v>
      </c>
      <c r="CV36" s="190">
        <v>8412</v>
      </c>
      <c r="CW36" s="190">
        <v>30</v>
      </c>
      <c r="CX36" s="190">
        <v>327</v>
      </c>
      <c r="CY36" s="190">
        <v>357</v>
      </c>
      <c r="CZ36" s="190">
        <v>30</v>
      </c>
      <c r="DA36" s="190">
        <v>0</v>
      </c>
      <c r="DB36" s="190">
        <v>0</v>
      </c>
      <c r="DC36" s="190">
        <v>319</v>
      </c>
      <c r="DD36" s="190">
        <v>1</v>
      </c>
      <c r="DE36" s="190">
        <v>2</v>
      </c>
      <c r="DF36" s="190">
        <v>30</v>
      </c>
      <c r="DG36" s="190">
        <v>322</v>
      </c>
      <c r="DH36" s="190">
        <v>352</v>
      </c>
      <c r="DI36" s="190">
        <v>0</v>
      </c>
      <c r="DJ36" s="190">
        <v>0</v>
      </c>
      <c r="DK36" s="190">
        <v>0</v>
      </c>
      <c r="DL36" s="190">
        <v>5</v>
      </c>
      <c r="DM36" s="190">
        <v>0</v>
      </c>
      <c r="DN36" s="190">
        <v>0</v>
      </c>
      <c r="DO36" s="190">
        <v>0</v>
      </c>
      <c r="DP36" s="190">
        <v>5</v>
      </c>
      <c r="DQ36" s="190">
        <v>5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100</v>
      </c>
      <c r="C37" s="190">
        <v>21</v>
      </c>
      <c r="D37" s="190">
        <v>97</v>
      </c>
      <c r="E37" s="190">
        <v>61</v>
      </c>
      <c r="F37" s="190">
        <v>0</v>
      </c>
      <c r="G37" s="190">
        <v>0</v>
      </c>
      <c r="H37" s="190">
        <v>0</v>
      </c>
      <c r="I37" s="190">
        <v>0</v>
      </c>
      <c r="J37" s="190">
        <v>36</v>
      </c>
      <c r="K37" s="190">
        <v>36</v>
      </c>
      <c r="L37" s="190">
        <v>0</v>
      </c>
      <c r="M37" s="190">
        <v>7</v>
      </c>
      <c r="N37" s="190">
        <v>7</v>
      </c>
      <c r="O37" s="190">
        <v>0</v>
      </c>
      <c r="P37" s="190">
        <v>29</v>
      </c>
      <c r="Q37" s="190">
        <v>29</v>
      </c>
      <c r="R37" s="190">
        <v>0</v>
      </c>
      <c r="S37" s="190">
        <v>0</v>
      </c>
      <c r="T37" s="190">
        <v>0</v>
      </c>
      <c r="U37" s="190">
        <v>0</v>
      </c>
      <c r="V37" s="190">
        <v>0</v>
      </c>
      <c r="W37" s="190">
        <v>0</v>
      </c>
      <c r="X37" s="190">
        <v>1</v>
      </c>
      <c r="Y37" s="190">
        <v>96</v>
      </c>
      <c r="Z37" s="190">
        <v>97</v>
      </c>
      <c r="AA37" s="190">
        <v>0</v>
      </c>
      <c r="AB37" s="190">
        <v>42</v>
      </c>
      <c r="AC37" s="190">
        <v>42</v>
      </c>
      <c r="AD37" s="190">
        <v>0</v>
      </c>
      <c r="AE37" s="190">
        <v>37</v>
      </c>
      <c r="AF37" s="190">
        <v>37</v>
      </c>
      <c r="AG37" s="190">
        <v>0</v>
      </c>
      <c r="AH37" s="190">
        <v>1</v>
      </c>
      <c r="AI37" s="190">
        <v>1</v>
      </c>
      <c r="AJ37" s="190">
        <v>0</v>
      </c>
      <c r="AK37" s="190">
        <v>4</v>
      </c>
      <c r="AL37" s="190">
        <v>4</v>
      </c>
      <c r="AM37" s="190">
        <v>1</v>
      </c>
      <c r="AN37" s="190">
        <v>54</v>
      </c>
      <c r="AO37" s="190">
        <v>55</v>
      </c>
      <c r="AP37" s="190">
        <v>75</v>
      </c>
      <c r="AQ37" s="190">
        <v>971</v>
      </c>
      <c r="AR37" s="190">
        <v>1046</v>
      </c>
      <c r="AS37" s="190">
        <v>75</v>
      </c>
      <c r="AT37" s="190">
        <v>971</v>
      </c>
      <c r="AU37" s="190">
        <v>1046</v>
      </c>
      <c r="AV37" s="190">
        <v>0</v>
      </c>
      <c r="AW37" s="190">
        <v>0</v>
      </c>
      <c r="AX37" s="190">
        <v>0</v>
      </c>
      <c r="AY37" s="190">
        <v>-2</v>
      </c>
      <c r="AZ37" s="190">
        <v>110</v>
      </c>
      <c r="BA37" s="190">
        <v>108</v>
      </c>
      <c r="BB37" s="190">
        <v>1</v>
      </c>
      <c r="BC37" s="190">
        <v>0</v>
      </c>
      <c r="BD37" s="190">
        <v>0</v>
      </c>
      <c r="BE37" s="190">
        <v>60</v>
      </c>
      <c r="BF37" s="190">
        <v>0</v>
      </c>
      <c r="BG37" s="190">
        <v>0</v>
      </c>
      <c r="BH37" s="190">
        <v>1</v>
      </c>
      <c r="BI37" s="190">
        <v>60</v>
      </c>
      <c r="BJ37" s="190">
        <v>61</v>
      </c>
      <c r="BK37" s="190">
        <v>-6</v>
      </c>
      <c r="BL37" s="190">
        <v>6</v>
      </c>
      <c r="BM37" s="190">
        <v>0</v>
      </c>
      <c r="BN37" s="190">
        <v>1</v>
      </c>
      <c r="BO37" s="190">
        <v>4</v>
      </c>
      <c r="BP37" s="190">
        <v>5</v>
      </c>
      <c r="BQ37" s="190">
        <v>0</v>
      </c>
      <c r="BR37" s="190">
        <v>17</v>
      </c>
      <c r="BS37" s="190">
        <v>17</v>
      </c>
      <c r="BT37" s="190">
        <v>2</v>
      </c>
      <c r="BU37" s="190">
        <v>23</v>
      </c>
      <c r="BV37" s="190">
        <v>25</v>
      </c>
      <c r="BW37" s="190">
        <v>73</v>
      </c>
      <c r="BX37" s="190">
        <v>1081</v>
      </c>
      <c r="BY37" s="190">
        <v>1154</v>
      </c>
      <c r="BZ37" s="190">
        <v>73</v>
      </c>
      <c r="CA37" s="190">
        <v>1080</v>
      </c>
      <c r="CB37" s="190">
        <v>1153</v>
      </c>
      <c r="CC37" s="190">
        <v>2019</v>
      </c>
      <c r="CD37" s="190">
        <v>0</v>
      </c>
      <c r="CE37" s="190">
        <v>1</v>
      </c>
      <c r="CF37" s="190">
        <v>0</v>
      </c>
      <c r="CG37" s="190">
        <v>1</v>
      </c>
      <c r="CH37" s="190">
        <v>1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7</v>
      </c>
      <c r="CO37" s="190">
        <v>96</v>
      </c>
      <c r="CP37" s="190">
        <v>103</v>
      </c>
      <c r="CQ37" s="190">
        <v>0</v>
      </c>
      <c r="CR37" s="190">
        <v>0</v>
      </c>
      <c r="CS37" s="190">
        <v>0</v>
      </c>
      <c r="CT37" s="190">
        <v>66</v>
      </c>
      <c r="CU37" s="190">
        <v>985</v>
      </c>
      <c r="CV37" s="190">
        <v>1051</v>
      </c>
      <c r="CW37" s="190">
        <v>4</v>
      </c>
      <c r="CX37" s="190">
        <v>63</v>
      </c>
      <c r="CY37" s="190">
        <v>67</v>
      </c>
      <c r="CZ37" s="190">
        <v>4</v>
      </c>
      <c r="DA37" s="190">
        <v>0</v>
      </c>
      <c r="DB37" s="190">
        <v>0</v>
      </c>
      <c r="DC37" s="190">
        <v>60</v>
      </c>
      <c r="DD37" s="190">
        <v>0</v>
      </c>
      <c r="DE37" s="190">
        <v>0</v>
      </c>
      <c r="DF37" s="190">
        <v>4</v>
      </c>
      <c r="DG37" s="190">
        <v>60</v>
      </c>
      <c r="DH37" s="190">
        <v>64</v>
      </c>
      <c r="DI37" s="190">
        <v>0</v>
      </c>
      <c r="DJ37" s="190">
        <v>0</v>
      </c>
      <c r="DK37" s="190">
        <v>0</v>
      </c>
      <c r="DL37" s="190">
        <v>3</v>
      </c>
      <c r="DM37" s="190">
        <v>0</v>
      </c>
      <c r="DN37" s="190">
        <v>0</v>
      </c>
      <c r="DO37" s="190">
        <v>0</v>
      </c>
      <c r="DP37" s="190">
        <v>3</v>
      </c>
      <c r="DQ37" s="190">
        <v>3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10623</v>
      </c>
      <c r="C38" s="190">
        <v>2914</v>
      </c>
      <c r="D38" s="190">
        <v>10893</v>
      </c>
      <c r="E38" s="190">
        <v>6363</v>
      </c>
      <c r="F38" s="190">
        <v>1</v>
      </c>
      <c r="G38" s="190">
        <v>18</v>
      </c>
      <c r="H38" s="190">
        <v>19</v>
      </c>
      <c r="I38" s="190">
        <v>3</v>
      </c>
      <c r="J38" s="190">
        <v>4147</v>
      </c>
      <c r="K38" s="190">
        <v>4150</v>
      </c>
      <c r="L38" s="190">
        <v>3</v>
      </c>
      <c r="M38" s="190">
        <v>1872</v>
      </c>
      <c r="N38" s="190">
        <v>1875</v>
      </c>
      <c r="O38" s="190">
        <v>0</v>
      </c>
      <c r="P38" s="190">
        <v>2275</v>
      </c>
      <c r="Q38" s="190">
        <v>2275</v>
      </c>
      <c r="R38" s="190">
        <v>0</v>
      </c>
      <c r="S38" s="190">
        <v>16</v>
      </c>
      <c r="T38" s="190">
        <v>16</v>
      </c>
      <c r="U38" s="190">
        <v>0</v>
      </c>
      <c r="V38" s="190">
        <v>380</v>
      </c>
      <c r="W38" s="190">
        <v>380</v>
      </c>
      <c r="X38" s="190">
        <v>304</v>
      </c>
      <c r="Y38" s="190">
        <v>10586</v>
      </c>
      <c r="Z38" s="190">
        <v>10890</v>
      </c>
      <c r="AA38" s="190">
        <v>215</v>
      </c>
      <c r="AB38" s="190">
        <v>4150</v>
      </c>
      <c r="AC38" s="190">
        <v>4365</v>
      </c>
      <c r="AD38" s="190">
        <v>203</v>
      </c>
      <c r="AE38" s="190">
        <v>3890</v>
      </c>
      <c r="AF38" s="190">
        <v>4093</v>
      </c>
      <c r="AG38" s="190">
        <v>6</v>
      </c>
      <c r="AH38" s="190">
        <v>138</v>
      </c>
      <c r="AI38" s="190">
        <v>144</v>
      </c>
      <c r="AJ38" s="190">
        <v>6</v>
      </c>
      <c r="AK38" s="190">
        <v>122</v>
      </c>
      <c r="AL38" s="190">
        <v>128</v>
      </c>
      <c r="AM38" s="190">
        <v>89</v>
      </c>
      <c r="AN38" s="190">
        <v>6436</v>
      </c>
      <c r="AO38" s="190">
        <v>6525</v>
      </c>
      <c r="AP38" s="190">
        <v>14761</v>
      </c>
      <c r="AQ38" s="190">
        <v>106204</v>
      </c>
      <c r="AR38" s="190">
        <v>120965</v>
      </c>
      <c r="AS38" s="190">
        <v>14761</v>
      </c>
      <c r="AT38" s="190">
        <v>106205</v>
      </c>
      <c r="AU38" s="190">
        <v>120966</v>
      </c>
      <c r="AV38" s="190">
        <v>0</v>
      </c>
      <c r="AW38" s="190">
        <v>-1</v>
      </c>
      <c r="AX38" s="190">
        <v>-1</v>
      </c>
      <c r="AY38" s="190">
        <v>811</v>
      </c>
      <c r="AZ38" s="190">
        <v>9970</v>
      </c>
      <c r="BA38" s="190">
        <v>10781</v>
      </c>
      <c r="BB38" s="190">
        <v>348</v>
      </c>
      <c r="BC38" s="190">
        <v>2</v>
      </c>
      <c r="BD38" s="190">
        <v>1</v>
      </c>
      <c r="BE38" s="190">
        <v>5945</v>
      </c>
      <c r="BF38" s="190">
        <v>52</v>
      </c>
      <c r="BG38" s="190">
        <v>15</v>
      </c>
      <c r="BH38" s="190">
        <v>351</v>
      </c>
      <c r="BI38" s="190">
        <v>6012</v>
      </c>
      <c r="BJ38" s="190">
        <v>6363</v>
      </c>
      <c r="BK38" s="190">
        <v>11</v>
      </c>
      <c r="BL38" s="190">
        <v>-11</v>
      </c>
      <c r="BM38" s="190">
        <v>0</v>
      </c>
      <c r="BN38" s="190">
        <v>20</v>
      </c>
      <c r="BO38" s="190">
        <v>184</v>
      </c>
      <c r="BP38" s="190">
        <v>204</v>
      </c>
      <c r="BQ38" s="190">
        <v>83</v>
      </c>
      <c r="BR38" s="190">
        <v>1511</v>
      </c>
      <c r="BS38" s="190">
        <v>1594</v>
      </c>
      <c r="BT38" s="190">
        <v>346</v>
      </c>
      <c r="BU38" s="190">
        <v>2274</v>
      </c>
      <c r="BV38" s="190">
        <v>2620</v>
      </c>
      <c r="BW38" s="190">
        <v>15572</v>
      </c>
      <c r="BX38" s="190">
        <v>116174</v>
      </c>
      <c r="BY38" s="190">
        <v>131746</v>
      </c>
      <c r="BZ38" s="190">
        <v>15452</v>
      </c>
      <c r="CA38" s="190">
        <v>115120</v>
      </c>
      <c r="CB38" s="190">
        <v>130572</v>
      </c>
      <c r="CC38" s="190">
        <v>290743</v>
      </c>
      <c r="CD38" s="190">
        <v>106</v>
      </c>
      <c r="CE38" s="190">
        <v>975</v>
      </c>
      <c r="CF38" s="190">
        <v>107</v>
      </c>
      <c r="CG38" s="190">
        <v>863</v>
      </c>
      <c r="CH38" s="190">
        <v>970</v>
      </c>
      <c r="CI38" s="190">
        <v>230</v>
      </c>
      <c r="CJ38" s="190">
        <v>25</v>
      </c>
      <c r="CK38" s="190">
        <v>13</v>
      </c>
      <c r="CL38" s="190">
        <v>191</v>
      </c>
      <c r="CM38" s="190">
        <v>204</v>
      </c>
      <c r="CN38" s="190">
        <v>905</v>
      </c>
      <c r="CO38" s="190">
        <v>10554</v>
      </c>
      <c r="CP38" s="190">
        <v>11459</v>
      </c>
      <c r="CQ38" s="190">
        <v>0</v>
      </c>
      <c r="CR38" s="190">
        <v>120</v>
      </c>
      <c r="CS38" s="190">
        <v>120</v>
      </c>
      <c r="CT38" s="190">
        <v>14667</v>
      </c>
      <c r="CU38" s="190">
        <v>105620</v>
      </c>
      <c r="CV38" s="190">
        <v>120287</v>
      </c>
      <c r="CW38" s="190">
        <v>1020</v>
      </c>
      <c r="CX38" s="190">
        <v>5171</v>
      </c>
      <c r="CY38" s="190">
        <v>6191</v>
      </c>
      <c r="CZ38" s="190">
        <v>1006</v>
      </c>
      <c r="DA38" s="190">
        <v>9</v>
      </c>
      <c r="DB38" s="190">
        <v>0</v>
      </c>
      <c r="DC38" s="190">
        <v>5043</v>
      </c>
      <c r="DD38" s="190">
        <v>56</v>
      </c>
      <c r="DE38" s="190">
        <v>6</v>
      </c>
      <c r="DF38" s="190">
        <v>1015</v>
      </c>
      <c r="DG38" s="190">
        <v>5105</v>
      </c>
      <c r="DH38" s="190">
        <v>6120</v>
      </c>
      <c r="DI38" s="190">
        <v>5</v>
      </c>
      <c r="DJ38" s="190">
        <v>0</v>
      </c>
      <c r="DK38" s="190">
        <v>0</v>
      </c>
      <c r="DL38" s="190">
        <v>64</v>
      </c>
      <c r="DM38" s="190">
        <v>2</v>
      </c>
      <c r="DN38" s="190">
        <v>0</v>
      </c>
      <c r="DO38" s="190">
        <v>5</v>
      </c>
      <c r="DP38" s="190">
        <v>66</v>
      </c>
      <c r="DQ38" s="190">
        <v>71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7779</v>
      </c>
      <c r="C39" s="190">
        <v>2172</v>
      </c>
      <c r="D39" s="190">
        <v>6771</v>
      </c>
      <c r="E39" s="190">
        <v>4136</v>
      </c>
      <c r="F39" s="190">
        <v>5</v>
      </c>
      <c r="G39" s="190">
        <v>33</v>
      </c>
      <c r="H39" s="190">
        <v>38</v>
      </c>
      <c r="I39" s="190">
        <v>2</v>
      </c>
      <c r="J39" s="190">
        <v>2455</v>
      </c>
      <c r="K39" s="190">
        <v>2457</v>
      </c>
      <c r="L39" s="190">
        <v>0</v>
      </c>
      <c r="M39" s="190">
        <v>826</v>
      </c>
      <c r="N39" s="190">
        <v>826</v>
      </c>
      <c r="O39" s="190">
        <v>2</v>
      </c>
      <c r="P39" s="190">
        <v>1629</v>
      </c>
      <c r="Q39" s="190">
        <v>1631</v>
      </c>
      <c r="R39" s="190">
        <v>0</v>
      </c>
      <c r="S39" s="190">
        <v>92</v>
      </c>
      <c r="T39" s="190">
        <v>92</v>
      </c>
      <c r="U39" s="190">
        <v>0</v>
      </c>
      <c r="V39" s="190">
        <v>178</v>
      </c>
      <c r="W39" s="190">
        <v>178</v>
      </c>
      <c r="X39" s="190">
        <v>287</v>
      </c>
      <c r="Y39" s="190">
        <v>6051</v>
      </c>
      <c r="Z39" s="190">
        <v>6338</v>
      </c>
      <c r="AA39" s="190">
        <v>146</v>
      </c>
      <c r="AB39" s="190">
        <v>1576</v>
      </c>
      <c r="AC39" s="190">
        <v>1722</v>
      </c>
      <c r="AD39" s="190">
        <v>143</v>
      </c>
      <c r="AE39" s="190">
        <v>1556</v>
      </c>
      <c r="AF39" s="190">
        <v>1699</v>
      </c>
      <c r="AG39" s="190">
        <v>2</v>
      </c>
      <c r="AH39" s="190">
        <v>19</v>
      </c>
      <c r="AI39" s="190">
        <v>21</v>
      </c>
      <c r="AJ39" s="190">
        <v>1</v>
      </c>
      <c r="AK39" s="190">
        <v>1</v>
      </c>
      <c r="AL39" s="190">
        <v>2</v>
      </c>
      <c r="AM39" s="190">
        <v>141</v>
      </c>
      <c r="AN39" s="190">
        <v>4475</v>
      </c>
      <c r="AO39" s="190">
        <v>4616</v>
      </c>
      <c r="AP39" s="190">
        <v>13640</v>
      </c>
      <c r="AQ39" s="190">
        <v>79969</v>
      </c>
      <c r="AR39" s="190">
        <v>93609</v>
      </c>
      <c r="AS39" s="190">
        <v>13520</v>
      </c>
      <c r="AT39" s="190">
        <v>79220</v>
      </c>
      <c r="AU39" s="190">
        <v>92740</v>
      </c>
      <c r="AV39" s="190">
        <v>120</v>
      </c>
      <c r="AW39" s="190">
        <v>749</v>
      </c>
      <c r="AX39" s="190">
        <v>869</v>
      </c>
      <c r="AY39" s="190">
        <v>678</v>
      </c>
      <c r="AZ39" s="190">
        <v>7692</v>
      </c>
      <c r="BA39" s="190">
        <v>8370</v>
      </c>
      <c r="BB39" s="190">
        <v>431</v>
      </c>
      <c r="BC39" s="190">
        <v>23</v>
      </c>
      <c r="BD39" s="190">
        <v>2</v>
      </c>
      <c r="BE39" s="190">
        <v>3614</v>
      </c>
      <c r="BF39" s="190">
        <v>40</v>
      </c>
      <c r="BG39" s="190">
        <v>26</v>
      </c>
      <c r="BH39" s="190">
        <v>456</v>
      </c>
      <c r="BI39" s="190">
        <v>3680</v>
      </c>
      <c r="BJ39" s="190">
        <v>4136</v>
      </c>
      <c r="BK39" s="190">
        <v>-355</v>
      </c>
      <c r="BL39" s="190">
        <v>355</v>
      </c>
      <c r="BM39" s="190">
        <v>0</v>
      </c>
      <c r="BN39" s="190">
        <v>30</v>
      </c>
      <c r="BO39" s="190">
        <v>140</v>
      </c>
      <c r="BP39" s="190">
        <v>170</v>
      </c>
      <c r="BQ39" s="190">
        <v>46</v>
      </c>
      <c r="BR39" s="190">
        <v>339</v>
      </c>
      <c r="BS39" s="190">
        <v>385</v>
      </c>
      <c r="BT39" s="190">
        <v>501</v>
      </c>
      <c r="BU39" s="190">
        <v>3178</v>
      </c>
      <c r="BV39" s="190">
        <v>3679</v>
      </c>
      <c r="BW39" s="190">
        <v>14318</v>
      </c>
      <c r="BX39" s="190">
        <v>87661</v>
      </c>
      <c r="BY39" s="190">
        <v>101979</v>
      </c>
      <c r="BZ39" s="190">
        <v>13770</v>
      </c>
      <c r="CA39" s="190">
        <v>85951</v>
      </c>
      <c r="CB39" s="190">
        <v>99721</v>
      </c>
      <c r="CC39" s="190">
        <v>213137</v>
      </c>
      <c r="CD39" s="190">
        <v>123</v>
      </c>
      <c r="CE39" s="190">
        <v>2501</v>
      </c>
      <c r="CF39" s="190">
        <v>538</v>
      </c>
      <c r="CG39" s="190">
        <v>1100</v>
      </c>
      <c r="CH39" s="190">
        <v>1638</v>
      </c>
      <c r="CI39" s="190">
        <v>827</v>
      </c>
      <c r="CJ39" s="190">
        <v>22</v>
      </c>
      <c r="CK39" s="190">
        <v>10</v>
      </c>
      <c r="CL39" s="190">
        <v>610</v>
      </c>
      <c r="CM39" s="190">
        <v>620</v>
      </c>
      <c r="CN39" s="190">
        <v>898</v>
      </c>
      <c r="CO39" s="190">
        <v>8768</v>
      </c>
      <c r="CP39" s="190">
        <v>9666</v>
      </c>
      <c r="CQ39" s="190">
        <v>0</v>
      </c>
      <c r="CR39" s="190">
        <v>11</v>
      </c>
      <c r="CS39" s="190">
        <v>11</v>
      </c>
      <c r="CT39" s="190">
        <v>13420</v>
      </c>
      <c r="CU39" s="190">
        <v>78893</v>
      </c>
      <c r="CV39" s="190">
        <v>92313</v>
      </c>
      <c r="CW39" s="190">
        <v>917</v>
      </c>
      <c r="CX39" s="190">
        <v>4245</v>
      </c>
      <c r="CY39" s="190">
        <v>5162</v>
      </c>
      <c r="CZ39" s="190">
        <v>856</v>
      </c>
      <c r="DA39" s="190">
        <v>35</v>
      </c>
      <c r="DB39" s="190">
        <v>0</v>
      </c>
      <c r="DC39" s="190">
        <v>3938</v>
      </c>
      <c r="DD39" s="190">
        <v>54</v>
      </c>
      <c r="DE39" s="190">
        <v>19</v>
      </c>
      <c r="DF39" s="190">
        <v>891</v>
      </c>
      <c r="DG39" s="190">
        <v>4011</v>
      </c>
      <c r="DH39" s="190">
        <v>4902</v>
      </c>
      <c r="DI39" s="190">
        <v>26</v>
      </c>
      <c r="DJ39" s="190">
        <v>0</v>
      </c>
      <c r="DK39" s="190">
        <v>0</v>
      </c>
      <c r="DL39" s="190">
        <v>222</v>
      </c>
      <c r="DM39" s="190">
        <v>9</v>
      </c>
      <c r="DN39" s="190">
        <v>3</v>
      </c>
      <c r="DO39" s="190">
        <v>26</v>
      </c>
      <c r="DP39" s="190">
        <v>234</v>
      </c>
      <c r="DQ39" s="190">
        <v>260</v>
      </c>
      <c r="DR39" s="190">
        <v>7</v>
      </c>
      <c r="DS39" s="190">
        <v>24</v>
      </c>
      <c r="DT39" s="191">
        <v>31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180</v>
      </c>
      <c r="C40" s="190">
        <v>38</v>
      </c>
      <c r="D40" s="190">
        <v>190</v>
      </c>
      <c r="E40" s="190">
        <v>119</v>
      </c>
      <c r="F40" s="190">
        <v>1</v>
      </c>
      <c r="G40" s="190">
        <v>10</v>
      </c>
      <c r="H40" s="190">
        <v>11</v>
      </c>
      <c r="I40" s="190">
        <v>0</v>
      </c>
      <c r="J40" s="190">
        <v>59</v>
      </c>
      <c r="K40" s="190">
        <v>59</v>
      </c>
      <c r="L40" s="190">
        <v>0</v>
      </c>
      <c r="M40" s="190">
        <v>19</v>
      </c>
      <c r="N40" s="190">
        <v>19</v>
      </c>
      <c r="O40" s="190">
        <v>0</v>
      </c>
      <c r="P40" s="190">
        <v>40</v>
      </c>
      <c r="Q40" s="190">
        <v>40</v>
      </c>
      <c r="R40" s="190">
        <v>0</v>
      </c>
      <c r="S40" s="190">
        <v>2</v>
      </c>
      <c r="T40" s="190">
        <v>2</v>
      </c>
      <c r="U40" s="190">
        <v>0</v>
      </c>
      <c r="V40" s="190">
        <v>12</v>
      </c>
      <c r="W40" s="190">
        <v>12</v>
      </c>
      <c r="X40" s="190">
        <v>1</v>
      </c>
      <c r="Y40" s="190">
        <v>189</v>
      </c>
      <c r="Z40" s="190">
        <v>190</v>
      </c>
      <c r="AA40" s="190">
        <v>1</v>
      </c>
      <c r="AB40" s="190">
        <v>71</v>
      </c>
      <c r="AC40" s="190">
        <v>72</v>
      </c>
      <c r="AD40" s="190">
        <v>0</v>
      </c>
      <c r="AE40" s="190">
        <v>68</v>
      </c>
      <c r="AF40" s="190">
        <v>68</v>
      </c>
      <c r="AG40" s="190">
        <v>0</v>
      </c>
      <c r="AH40" s="190">
        <v>1</v>
      </c>
      <c r="AI40" s="190">
        <v>1</v>
      </c>
      <c r="AJ40" s="190">
        <v>1</v>
      </c>
      <c r="AK40" s="190">
        <v>2</v>
      </c>
      <c r="AL40" s="190">
        <v>3</v>
      </c>
      <c r="AM40" s="190">
        <v>0</v>
      </c>
      <c r="AN40" s="190">
        <v>118</v>
      </c>
      <c r="AO40" s="190">
        <v>118</v>
      </c>
      <c r="AP40" s="190">
        <v>240</v>
      </c>
      <c r="AQ40" s="190">
        <v>2030</v>
      </c>
      <c r="AR40" s="190">
        <v>2270</v>
      </c>
      <c r="AS40" s="190">
        <v>240</v>
      </c>
      <c r="AT40" s="190">
        <v>2030</v>
      </c>
      <c r="AU40" s="190">
        <v>2270</v>
      </c>
      <c r="AV40" s="190">
        <v>0</v>
      </c>
      <c r="AW40" s="190">
        <v>0</v>
      </c>
      <c r="AX40" s="190">
        <v>0</v>
      </c>
      <c r="AY40" s="190">
        <v>2</v>
      </c>
      <c r="AZ40" s="190">
        <v>207</v>
      </c>
      <c r="BA40" s="190">
        <v>209</v>
      </c>
      <c r="BB40" s="190">
        <v>5</v>
      </c>
      <c r="BC40" s="190">
        <v>0</v>
      </c>
      <c r="BD40" s="190">
        <v>0</v>
      </c>
      <c r="BE40" s="190">
        <v>113</v>
      </c>
      <c r="BF40" s="190">
        <v>1</v>
      </c>
      <c r="BG40" s="190">
        <v>0</v>
      </c>
      <c r="BH40" s="190">
        <v>5</v>
      </c>
      <c r="BI40" s="190">
        <v>114</v>
      </c>
      <c r="BJ40" s="190">
        <v>119</v>
      </c>
      <c r="BK40" s="190">
        <v>-9</v>
      </c>
      <c r="BL40" s="190">
        <v>9</v>
      </c>
      <c r="BM40" s="190">
        <v>0</v>
      </c>
      <c r="BN40" s="190">
        <v>0</v>
      </c>
      <c r="BO40" s="190">
        <v>10</v>
      </c>
      <c r="BP40" s="190">
        <v>10</v>
      </c>
      <c r="BQ40" s="190">
        <v>0</v>
      </c>
      <c r="BR40" s="190">
        <v>20</v>
      </c>
      <c r="BS40" s="190">
        <v>20</v>
      </c>
      <c r="BT40" s="190">
        <v>6</v>
      </c>
      <c r="BU40" s="190">
        <v>54</v>
      </c>
      <c r="BV40" s="190">
        <v>60</v>
      </c>
      <c r="BW40" s="190">
        <v>242</v>
      </c>
      <c r="BX40" s="190">
        <v>2237</v>
      </c>
      <c r="BY40" s="190">
        <v>2479</v>
      </c>
      <c r="BZ40" s="190">
        <v>240</v>
      </c>
      <c r="CA40" s="190">
        <v>2217</v>
      </c>
      <c r="CB40" s="190">
        <v>2457</v>
      </c>
      <c r="CC40" s="190">
        <v>5404</v>
      </c>
      <c r="CD40" s="190">
        <v>3</v>
      </c>
      <c r="CE40" s="190">
        <v>22</v>
      </c>
      <c r="CF40" s="190">
        <v>2</v>
      </c>
      <c r="CG40" s="190">
        <v>20</v>
      </c>
      <c r="CH40" s="190">
        <v>22</v>
      </c>
      <c r="CI40" s="190">
        <v>0</v>
      </c>
      <c r="CJ40" s="190">
        <v>0</v>
      </c>
      <c r="CK40" s="190">
        <v>0</v>
      </c>
      <c r="CL40" s="190">
        <v>0</v>
      </c>
      <c r="CM40" s="190">
        <v>0</v>
      </c>
      <c r="CN40" s="190">
        <v>14</v>
      </c>
      <c r="CO40" s="190">
        <v>259</v>
      </c>
      <c r="CP40" s="190">
        <v>273</v>
      </c>
      <c r="CQ40" s="190">
        <v>0</v>
      </c>
      <c r="CR40" s="190">
        <v>0</v>
      </c>
      <c r="CS40" s="190">
        <v>0</v>
      </c>
      <c r="CT40" s="190">
        <v>228</v>
      </c>
      <c r="CU40" s="190">
        <v>1978</v>
      </c>
      <c r="CV40" s="190">
        <v>2206</v>
      </c>
      <c r="CW40" s="190">
        <v>19</v>
      </c>
      <c r="CX40" s="190">
        <v>96</v>
      </c>
      <c r="CY40" s="190">
        <v>115</v>
      </c>
      <c r="CZ40" s="190">
        <v>19</v>
      </c>
      <c r="DA40" s="190">
        <v>0</v>
      </c>
      <c r="DB40" s="190">
        <v>0</v>
      </c>
      <c r="DC40" s="190">
        <v>84</v>
      </c>
      <c r="DD40" s="190">
        <v>3</v>
      </c>
      <c r="DE40" s="190">
        <v>0</v>
      </c>
      <c r="DF40" s="190">
        <v>19</v>
      </c>
      <c r="DG40" s="190">
        <v>87</v>
      </c>
      <c r="DH40" s="190">
        <v>106</v>
      </c>
      <c r="DI40" s="190">
        <v>0</v>
      </c>
      <c r="DJ40" s="190">
        <v>0</v>
      </c>
      <c r="DK40" s="190">
        <v>0</v>
      </c>
      <c r="DL40" s="190">
        <v>9</v>
      </c>
      <c r="DM40" s="190">
        <v>0</v>
      </c>
      <c r="DN40" s="190">
        <v>0</v>
      </c>
      <c r="DO40" s="190">
        <v>0</v>
      </c>
      <c r="DP40" s="190">
        <v>9</v>
      </c>
      <c r="DQ40" s="190">
        <v>9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11922</v>
      </c>
      <c r="C41" s="190">
        <v>3297</v>
      </c>
      <c r="D41" s="190">
        <v>12442</v>
      </c>
      <c r="E41" s="190">
        <v>8301</v>
      </c>
      <c r="F41" s="190">
        <v>10</v>
      </c>
      <c r="G41" s="190">
        <v>40</v>
      </c>
      <c r="H41" s="190">
        <v>50</v>
      </c>
      <c r="I41" s="190">
        <v>2</v>
      </c>
      <c r="J41" s="190">
        <v>3856</v>
      </c>
      <c r="K41" s="190">
        <v>3858</v>
      </c>
      <c r="L41" s="190">
        <v>2</v>
      </c>
      <c r="M41" s="190">
        <v>1787</v>
      </c>
      <c r="N41" s="190">
        <v>1789</v>
      </c>
      <c r="O41" s="190">
        <v>0</v>
      </c>
      <c r="P41" s="190">
        <v>2069</v>
      </c>
      <c r="Q41" s="190">
        <v>2069</v>
      </c>
      <c r="R41" s="190">
        <v>0</v>
      </c>
      <c r="S41" s="190">
        <v>43</v>
      </c>
      <c r="T41" s="190">
        <v>43</v>
      </c>
      <c r="U41" s="190">
        <v>0</v>
      </c>
      <c r="V41" s="190">
        <v>283</v>
      </c>
      <c r="W41" s="190">
        <v>283</v>
      </c>
      <c r="X41" s="190">
        <v>380</v>
      </c>
      <c r="Y41" s="190">
        <v>12058</v>
      </c>
      <c r="Z41" s="190">
        <v>12438</v>
      </c>
      <c r="AA41" s="190">
        <v>254</v>
      </c>
      <c r="AB41" s="190">
        <v>5276</v>
      </c>
      <c r="AC41" s="190">
        <v>5530</v>
      </c>
      <c r="AD41" s="190">
        <v>232</v>
      </c>
      <c r="AE41" s="190">
        <v>5058</v>
      </c>
      <c r="AF41" s="190">
        <v>5290</v>
      </c>
      <c r="AG41" s="190">
        <v>15</v>
      </c>
      <c r="AH41" s="190">
        <v>135</v>
      </c>
      <c r="AI41" s="190">
        <v>150</v>
      </c>
      <c r="AJ41" s="190">
        <v>7</v>
      </c>
      <c r="AK41" s="190">
        <v>83</v>
      </c>
      <c r="AL41" s="190">
        <v>90</v>
      </c>
      <c r="AM41" s="190">
        <v>126</v>
      </c>
      <c r="AN41" s="190">
        <v>6782</v>
      </c>
      <c r="AO41" s="190">
        <v>6908</v>
      </c>
      <c r="AP41" s="190">
        <v>23524</v>
      </c>
      <c r="AQ41" s="190">
        <v>144987</v>
      </c>
      <c r="AR41" s="190">
        <v>168511</v>
      </c>
      <c r="AS41" s="190">
        <v>23526</v>
      </c>
      <c r="AT41" s="190">
        <v>144991</v>
      </c>
      <c r="AU41" s="190">
        <v>168517</v>
      </c>
      <c r="AV41" s="190">
        <v>-2</v>
      </c>
      <c r="AW41" s="190">
        <v>-4</v>
      </c>
      <c r="AX41" s="190">
        <v>-6</v>
      </c>
      <c r="AY41" s="190">
        <v>1359</v>
      </c>
      <c r="AZ41" s="190">
        <v>11868</v>
      </c>
      <c r="BA41" s="190">
        <v>13227</v>
      </c>
      <c r="BB41" s="190">
        <v>445</v>
      </c>
      <c r="BC41" s="190">
        <v>2</v>
      </c>
      <c r="BD41" s="190">
        <v>1</v>
      </c>
      <c r="BE41" s="190">
        <v>7780</v>
      </c>
      <c r="BF41" s="190">
        <v>55</v>
      </c>
      <c r="BG41" s="190">
        <v>18</v>
      </c>
      <c r="BH41" s="190">
        <v>448</v>
      </c>
      <c r="BI41" s="190">
        <v>7853</v>
      </c>
      <c r="BJ41" s="190">
        <v>8301</v>
      </c>
      <c r="BK41" s="190">
        <v>86</v>
      </c>
      <c r="BL41" s="190">
        <v>-86</v>
      </c>
      <c r="BM41" s="190">
        <v>0</v>
      </c>
      <c r="BN41" s="190">
        <v>36</v>
      </c>
      <c r="BO41" s="190">
        <v>176</v>
      </c>
      <c r="BP41" s="190">
        <v>212</v>
      </c>
      <c r="BQ41" s="190">
        <v>77</v>
      </c>
      <c r="BR41" s="190">
        <v>1004</v>
      </c>
      <c r="BS41" s="190">
        <v>1081</v>
      </c>
      <c r="BT41" s="190">
        <v>712</v>
      </c>
      <c r="BU41" s="190">
        <v>2921</v>
      </c>
      <c r="BV41" s="190">
        <v>3633</v>
      </c>
      <c r="BW41" s="190">
        <v>24883</v>
      </c>
      <c r="BX41" s="190">
        <v>156855</v>
      </c>
      <c r="BY41" s="190">
        <v>181738</v>
      </c>
      <c r="BZ41" s="190">
        <v>24713</v>
      </c>
      <c r="CA41" s="190">
        <v>155529</v>
      </c>
      <c r="CB41" s="190">
        <v>180242</v>
      </c>
      <c r="CC41" s="190">
        <v>394078</v>
      </c>
      <c r="CD41" s="190">
        <v>116</v>
      </c>
      <c r="CE41" s="190">
        <v>1183</v>
      </c>
      <c r="CF41" s="190">
        <v>165</v>
      </c>
      <c r="CG41" s="190">
        <v>941</v>
      </c>
      <c r="CH41" s="190">
        <v>1106</v>
      </c>
      <c r="CI41" s="190">
        <v>442</v>
      </c>
      <c r="CJ41" s="190">
        <v>63</v>
      </c>
      <c r="CK41" s="190">
        <v>5</v>
      </c>
      <c r="CL41" s="190">
        <v>385</v>
      </c>
      <c r="CM41" s="190">
        <v>390</v>
      </c>
      <c r="CN41" s="190">
        <v>1471</v>
      </c>
      <c r="CO41" s="190">
        <v>13771</v>
      </c>
      <c r="CP41" s="190">
        <v>15242</v>
      </c>
      <c r="CQ41" s="190">
        <v>0</v>
      </c>
      <c r="CR41" s="190">
        <v>0</v>
      </c>
      <c r="CS41" s="190">
        <v>0</v>
      </c>
      <c r="CT41" s="190">
        <v>23412</v>
      </c>
      <c r="CU41" s="190">
        <v>143084</v>
      </c>
      <c r="CV41" s="190">
        <v>166496</v>
      </c>
      <c r="CW41" s="190">
        <v>1684</v>
      </c>
      <c r="CX41" s="190">
        <v>6671</v>
      </c>
      <c r="CY41" s="190">
        <v>8355</v>
      </c>
      <c r="CZ41" s="190">
        <v>1670</v>
      </c>
      <c r="DA41" s="190">
        <v>12</v>
      </c>
      <c r="DB41" s="190">
        <v>0</v>
      </c>
      <c r="DC41" s="190">
        <v>6535</v>
      </c>
      <c r="DD41" s="190">
        <v>56</v>
      </c>
      <c r="DE41" s="190">
        <v>12</v>
      </c>
      <c r="DF41" s="190">
        <v>1682</v>
      </c>
      <c r="DG41" s="190">
        <v>6603</v>
      </c>
      <c r="DH41" s="190">
        <v>8285</v>
      </c>
      <c r="DI41" s="190">
        <v>1</v>
      </c>
      <c r="DJ41" s="190">
        <v>1</v>
      </c>
      <c r="DK41" s="190">
        <v>0</v>
      </c>
      <c r="DL41" s="190">
        <v>68</v>
      </c>
      <c r="DM41" s="190">
        <v>0</v>
      </c>
      <c r="DN41" s="190">
        <v>0</v>
      </c>
      <c r="DO41" s="190">
        <v>2</v>
      </c>
      <c r="DP41" s="190">
        <v>68</v>
      </c>
      <c r="DQ41" s="190">
        <v>70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11537</v>
      </c>
      <c r="C42" s="190">
        <v>3750</v>
      </c>
      <c r="D42" s="190">
        <v>11591</v>
      </c>
      <c r="E42" s="190">
        <v>6570</v>
      </c>
      <c r="F42" s="190">
        <v>5</v>
      </c>
      <c r="G42" s="190">
        <v>135</v>
      </c>
      <c r="H42" s="190">
        <v>140</v>
      </c>
      <c r="I42" s="190">
        <v>5</v>
      </c>
      <c r="J42" s="190">
        <v>4623</v>
      </c>
      <c r="K42" s="190">
        <v>4628</v>
      </c>
      <c r="L42" s="190">
        <v>5</v>
      </c>
      <c r="M42" s="190">
        <v>4614</v>
      </c>
      <c r="N42" s="190">
        <v>4619</v>
      </c>
      <c r="O42" s="190">
        <v>0</v>
      </c>
      <c r="P42" s="190">
        <v>9</v>
      </c>
      <c r="Q42" s="190">
        <v>9</v>
      </c>
      <c r="R42" s="190">
        <v>1</v>
      </c>
      <c r="S42" s="190">
        <v>462</v>
      </c>
      <c r="T42" s="190">
        <v>463</v>
      </c>
      <c r="U42" s="190">
        <v>0</v>
      </c>
      <c r="V42" s="190">
        <v>393</v>
      </c>
      <c r="W42" s="190">
        <v>393</v>
      </c>
      <c r="X42" s="190">
        <v>175</v>
      </c>
      <c r="Y42" s="190">
        <v>7346</v>
      </c>
      <c r="Z42" s="190">
        <v>7521</v>
      </c>
      <c r="AA42" s="190">
        <v>95</v>
      </c>
      <c r="AB42" s="190">
        <v>2447</v>
      </c>
      <c r="AC42" s="190">
        <v>2542</v>
      </c>
      <c r="AD42" s="190">
        <v>93</v>
      </c>
      <c r="AE42" s="190">
        <v>2391</v>
      </c>
      <c r="AF42" s="190">
        <v>2484</v>
      </c>
      <c r="AG42" s="190">
        <v>2</v>
      </c>
      <c r="AH42" s="190">
        <v>31</v>
      </c>
      <c r="AI42" s="190">
        <v>33</v>
      </c>
      <c r="AJ42" s="190">
        <v>0</v>
      </c>
      <c r="AK42" s="190">
        <v>25</v>
      </c>
      <c r="AL42" s="190">
        <v>25</v>
      </c>
      <c r="AM42" s="190">
        <v>80</v>
      </c>
      <c r="AN42" s="190">
        <v>4899</v>
      </c>
      <c r="AO42" s="190">
        <v>4979</v>
      </c>
      <c r="AP42" s="190">
        <v>12560</v>
      </c>
      <c r="AQ42" s="190">
        <v>118848</v>
      </c>
      <c r="AR42" s="190">
        <v>131408</v>
      </c>
      <c r="AS42" s="190">
        <v>12553</v>
      </c>
      <c r="AT42" s="190">
        <v>118117</v>
      </c>
      <c r="AU42" s="190">
        <v>130670</v>
      </c>
      <c r="AV42" s="190">
        <v>7</v>
      </c>
      <c r="AW42" s="190">
        <v>731</v>
      </c>
      <c r="AX42" s="190">
        <v>738</v>
      </c>
      <c r="AY42" s="190">
        <v>407</v>
      </c>
      <c r="AZ42" s="190">
        <v>10567</v>
      </c>
      <c r="BA42" s="190">
        <v>10974</v>
      </c>
      <c r="BB42" s="190">
        <v>295</v>
      </c>
      <c r="BC42" s="190">
        <v>6</v>
      </c>
      <c r="BD42" s="190">
        <v>0</v>
      </c>
      <c r="BE42" s="190">
        <v>6112</v>
      </c>
      <c r="BF42" s="190">
        <v>97</v>
      </c>
      <c r="BG42" s="190">
        <v>60</v>
      </c>
      <c r="BH42" s="190">
        <v>301</v>
      </c>
      <c r="BI42" s="190">
        <v>6269</v>
      </c>
      <c r="BJ42" s="190">
        <v>6570</v>
      </c>
      <c r="BK42" s="190">
        <v>-322</v>
      </c>
      <c r="BL42" s="190">
        <v>322</v>
      </c>
      <c r="BM42" s="190">
        <v>0</v>
      </c>
      <c r="BN42" s="190">
        <v>16</v>
      </c>
      <c r="BO42" s="190">
        <v>151</v>
      </c>
      <c r="BP42" s="190">
        <v>167</v>
      </c>
      <c r="BQ42" s="190">
        <v>9</v>
      </c>
      <c r="BR42" s="190">
        <v>260</v>
      </c>
      <c r="BS42" s="190">
        <v>269</v>
      </c>
      <c r="BT42" s="190">
        <v>403</v>
      </c>
      <c r="BU42" s="190">
        <v>3565</v>
      </c>
      <c r="BV42" s="190">
        <v>3968</v>
      </c>
      <c r="BW42" s="190">
        <v>12967</v>
      </c>
      <c r="BX42" s="190">
        <v>129415</v>
      </c>
      <c r="BY42" s="190">
        <v>142382</v>
      </c>
      <c r="BZ42" s="190">
        <v>12674</v>
      </c>
      <c r="CA42" s="190">
        <v>126853</v>
      </c>
      <c r="CB42" s="190">
        <v>139527</v>
      </c>
      <c r="CC42" s="190">
        <v>287283</v>
      </c>
      <c r="CD42" s="190">
        <v>269</v>
      </c>
      <c r="CE42" s="190">
        <v>2495</v>
      </c>
      <c r="CF42" s="190">
        <v>286</v>
      </c>
      <c r="CG42" s="190">
        <v>1775</v>
      </c>
      <c r="CH42" s="190">
        <v>2061</v>
      </c>
      <c r="CI42" s="190">
        <v>978</v>
      </c>
      <c r="CJ42" s="190">
        <v>53</v>
      </c>
      <c r="CK42" s="190">
        <v>7</v>
      </c>
      <c r="CL42" s="190">
        <v>787</v>
      </c>
      <c r="CM42" s="190">
        <v>794</v>
      </c>
      <c r="CN42" s="190">
        <v>799</v>
      </c>
      <c r="CO42" s="190">
        <v>12070</v>
      </c>
      <c r="CP42" s="190">
        <v>12869</v>
      </c>
      <c r="CQ42" s="190">
        <v>0</v>
      </c>
      <c r="CR42" s="190">
        <v>24</v>
      </c>
      <c r="CS42" s="190">
        <v>24</v>
      </c>
      <c r="CT42" s="190">
        <v>12168</v>
      </c>
      <c r="CU42" s="190">
        <v>117345</v>
      </c>
      <c r="CV42" s="190">
        <v>129513</v>
      </c>
      <c r="CW42" s="190">
        <v>1001</v>
      </c>
      <c r="CX42" s="190">
        <v>6191</v>
      </c>
      <c r="CY42" s="190">
        <v>7192</v>
      </c>
      <c r="CZ42" s="190">
        <v>942</v>
      </c>
      <c r="DA42" s="190">
        <v>22</v>
      </c>
      <c r="DB42" s="190">
        <v>0</v>
      </c>
      <c r="DC42" s="190">
        <v>5509</v>
      </c>
      <c r="DD42" s="190">
        <v>108</v>
      </c>
      <c r="DE42" s="190">
        <v>23</v>
      </c>
      <c r="DF42" s="190">
        <v>964</v>
      </c>
      <c r="DG42" s="190">
        <v>5640</v>
      </c>
      <c r="DH42" s="190">
        <v>6604</v>
      </c>
      <c r="DI42" s="190">
        <v>37</v>
      </c>
      <c r="DJ42" s="190">
        <v>0</v>
      </c>
      <c r="DK42" s="190">
        <v>0</v>
      </c>
      <c r="DL42" s="190">
        <v>537</v>
      </c>
      <c r="DM42" s="190">
        <v>10</v>
      </c>
      <c r="DN42" s="190">
        <v>4</v>
      </c>
      <c r="DO42" s="190">
        <v>37</v>
      </c>
      <c r="DP42" s="190">
        <v>551</v>
      </c>
      <c r="DQ42" s="190">
        <v>588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2725</v>
      </c>
      <c r="C43" s="190">
        <v>758</v>
      </c>
      <c r="D43" s="190">
        <v>2340</v>
      </c>
      <c r="E43" s="190">
        <v>1523</v>
      </c>
      <c r="F43" s="190">
        <v>3</v>
      </c>
      <c r="G43" s="190">
        <v>13</v>
      </c>
      <c r="H43" s="190">
        <v>16</v>
      </c>
      <c r="I43" s="190">
        <v>0</v>
      </c>
      <c r="J43" s="190">
        <v>730</v>
      </c>
      <c r="K43" s="190">
        <v>730</v>
      </c>
      <c r="L43" s="190">
        <v>0</v>
      </c>
      <c r="M43" s="190">
        <v>272</v>
      </c>
      <c r="N43" s="190">
        <v>272</v>
      </c>
      <c r="O43" s="190">
        <v>0</v>
      </c>
      <c r="P43" s="190">
        <v>458</v>
      </c>
      <c r="Q43" s="190">
        <v>458</v>
      </c>
      <c r="R43" s="190">
        <v>0</v>
      </c>
      <c r="S43" s="190">
        <v>51</v>
      </c>
      <c r="T43" s="190">
        <v>51</v>
      </c>
      <c r="U43" s="190">
        <v>0</v>
      </c>
      <c r="V43" s="190">
        <v>87</v>
      </c>
      <c r="W43" s="190">
        <v>87</v>
      </c>
      <c r="X43" s="190">
        <v>56</v>
      </c>
      <c r="Y43" s="190">
        <v>1593</v>
      </c>
      <c r="Z43" s="190">
        <v>1649</v>
      </c>
      <c r="AA43" s="190">
        <v>32</v>
      </c>
      <c r="AB43" s="190">
        <v>640</v>
      </c>
      <c r="AC43" s="190">
        <v>672</v>
      </c>
      <c r="AD43" s="190">
        <v>29</v>
      </c>
      <c r="AE43" s="190">
        <v>593</v>
      </c>
      <c r="AF43" s="190">
        <v>622</v>
      </c>
      <c r="AG43" s="190">
        <v>0</v>
      </c>
      <c r="AH43" s="190">
        <v>31</v>
      </c>
      <c r="AI43" s="190">
        <v>31</v>
      </c>
      <c r="AJ43" s="190">
        <v>3</v>
      </c>
      <c r="AK43" s="190">
        <v>16</v>
      </c>
      <c r="AL43" s="190">
        <v>19</v>
      </c>
      <c r="AM43" s="190">
        <v>24</v>
      </c>
      <c r="AN43" s="190">
        <v>953</v>
      </c>
      <c r="AO43" s="190">
        <v>977</v>
      </c>
      <c r="AP43" s="190">
        <v>2200</v>
      </c>
      <c r="AQ43" s="190">
        <v>30177</v>
      </c>
      <c r="AR43" s="190">
        <v>32377</v>
      </c>
      <c r="AS43" s="190">
        <v>2171</v>
      </c>
      <c r="AT43" s="190">
        <v>30046</v>
      </c>
      <c r="AU43" s="190">
        <v>32217</v>
      </c>
      <c r="AV43" s="190">
        <v>29</v>
      </c>
      <c r="AW43" s="190">
        <v>131</v>
      </c>
      <c r="AX43" s="190">
        <v>160</v>
      </c>
      <c r="AY43" s="190">
        <v>104</v>
      </c>
      <c r="AZ43" s="190">
        <v>2462</v>
      </c>
      <c r="BA43" s="190">
        <v>2566</v>
      </c>
      <c r="BB43" s="190">
        <v>64</v>
      </c>
      <c r="BC43" s="190">
        <v>2</v>
      </c>
      <c r="BD43" s="190">
        <v>1</v>
      </c>
      <c r="BE43" s="190">
        <v>1351</v>
      </c>
      <c r="BF43" s="190">
        <v>43</v>
      </c>
      <c r="BG43" s="190">
        <v>62</v>
      </c>
      <c r="BH43" s="190">
        <v>67</v>
      </c>
      <c r="BI43" s="190">
        <v>1456</v>
      </c>
      <c r="BJ43" s="190">
        <v>1523</v>
      </c>
      <c r="BK43" s="190">
        <v>-70</v>
      </c>
      <c r="BL43" s="190">
        <v>70</v>
      </c>
      <c r="BM43" s="190">
        <v>0</v>
      </c>
      <c r="BN43" s="190">
        <v>8</v>
      </c>
      <c r="BO43" s="190">
        <v>33</v>
      </c>
      <c r="BP43" s="190">
        <v>41</v>
      </c>
      <c r="BQ43" s="190">
        <v>11</v>
      </c>
      <c r="BR43" s="190">
        <v>213</v>
      </c>
      <c r="BS43" s="190">
        <v>224</v>
      </c>
      <c r="BT43" s="190">
        <v>88</v>
      </c>
      <c r="BU43" s="190">
        <v>690</v>
      </c>
      <c r="BV43" s="190">
        <v>778</v>
      </c>
      <c r="BW43" s="190">
        <v>2304</v>
      </c>
      <c r="BX43" s="190">
        <v>32639</v>
      </c>
      <c r="BY43" s="190">
        <v>34943</v>
      </c>
      <c r="BZ43" s="190">
        <v>2166</v>
      </c>
      <c r="CA43" s="190">
        <v>30879</v>
      </c>
      <c r="CB43" s="190">
        <v>33045</v>
      </c>
      <c r="CC43" s="190">
        <v>51883</v>
      </c>
      <c r="CD43" s="190">
        <v>87</v>
      </c>
      <c r="CE43" s="190">
        <v>1234</v>
      </c>
      <c r="CF43" s="190">
        <v>131</v>
      </c>
      <c r="CG43" s="190">
        <v>836</v>
      </c>
      <c r="CH43" s="190">
        <v>967</v>
      </c>
      <c r="CI43" s="190">
        <v>1255</v>
      </c>
      <c r="CJ43" s="190">
        <v>66</v>
      </c>
      <c r="CK43" s="190">
        <v>7</v>
      </c>
      <c r="CL43" s="190">
        <v>924</v>
      </c>
      <c r="CM43" s="190">
        <v>931</v>
      </c>
      <c r="CN43" s="190">
        <v>187</v>
      </c>
      <c r="CO43" s="190">
        <v>2906</v>
      </c>
      <c r="CP43" s="190">
        <v>3093</v>
      </c>
      <c r="CQ43" s="190">
        <v>0</v>
      </c>
      <c r="CR43" s="190">
        <v>4</v>
      </c>
      <c r="CS43" s="190">
        <v>4</v>
      </c>
      <c r="CT43" s="190">
        <v>2117</v>
      </c>
      <c r="CU43" s="190">
        <v>29733</v>
      </c>
      <c r="CV43" s="190">
        <v>31850</v>
      </c>
      <c r="CW43" s="190">
        <v>138</v>
      </c>
      <c r="CX43" s="190">
        <v>1106</v>
      </c>
      <c r="CY43" s="190">
        <v>1244</v>
      </c>
      <c r="CZ43" s="190">
        <v>125</v>
      </c>
      <c r="DA43" s="190">
        <v>10</v>
      </c>
      <c r="DB43" s="190">
        <v>0</v>
      </c>
      <c r="DC43" s="190">
        <v>1019</v>
      </c>
      <c r="DD43" s="190">
        <v>41</v>
      </c>
      <c r="DE43" s="190">
        <v>20</v>
      </c>
      <c r="DF43" s="190">
        <v>135</v>
      </c>
      <c r="DG43" s="190">
        <v>1080</v>
      </c>
      <c r="DH43" s="190">
        <v>1215</v>
      </c>
      <c r="DI43" s="190">
        <v>3</v>
      </c>
      <c r="DJ43" s="190">
        <v>0</v>
      </c>
      <c r="DK43" s="190">
        <v>0</v>
      </c>
      <c r="DL43" s="190">
        <v>23</v>
      </c>
      <c r="DM43" s="190">
        <v>2</v>
      </c>
      <c r="DN43" s="190">
        <v>1</v>
      </c>
      <c r="DO43" s="190">
        <v>3</v>
      </c>
      <c r="DP43" s="190">
        <v>26</v>
      </c>
      <c r="DQ43" s="190">
        <v>29</v>
      </c>
      <c r="DR43" s="190">
        <v>2</v>
      </c>
      <c r="DS43" s="190">
        <v>4</v>
      </c>
      <c r="DT43" s="191">
        <v>6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3243</v>
      </c>
      <c r="C44" s="190">
        <v>1153</v>
      </c>
      <c r="D44" s="190">
        <v>3251</v>
      </c>
      <c r="E44" s="190">
        <v>1915</v>
      </c>
      <c r="F44" s="190">
        <v>4</v>
      </c>
      <c r="G44" s="190">
        <v>42</v>
      </c>
      <c r="H44" s="190">
        <v>46</v>
      </c>
      <c r="I44" s="190">
        <v>1</v>
      </c>
      <c r="J44" s="190">
        <v>1175</v>
      </c>
      <c r="K44" s="190">
        <v>1176</v>
      </c>
      <c r="L44" s="190">
        <v>1</v>
      </c>
      <c r="M44" s="190">
        <v>501</v>
      </c>
      <c r="N44" s="190">
        <v>502</v>
      </c>
      <c r="O44" s="190">
        <v>0</v>
      </c>
      <c r="P44" s="190">
        <v>674</v>
      </c>
      <c r="Q44" s="190">
        <v>674</v>
      </c>
      <c r="R44" s="190">
        <v>0</v>
      </c>
      <c r="S44" s="190">
        <v>28</v>
      </c>
      <c r="T44" s="190">
        <v>28</v>
      </c>
      <c r="U44" s="190">
        <v>0</v>
      </c>
      <c r="V44" s="190">
        <v>160</v>
      </c>
      <c r="W44" s="190">
        <v>160</v>
      </c>
      <c r="X44" s="190">
        <v>112</v>
      </c>
      <c r="Y44" s="190">
        <v>3137</v>
      </c>
      <c r="Z44" s="190">
        <v>3249</v>
      </c>
      <c r="AA44" s="190">
        <v>65</v>
      </c>
      <c r="AB44" s="190">
        <v>1152</v>
      </c>
      <c r="AC44" s="190">
        <v>1217</v>
      </c>
      <c r="AD44" s="190">
        <v>60</v>
      </c>
      <c r="AE44" s="190">
        <v>1001</v>
      </c>
      <c r="AF44" s="190">
        <v>1061</v>
      </c>
      <c r="AG44" s="190">
        <v>3</v>
      </c>
      <c r="AH44" s="190">
        <v>98</v>
      </c>
      <c r="AI44" s="190">
        <v>101</v>
      </c>
      <c r="AJ44" s="190">
        <v>2</v>
      </c>
      <c r="AK44" s="190">
        <v>53</v>
      </c>
      <c r="AL44" s="190">
        <v>55</v>
      </c>
      <c r="AM44" s="190">
        <v>47</v>
      </c>
      <c r="AN44" s="190">
        <v>1985</v>
      </c>
      <c r="AO44" s="190">
        <v>2032</v>
      </c>
      <c r="AP44" s="190">
        <v>6950</v>
      </c>
      <c r="AQ44" s="190">
        <v>41253</v>
      </c>
      <c r="AR44" s="190">
        <v>48203</v>
      </c>
      <c r="AS44" s="190">
        <v>6951</v>
      </c>
      <c r="AT44" s="190">
        <v>41253</v>
      </c>
      <c r="AU44" s="190">
        <v>48204</v>
      </c>
      <c r="AV44" s="190">
        <v>-1</v>
      </c>
      <c r="AW44" s="190">
        <v>0</v>
      </c>
      <c r="AX44" s="190">
        <v>-1</v>
      </c>
      <c r="AY44" s="190">
        <v>241</v>
      </c>
      <c r="AZ44" s="190">
        <v>3332</v>
      </c>
      <c r="BA44" s="190">
        <v>3573</v>
      </c>
      <c r="BB44" s="190">
        <v>147</v>
      </c>
      <c r="BC44" s="190">
        <v>2</v>
      </c>
      <c r="BD44" s="190">
        <v>0</v>
      </c>
      <c r="BE44" s="190">
        <v>1738</v>
      </c>
      <c r="BF44" s="190">
        <v>18</v>
      </c>
      <c r="BG44" s="190">
        <v>10</v>
      </c>
      <c r="BH44" s="190">
        <v>149</v>
      </c>
      <c r="BI44" s="190">
        <v>1766</v>
      </c>
      <c r="BJ44" s="190">
        <v>1915</v>
      </c>
      <c r="BK44" s="190">
        <v>-99</v>
      </c>
      <c r="BL44" s="190">
        <v>99</v>
      </c>
      <c r="BM44" s="190">
        <v>0</v>
      </c>
      <c r="BN44" s="190">
        <v>22</v>
      </c>
      <c r="BO44" s="190">
        <v>120</v>
      </c>
      <c r="BP44" s="190">
        <v>142</v>
      </c>
      <c r="BQ44" s="190">
        <v>29</v>
      </c>
      <c r="BR44" s="190">
        <v>440</v>
      </c>
      <c r="BS44" s="190">
        <v>469</v>
      </c>
      <c r="BT44" s="190">
        <v>140</v>
      </c>
      <c r="BU44" s="190">
        <v>907</v>
      </c>
      <c r="BV44" s="190">
        <v>1047</v>
      </c>
      <c r="BW44" s="190">
        <v>7191</v>
      </c>
      <c r="BX44" s="190">
        <v>44585</v>
      </c>
      <c r="BY44" s="190">
        <v>51776</v>
      </c>
      <c r="BZ44" s="190">
        <v>7119</v>
      </c>
      <c r="CA44" s="190">
        <v>43960</v>
      </c>
      <c r="CB44" s="190">
        <v>51079</v>
      </c>
      <c r="CC44" s="190">
        <v>115043</v>
      </c>
      <c r="CD44" s="190">
        <v>41</v>
      </c>
      <c r="CE44" s="190">
        <v>623</v>
      </c>
      <c r="CF44" s="190">
        <v>72</v>
      </c>
      <c r="CG44" s="190">
        <v>465</v>
      </c>
      <c r="CH44" s="190">
        <v>537</v>
      </c>
      <c r="CI44" s="190">
        <v>209</v>
      </c>
      <c r="CJ44" s="190">
        <v>20</v>
      </c>
      <c r="CK44" s="190">
        <v>0</v>
      </c>
      <c r="CL44" s="190">
        <v>160</v>
      </c>
      <c r="CM44" s="190">
        <v>160</v>
      </c>
      <c r="CN44" s="190">
        <v>375</v>
      </c>
      <c r="CO44" s="190">
        <v>3705</v>
      </c>
      <c r="CP44" s="190">
        <v>4080</v>
      </c>
      <c r="CQ44" s="190">
        <v>0</v>
      </c>
      <c r="CR44" s="190">
        <v>0</v>
      </c>
      <c r="CS44" s="190">
        <v>0</v>
      </c>
      <c r="CT44" s="190">
        <v>6816</v>
      </c>
      <c r="CU44" s="190">
        <v>40880</v>
      </c>
      <c r="CV44" s="190">
        <v>47696</v>
      </c>
      <c r="CW44" s="190">
        <v>441</v>
      </c>
      <c r="CX44" s="190">
        <v>2182</v>
      </c>
      <c r="CY44" s="190">
        <v>2623</v>
      </c>
      <c r="CZ44" s="190">
        <v>435</v>
      </c>
      <c r="DA44" s="190">
        <v>6</v>
      </c>
      <c r="DB44" s="190">
        <v>0</v>
      </c>
      <c r="DC44" s="190">
        <v>2128</v>
      </c>
      <c r="DD44" s="190">
        <v>22</v>
      </c>
      <c r="DE44" s="190">
        <v>4</v>
      </c>
      <c r="DF44" s="190">
        <v>441</v>
      </c>
      <c r="DG44" s="190">
        <v>2154</v>
      </c>
      <c r="DH44" s="190">
        <v>2595</v>
      </c>
      <c r="DI44" s="190">
        <v>0</v>
      </c>
      <c r="DJ44" s="190">
        <v>0</v>
      </c>
      <c r="DK44" s="190">
        <v>0</v>
      </c>
      <c r="DL44" s="190">
        <v>28</v>
      </c>
      <c r="DM44" s="190">
        <v>0</v>
      </c>
      <c r="DN44" s="190">
        <v>0</v>
      </c>
      <c r="DO44" s="190">
        <v>0</v>
      </c>
      <c r="DP44" s="190">
        <v>28</v>
      </c>
      <c r="DQ44" s="190">
        <v>28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693</v>
      </c>
      <c r="C45" s="190">
        <v>194</v>
      </c>
      <c r="D45" s="190">
        <v>733</v>
      </c>
      <c r="E45" s="190">
        <v>397</v>
      </c>
      <c r="F45" s="190">
        <v>0</v>
      </c>
      <c r="G45" s="190">
        <v>12</v>
      </c>
      <c r="H45" s="190">
        <v>12</v>
      </c>
      <c r="I45" s="190">
        <v>1</v>
      </c>
      <c r="J45" s="190">
        <v>226</v>
      </c>
      <c r="K45" s="190">
        <v>227</v>
      </c>
      <c r="L45" s="190">
        <v>0</v>
      </c>
      <c r="M45" s="190">
        <v>52</v>
      </c>
      <c r="N45" s="190">
        <v>52</v>
      </c>
      <c r="O45" s="190">
        <v>1</v>
      </c>
      <c r="P45" s="190">
        <v>174</v>
      </c>
      <c r="Q45" s="190">
        <v>175</v>
      </c>
      <c r="R45" s="190">
        <v>0</v>
      </c>
      <c r="S45" s="190">
        <v>10</v>
      </c>
      <c r="T45" s="190">
        <v>10</v>
      </c>
      <c r="U45" s="190">
        <v>0</v>
      </c>
      <c r="V45" s="190">
        <v>109</v>
      </c>
      <c r="W45" s="190">
        <v>109</v>
      </c>
      <c r="X45" s="190">
        <v>7</v>
      </c>
      <c r="Y45" s="190">
        <v>313</v>
      </c>
      <c r="Z45" s="190">
        <v>320</v>
      </c>
      <c r="AA45" s="190">
        <v>5</v>
      </c>
      <c r="AB45" s="190">
        <v>177</v>
      </c>
      <c r="AC45" s="190">
        <v>182</v>
      </c>
      <c r="AD45" s="190">
        <v>5</v>
      </c>
      <c r="AE45" s="190">
        <v>175</v>
      </c>
      <c r="AF45" s="190">
        <v>180</v>
      </c>
      <c r="AG45" s="190">
        <v>0</v>
      </c>
      <c r="AH45" s="190">
        <v>2</v>
      </c>
      <c r="AI45" s="190">
        <v>2</v>
      </c>
      <c r="AJ45" s="190">
        <v>0</v>
      </c>
      <c r="AK45" s="190">
        <v>0</v>
      </c>
      <c r="AL45" s="190">
        <v>0</v>
      </c>
      <c r="AM45" s="190">
        <v>2</v>
      </c>
      <c r="AN45" s="190">
        <v>136</v>
      </c>
      <c r="AO45" s="190">
        <v>138</v>
      </c>
      <c r="AP45" s="190">
        <v>821</v>
      </c>
      <c r="AQ45" s="190">
        <v>8218</v>
      </c>
      <c r="AR45" s="190">
        <v>9039</v>
      </c>
      <c r="AS45" s="190">
        <v>821</v>
      </c>
      <c r="AT45" s="190">
        <v>8218</v>
      </c>
      <c r="AU45" s="190">
        <v>9039</v>
      </c>
      <c r="AV45" s="190">
        <v>0</v>
      </c>
      <c r="AW45" s="190">
        <v>0</v>
      </c>
      <c r="AX45" s="190">
        <v>0</v>
      </c>
      <c r="AY45" s="190">
        <v>39</v>
      </c>
      <c r="AZ45" s="190">
        <v>765</v>
      </c>
      <c r="BA45" s="190">
        <v>804</v>
      </c>
      <c r="BB45" s="190">
        <v>23</v>
      </c>
      <c r="BC45" s="190">
        <v>1</v>
      </c>
      <c r="BD45" s="190">
        <v>0</v>
      </c>
      <c r="BE45" s="190">
        <v>369</v>
      </c>
      <c r="BF45" s="190">
        <v>3</v>
      </c>
      <c r="BG45" s="190">
        <v>1</v>
      </c>
      <c r="BH45" s="190">
        <v>24</v>
      </c>
      <c r="BI45" s="190">
        <v>373</v>
      </c>
      <c r="BJ45" s="190">
        <v>397</v>
      </c>
      <c r="BK45" s="190">
        <v>-15</v>
      </c>
      <c r="BL45" s="190">
        <v>15</v>
      </c>
      <c r="BM45" s="190">
        <v>0</v>
      </c>
      <c r="BN45" s="190">
        <v>3</v>
      </c>
      <c r="BO45" s="190">
        <v>21</v>
      </c>
      <c r="BP45" s="190">
        <v>24</v>
      </c>
      <c r="BQ45" s="190">
        <v>11</v>
      </c>
      <c r="BR45" s="190">
        <v>131</v>
      </c>
      <c r="BS45" s="190">
        <v>142</v>
      </c>
      <c r="BT45" s="190">
        <v>16</v>
      </c>
      <c r="BU45" s="190">
        <v>225</v>
      </c>
      <c r="BV45" s="190">
        <v>241</v>
      </c>
      <c r="BW45" s="190">
        <v>860</v>
      </c>
      <c r="BX45" s="190">
        <v>8983</v>
      </c>
      <c r="BY45" s="190">
        <v>9843</v>
      </c>
      <c r="BZ45" s="190">
        <v>855</v>
      </c>
      <c r="CA45" s="190">
        <v>8935</v>
      </c>
      <c r="CB45" s="190">
        <v>9790</v>
      </c>
      <c r="CC45" s="190">
        <v>17769</v>
      </c>
      <c r="CD45" s="190">
        <v>0</v>
      </c>
      <c r="CE45" s="190">
        <v>58</v>
      </c>
      <c r="CF45" s="190">
        <v>5</v>
      </c>
      <c r="CG45" s="190">
        <v>42</v>
      </c>
      <c r="CH45" s="190">
        <v>47</v>
      </c>
      <c r="CI45" s="190">
        <v>5</v>
      </c>
      <c r="CJ45" s="190">
        <v>2</v>
      </c>
      <c r="CK45" s="190">
        <v>0</v>
      </c>
      <c r="CL45" s="190">
        <v>6</v>
      </c>
      <c r="CM45" s="190">
        <v>6</v>
      </c>
      <c r="CN45" s="190">
        <v>63</v>
      </c>
      <c r="CO45" s="190">
        <v>826</v>
      </c>
      <c r="CP45" s="190">
        <v>889</v>
      </c>
      <c r="CQ45" s="190">
        <v>0</v>
      </c>
      <c r="CR45" s="190">
        <v>0</v>
      </c>
      <c r="CS45" s="190">
        <v>0</v>
      </c>
      <c r="CT45" s="190">
        <v>797</v>
      </c>
      <c r="CU45" s="190">
        <v>8157</v>
      </c>
      <c r="CV45" s="190">
        <v>8954</v>
      </c>
      <c r="CW45" s="190">
        <v>52</v>
      </c>
      <c r="CX45" s="190">
        <v>371</v>
      </c>
      <c r="CY45" s="190">
        <v>423</v>
      </c>
      <c r="CZ45" s="190">
        <v>49</v>
      </c>
      <c r="DA45" s="190">
        <v>0</v>
      </c>
      <c r="DB45" s="190">
        <v>0</v>
      </c>
      <c r="DC45" s="190">
        <v>322</v>
      </c>
      <c r="DD45" s="190">
        <v>1</v>
      </c>
      <c r="DE45" s="190">
        <v>0</v>
      </c>
      <c r="DF45" s="190">
        <v>49</v>
      </c>
      <c r="DG45" s="190">
        <v>323</v>
      </c>
      <c r="DH45" s="190">
        <v>372</v>
      </c>
      <c r="DI45" s="190">
        <v>3</v>
      </c>
      <c r="DJ45" s="190">
        <v>0</v>
      </c>
      <c r="DK45" s="190">
        <v>0</v>
      </c>
      <c r="DL45" s="190">
        <v>48</v>
      </c>
      <c r="DM45" s="190">
        <v>0</v>
      </c>
      <c r="DN45" s="190">
        <v>0</v>
      </c>
      <c r="DO45" s="190">
        <v>3</v>
      </c>
      <c r="DP45" s="190">
        <v>48</v>
      </c>
      <c r="DQ45" s="190">
        <v>51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>
      <c r="A46" s="189" t="s">
        <v>311</v>
      </c>
      <c r="B46" s="190">
        <v>1316</v>
      </c>
      <c r="C46" s="190">
        <v>266</v>
      </c>
      <c r="D46" s="190">
        <v>1205</v>
      </c>
      <c r="E46" s="190">
        <v>682</v>
      </c>
      <c r="F46" s="190">
        <v>1</v>
      </c>
      <c r="G46" s="190">
        <v>17</v>
      </c>
      <c r="H46" s="190">
        <v>18</v>
      </c>
      <c r="I46" s="190">
        <v>1</v>
      </c>
      <c r="J46" s="190">
        <v>441</v>
      </c>
      <c r="K46" s="190">
        <v>442</v>
      </c>
      <c r="L46" s="190">
        <v>1</v>
      </c>
      <c r="M46" s="190">
        <v>441</v>
      </c>
      <c r="N46" s="190">
        <v>442</v>
      </c>
      <c r="O46" s="190">
        <v>0</v>
      </c>
      <c r="P46" s="190">
        <v>0</v>
      </c>
      <c r="Q46" s="190">
        <v>0</v>
      </c>
      <c r="R46" s="190">
        <v>0</v>
      </c>
      <c r="S46" s="190">
        <v>27</v>
      </c>
      <c r="T46" s="190">
        <v>27</v>
      </c>
      <c r="U46" s="190">
        <v>0</v>
      </c>
      <c r="V46" s="190">
        <v>81</v>
      </c>
      <c r="W46" s="190">
        <v>81</v>
      </c>
      <c r="X46" s="190">
        <v>16</v>
      </c>
      <c r="Y46" s="190">
        <v>990</v>
      </c>
      <c r="Z46" s="190">
        <v>1006</v>
      </c>
      <c r="AA46" s="190">
        <v>7</v>
      </c>
      <c r="AB46" s="190">
        <v>322</v>
      </c>
      <c r="AC46" s="190">
        <v>329</v>
      </c>
      <c r="AD46" s="190">
        <v>5</v>
      </c>
      <c r="AE46" s="190">
        <v>292</v>
      </c>
      <c r="AF46" s="190">
        <v>297</v>
      </c>
      <c r="AG46" s="190">
        <v>1</v>
      </c>
      <c r="AH46" s="190">
        <v>20</v>
      </c>
      <c r="AI46" s="190">
        <v>21</v>
      </c>
      <c r="AJ46" s="190">
        <v>1</v>
      </c>
      <c r="AK46" s="190">
        <v>10</v>
      </c>
      <c r="AL46" s="190">
        <v>11</v>
      </c>
      <c r="AM46" s="190">
        <v>9</v>
      </c>
      <c r="AN46" s="190">
        <v>668</v>
      </c>
      <c r="AO46" s="190">
        <v>677</v>
      </c>
      <c r="AP46" s="190">
        <v>784</v>
      </c>
      <c r="AQ46" s="190">
        <v>12564</v>
      </c>
      <c r="AR46" s="190">
        <v>13348</v>
      </c>
      <c r="AS46" s="190">
        <v>802</v>
      </c>
      <c r="AT46" s="190">
        <v>12616</v>
      </c>
      <c r="AU46" s="190">
        <v>13418</v>
      </c>
      <c r="AV46" s="190">
        <v>-18</v>
      </c>
      <c r="AW46" s="190">
        <v>-52</v>
      </c>
      <c r="AX46" s="190">
        <v>-70</v>
      </c>
      <c r="AY46" s="190">
        <v>56</v>
      </c>
      <c r="AZ46" s="190">
        <v>1489</v>
      </c>
      <c r="BA46" s="190">
        <v>1545</v>
      </c>
      <c r="BB46" s="190">
        <v>18</v>
      </c>
      <c r="BC46" s="190">
        <v>0</v>
      </c>
      <c r="BD46" s="190">
        <v>0</v>
      </c>
      <c r="BE46" s="190">
        <v>628</v>
      </c>
      <c r="BF46" s="190">
        <v>32</v>
      </c>
      <c r="BG46" s="190">
        <v>4</v>
      </c>
      <c r="BH46" s="190">
        <v>18</v>
      </c>
      <c r="BI46" s="190">
        <v>664</v>
      </c>
      <c r="BJ46" s="190">
        <v>682</v>
      </c>
      <c r="BK46" s="190">
        <v>-8</v>
      </c>
      <c r="BL46" s="190">
        <v>8</v>
      </c>
      <c r="BM46" s="190">
        <v>0</v>
      </c>
      <c r="BN46" s="190">
        <v>21</v>
      </c>
      <c r="BO46" s="190">
        <v>21</v>
      </c>
      <c r="BP46" s="190">
        <v>42</v>
      </c>
      <c r="BQ46" s="190">
        <v>0</v>
      </c>
      <c r="BR46" s="190">
        <v>161</v>
      </c>
      <c r="BS46" s="190">
        <v>161</v>
      </c>
      <c r="BT46" s="190">
        <v>25</v>
      </c>
      <c r="BU46" s="190">
        <v>635</v>
      </c>
      <c r="BV46" s="190">
        <v>660</v>
      </c>
      <c r="BW46" s="190">
        <v>840</v>
      </c>
      <c r="BX46" s="190">
        <v>14053</v>
      </c>
      <c r="BY46" s="190">
        <v>14893</v>
      </c>
      <c r="BZ46" s="190">
        <v>814</v>
      </c>
      <c r="CA46" s="190">
        <v>13462</v>
      </c>
      <c r="CB46" s="190">
        <v>14276</v>
      </c>
      <c r="CC46" s="190">
        <v>28287</v>
      </c>
      <c r="CD46" s="190">
        <v>35</v>
      </c>
      <c r="CE46" s="190">
        <v>582</v>
      </c>
      <c r="CF46" s="190">
        <v>25</v>
      </c>
      <c r="CG46" s="190">
        <v>427</v>
      </c>
      <c r="CH46" s="190">
        <v>452</v>
      </c>
      <c r="CI46" s="190">
        <v>210</v>
      </c>
      <c r="CJ46" s="190">
        <v>9</v>
      </c>
      <c r="CK46" s="190">
        <v>1</v>
      </c>
      <c r="CL46" s="190">
        <v>164</v>
      </c>
      <c r="CM46" s="190">
        <v>165</v>
      </c>
      <c r="CN46" s="190">
        <v>71</v>
      </c>
      <c r="CO46" s="190">
        <v>1538</v>
      </c>
      <c r="CP46" s="190">
        <v>1609</v>
      </c>
      <c r="CQ46" s="190">
        <v>0</v>
      </c>
      <c r="CR46" s="190">
        <v>0</v>
      </c>
      <c r="CS46" s="190">
        <v>0</v>
      </c>
      <c r="CT46" s="190">
        <v>769</v>
      </c>
      <c r="CU46" s="190">
        <v>12515</v>
      </c>
      <c r="CV46" s="190">
        <v>13284</v>
      </c>
      <c r="CW46" s="190">
        <v>66</v>
      </c>
      <c r="CX46" s="190">
        <v>628</v>
      </c>
      <c r="CY46" s="190">
        <v>694</v>
      </c>
      <c r="CZ46" s="190">
        <v>64</v>
      </c>
      <c r="DA46" s="190">
        <v>1</v>
      </c>
      <c r="DB46" s="190">
        <v>0</v>
      </c>
      <c r="DC46" s="190">
        <v>579</v>
      </c>
      <c r="DD46" s="190">
        <v>17</v>
      </c>
      <c r="DE46" s="190">
        <v>11</v>
      </c>
      <c r="DF46" s="190">
        <v>65</v>
      </c>
      <c r="DG46" s="190">
        <v>607</v>
      </c>
      <c r="DH46" s="190">
        <v>672</v>
      </c>
      <c r="DI46" s="190">
        <v>1</v>
      </c>
      <c r="DJ46" s="190">
        <v>0</v>
      </c>
      <c r="DK46" s="190">
        <v>0</v>
      </c>
      <c r="DL46" s="190">
        <v>18</v>
      </c>
      <c r="DM46" s="190">
        <v>3</v>
      </c>
      <c r="DN46" s="190">
        <v>0</v>
      </c>
      <c r="DO46" s="190">
        <v>1</v>
      </c>
      <c r="DP46" s="190">
        <v>21</v>
      </c>
      <c r="DQ46" s="190">
        <v>22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1423</v>
      </c>
      <c r="C47" s="190">
        <v>410</v>
      </c>
      <c r="D47" s="190">
        <v>1383</v>
      </c>
      <c r="E47" s="190">
        <v>874</v>
      </c>
      <c r="F47" s="190">
        <v>5</v>
      </c>
      <c r="G47" s="190">
        <v>72</v>
      </c>
      <c r="H47" s="190">
        <v>77</v>
      </c>
      <c r="I47" s="190">
        <v>1</v>
      </c>
      <c r="J47" s="190">
        <v>439</v>
      </c>
      <c r="K47" s="190">
        <v>440</v>
      </c>
      <c r="L47" s="190">
        <v>1</v>
      </c>
      <c r="M47" s="190">
        <v>175</v>
      </c>
      <c r="N47" s="190">
        <v>176</v>
      </c>
      <c r="O47" s="190">
        <v>0</v>
      </c>
      <c r="P47" s="190">
        <v>264</v>
      </c>
      <c r="Q47" s="190">
        <v>264</v>
      </c>
      <c r="R47" s="190">
        <v>0</v>
      </c>
      <c r="S47" s="190">
        <v>49</v>
      </c>
      <c r="T47" s="190">
        <v>49</v>
      </c>
      <c r="U47" s="190">
        <v>0</v>
      </c>
      <c r="V47" s="190">
        <v>69</v>
      </c>
      <c r="W47" s="190">
        <v>69</v>
      </c>
      <c r="X47" s="190">
        <v>16</v>
      </c>
      <c r="Y47" s="190">
        <v>428</v>
      </c>
      <c r="Z47" s="190">
        <v>444</v>
      </c>
      <c r="AA47" s="190">
        <v>12</v>
      </c>
      <c r="AB47" s="190">
        <v>250</v>
      </c>
      <c r="AC47" s="190">
        <v>262</v>
      </c>
      <c r="AD47" s="190">
        <v>12</v>
      </c>
      <c r="AE47" s="190">
        <v>226</v>
      </c>
      <c r="AF47" s="190">
        <v>238</v>
      </c>
      <c r="AG47" s="190">
        <v>0</v>
      </c>
      <c r="AH47" s="190">
        <v>17</v>
      </c>
      <c r="AI47" s="190">
        <v>17</v>
      </c>
      <c r="AJ47" s="190">
        <v>0</v>
      </c>
      <c r="AK47" s="190">
        <v>7</v>
      </c>
      <c r="AL47" s="190">
        <v>7</v>
      </c>
      <c r="AM47" s="190">
        <v>4</v>
      </c>
      <c r="AN47" s="190">
        <v>178</v>
      </c>
      <c r="AO47" s="190">
        <v>182</v>
      </c>
      <c r="AP47" s="190">
        <v>1829</v>
      </c>
      <c r="AQ47" s="190">
        <v>14446</v>
      </c>
      <c r="AR47" s="190">
        <v>16275</v>
      </c>
      <c r="AS47" s="190">
        <v>1884</v>
      </c>
      <c r="AT47" s="190">
        <v>14469</v>
      </c>
      <c r="AU47" s="190">
        <v>16353</v>
      </c>
      <c r="AV47" s="190">
        <v>-55</v>
      </c>
      <c r="AW47" s="190">
        <v>-23</v>
      </c>
      <c r="AX47" s="190">
        <v>-78</v>
      </c>
      <c r="AY47" s="190">
        <v>120</v>
      </c>
      <c r="AZ47" s="190">
        <v>1387</v>
      </c>
      <c r="BA47" s="190">
        <v>1507</v>
      </c>
      <c r="BB47" s="190">
        <v>48</v>
      </c>
      <c r="BC47" s="190">
        <v>1</v>
      </c>
      <c r="BD47" s="190">
        <v>0</v>
      </c>
      <c r="BE47" s="190">
        <v>814</v>
      </c>
      <c r="BF47" s="190">
        <v>5</v>
      </c>
      <c r="BG47" s="190">
        <v>6</v>
      </c>
      <c r="BH47" s="190">
        <v>49</v>
      </c>
      <c r="BI47" s="190">
        <v>825</v>
      </c>
      <c r="BJ47" s="190">
        <v>874</v>
      </c>
      <c r="BK47" s="190">
        <v>12</v>
      </c>
      <c r="BL47" s="190">
        <v>-12</v>
      </c>
      <c r="BM47" s="190">
        <v>0</v>
      </c>
      <c r="BN47" s="190">
        <v>0</v>
      </c>
      <c r="BO47" s="190">
        <v>42</v>
      </c>
      <c r="BP47" s="190">
        <v>42</v>
      </c>
      <c r="BQ47" s="190">
        <v>9</v>
      </c>
      <c r="BR47" s="190">
        <v>152</v>
      </c>
      <c r="BS47" s="190">
        <v>161</v>
      </c>
      <c r="BT47" s="190">
        <v>50</v>
      </c>
      <c r="BU47" s="190">
        <v>380</v>
      </c>
      <c r="BV47" s="190">
        <v>430</v>
      </c>
      <c r="BW47" s="190">
        <v>1949</v>
      </c>
      <c r="BX47" s="190">
        <v>15833</v>
      </c>
      <c r="BY47" s="190">
        <v>17782</v>
      </c>
      <c r="BZ47" s="190">
        <v>1931</v>
      </c>
      <c r="CA47" s="190">
        <v>15647</v>
      </c>
      <c r="CB47" s="190">
        <v>17578</v>
      </c>
      <c r="CC47" s="190">
        <v>37009</v>
      </c>
      <c r="CD47" s="190">
        <v>19</v>
      </c>
      <c r="CE47" s="190">
        <v>122</v>
      </c>
      <c r="CF47" s="190">
        <v>18</v>
      </c>
      <c r="CG47" s="190">
        <v>115</v>
      </c>
      <c r="CH47" s="190">
        <v>133</v>
      </c>
      <c r="CI47" s="190">
        <v>0</v>
      </c>
      <c r="CJ47" s="190">
        <v>89</v>
      </c>
      <c r="CK47" s="190">
        <v>0</v>
      </c>
      <c r="CL47" s="190">
        <v>71</v>
      </c>
      <c r="CM47" s="190">
        <v>71</v>
      </c>
      <c r="CN47" s="190">
        <v>138</v>
      </c>
      <c r="CO47" s="190">
        <v>1584</v>
      </c>
      <c r="CP47" s="190">
        <v>1722</v>
      </c>
      <c r="CQ47" s="190">
        <v>0</v>
      </c>
      <c r="CR47" s="190">
        <v>0</v>
      </c>
      <c r="CS47" s="190">
        <v>0</v>
      </c>
      <c r="CT47" s="190">
        <v>1811</v>
      </c>
      <c r="CU47" s="190">
        <v>14249</v>
      </c>
      <c r="CV47" s="190">
        <v>16060</v>
      </c>
      <c r="CW47" s="190">
        <v>138</v>
      </c>
      <c r="CX47" s="190">
        <v>824</v>
      </c>
      <c r="CY47" s="190">
        <v>962</v>
      </c>
      <c r="CZ47" s="190">
        <v>138</v>
      </c>
      <c r="DA47" s="190">
        <v>0</v>
      </c>
      <c r="DB47" s="190">
        <v>0</v>
      </c>
      <c r="DC47" s="190">
        <v>764</v>
      </c>
      <c r="DD47" s="190">
        <v>9</v>
      </c>
      <c r="DE47" s="190">
        <v>2</v>
      </c>
      <c r="DF47" s="190">
        <v>138</v>
      </c>
      <c r="DG47" s="190">
        <v>775</v>
      </c>
      <c r="DH47" s="190">
        <v>913</v>
      </c>
      <c r="DI47" s="190">
        <v>0</v>
      </c>
      <c r="DJ47" s="190">
        <v>0</v>
      </c>
      <c r="DK47" s="190">
        <v>0</v>
      </c>
      <c r="DL47" s="190">
        <v>49</v>
      </c>
      <c r="DM47" s="190">
        <v>0</v>
      </c>
      <c r="DN47" s="190">
        <v>0</v>
      </c>
      <c r="DO47" s="190">
        <v>0</v>
      </c>
      <c r="DP47" s="190">
        <v>49</v>
      </c>
      <c r="DQ47" s="190">
        <v>49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2888</v>
      </c>
      <c r="C48" s="190">
        <v>770</v>
      </c>
      <c r="D48" s="190">
        <v>2899</v>
      </c>
      <c r="E48" s="190">
        <v>1840</v>
      </c>
      <c r="F48" s="190">
        <v>1</v>
      </c>
      <c r="G48" s="190">
        <v>37</v>
      </c>
      <c r="H48" s="190">
        <v>38</v>
      </c>
      <c r="I48" s="190">
        <v>5</v>
      </c>
      <c r="J48" s="190">
        <v>731</v>
      </c>
      <c r="K48" s="190">
        <v>736</v>
      </c>
      <c r="L48" s="190">
        <v>5</v>
      </c>
      <c r="M48" s="190">
        <v>729</v>
      </c>
      <c r="N48" s="190">
        <v>734</v>
      </c>
      <c r="O48" s="190">
        <v>0</v>
      </c>
      <c r="P48" s="190">
        <v>2</v>
      </c>
      <c r="Q48" s="190">
        <v>2</v>
      </c>
      <c r="R48" s="190">
        <v>0</v>
      </c>
      <c r="S48" s="190">
        <v>30</v>
      </c>
      <c r="T48" s="190">
        <v>30</v>
      </c>
      <c r="U48" s="190">
        <v>0</v>
      </c>
      <c r="V48" s="190">
        <v>323</v>
      </c>
      <c r="W48" s="190">
        <v>323</v>
      </c>
      <c r="X48" s="190">
        <v>25</v>
      </c>
      <c r="Y48" s="190">
        <v>1458</v>
      </c>
      <c r="Z48" s="190">
        <v>1483</v>
      </c>
      <c r="AA48" s="190">
        <v>7</v>
      </c>
      <c r="AB48" s="190">
        <v>449</v>
      </c>
      <c r="AC48" s="190">
        <v>456</v>
      </c>
      <c r="AD48" s="190">
        <v>7</v>
      </c>
      <c r="AE48" s="190">
        <v>439</v>
      </c>
      <c r="AF48" s="190">
        <v>446</v>
      </c>
      <c r="AG48" s="190">
        <v>0</v>
      </c>
      <c r="AH48" s="190">
        <v>6</v>
      </c>
      <c r="AI48" s="190">
        <v>6</v>
      </c>
      <c r="AJ48" s="190">
        <v>0</v>
      </c>
      <c r="AK48" s="190">
        <v>4</v>
      </c>
      <c r="AL48" s="190">
        <v>4</v>
      </c>
      <c r="AM48" s="190">
        <v>18</v>
      </c>
      <c r="AN48" s="190">
        <v>1009</v>
      </c>
      <c r="AO48" s="190">
        <v>1027</v>
      </c>
      <c r="AP48" s="190">
        <v>4279</v>
      </c>
      <c r="AQ48" s="190">
        <v>44829</v>
      </c>
      <c r="AR48" s="190">
        <v>49108</v>
      </c>
      <c r="AS48" s="190">
        <v>4283</v>
      </c>
      <c r="AT48" s="190">
        <v>44514</v>
      </c>
      <c r="AU48" s="190">
        <v>48797</v>
      </c>
      <c r="AV48" s="190">
        <v>-4</v>
      </c>
      <c r="AW48" s="190">
        <v>315</v>
      </c>
      <c r="AX48" s="190">
        <v>311</v>
      </c>
      <c r="AY48" s="190">
        <v>189</v>
      </c>
      <c r="AZ48" s="190">
        <v>3269</v>
      </c>
      <c r="BA48" s="190">
        <v>3458</v>
      </c>
      <c r="BB48" s="190">
        <v>122</v>
      </c>
      <c r="BC48" s="190">
        <v>5</v>
      </c>
      <c r="BD48" s="190">
        <v>0</v>
      </c>
      <c r="BE48" s="190">
        <v>1623</v>
      </c>
      <c r="BF48" s="190">
        <v>41</v>
      </c>
      <c r="BG48" s="190">
        <v>49</v>
      </c>
      <c r="BH48" s="190">
        <v>127</v>
      </c>
      <c r="BI48" s="190">
        <v>1713</v>
      </c>
      <c r="BJ48" s="190">
        <v>1840</v>
      </c>
      <c r="BK48" s="190">
        <v>-74</v>
      </c>
      <c r="BL48" s="190">
        <v>74</v>
      </c>
      <c r="BM48" s="190">
        <v>0</v>
      </c>
      <c r="BN48" s="190">
        <v>15</v>
      </c>
      <c r="BO48" s="190">
        <v>64</v>
      </c>
      <c r="BP48" s="190">
        <v>79</v>
      </c>
      <c r="BQ48" s="190">
        <v>17</v>
      </c>
      <c r="BR48" s="190">
        <v>182</v>
      </c>
      <c r="BS48" s="190">
        <v>199</v>
      </c>
      <c r="BT48" s="190">
        <v>104</v>
      </c>
      <c r="BU48" s="190">
        <v>1236</v>
      </c>
      <c r="BV48" s="190">
        <v>1340</v>
      </c>
      <c r="BW48" s="190">
        <v>4468</v>
      </c>
      <c r="BX48" s="190">
        <v>48098</v>
      </c>
      <c r="BY48" s="190">
        <v>52566</v>
      </c>
      <c r="BZ48" s="190">
        <v>4357</v>
      </c>
      <c r="CA48" s="190">
        <v>46544</v>
      </c>
      <c r="CB48" s="190">
        <v>50901</v>
      </c>
      <c r="CC48" s="190">
        <v>100793</v>
      </c>
      <c r="CD48" s="190">
        <v>104</v>
      </c>
      <c r="CE48" s="190">
        <v>1175</v>
      </c>
      <c r="CF48" s="190">
        <v>108</v>
      </c>
      <c r="CG48" s="190">
        <v>859</v>
      </c>
      <c r="CH48" s="190">
        <v>967</v>
      </c>
      <c r="CI48" s="190">
        <v>972</v>
      </c>
      <c r="CJ48" s="190">
        <v>18</v>
      </c>
      <c r="CK48" s="190">
        <v>3</v>
      </c>
      <c r="CL48" s="190">
        <v>695</v>
      </c>
      <c r="CM48" s="190">
        <v>698</v>
      </c>
      <c r="CN48" s="190">
        <v>259</v>
      </c>
      <c r="CO48" s="190">
        <v>4143</v>
      </c>
      <c r="CP48" s="190">
        <v>4402</v>
      </c>
      <c r="CQ48" s="190">
        <v>0</v>
      </c>
      <c r="CR48" s="190">
        <v>0</v>
      </c>
      <c r="CS48" s="190">
        <v>0</v>
      </c>
      <c r="CT48" s="190">
        <v>4209</v>
      </c>
      <c r="CU48" s="190">
        <v>43955</v>
      </c>
      <c r="CV48" s="190">
        <v>48164</v>
      </c>
      <c r="CW48" s="190">
        <v>288</v>
      </c>
      <c r="CX48" s="190">
        <v>2817</v>
      </c>
      <c r="CY48" s="190">
        <v>3105</v>
      </c>
      <c r="CZ48" s="190">
        <v>263</v>
      </c>
      <c r="DA48" s="190">
        <v>7</v>
      </c>
      <c r="DB48" s="190">
        <v>0</v>
      </c>
      <c r="DC48" s="190">
        <v>2428</v>
      </c>
      <c r="DD48" s="190">
        <v>51</v>
      </c>
      <c r="DE48" s="190">
        <v>27</v>
      </c>
      <c r="DF48" s="190">
        <v>270</v>
      </c>
      <c r="DG48" s="190">
        <v>2506</v>
      </c>
      <c r="DH48" s="190">
        <v>2776</v>
      </c>
      <c r="DI48" s="190">
        <v>17</v>
      </c>
      <c r="DJ48" s="190">
        <v>0</v>
      </c>
      <c r="DK48" s="190">
        <v>1</v>
      </c>
      <c r="DL48" s="190">
        <v>297</v>
      </c>
      <c r="DM48" s="190">
        <v>8</v>
      </c>
      <c r="DN48" s="190">
        <v>6</v>
      </c>
      <c r="DO48" s="190">
        <v>18</v>
      </c>
      <c r="DP48" s="190">
        <v>311</v>
      </c>
      <c r="DQ48" s="190">
        <v>329</v>
      </c>
      <c r="DR48" s="190">
        <v>0</v>
      </c>
      <c r="DS48" s="190">
        <v>8</v>
      </c>
      <c r="DT48" s="191">
        <v>8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963</v>
      </c>
      <c r="C49" s="190">
        <v>304</v>
      </c>
      <c r="D49" s="190">
        <v>869</v>
      </c>
      <c r="E49" s="190">
        <v>536</v>
      </c>
      <c r="F49" s="190">
        <v>1</v>
      </c>
      <c r="G49" s="190">
        <v>14</v>
      </c>
      <c r="H49" s="190">
        <v>15</v>
      </c>
      <c r="I49" s="190">
        <v>0</v>
      </c>
      <c r="J49" s="190">
        <v>273</v>
      </c>
      <c r="K49" s="190">
        <v>273</v>
      </c>
      <c r="L49" s="190">
        <v>0</v>
      </c>
      <c r="M49" s="190">
        <v>81</v>
      </c>
      <c r="N49" s="190">
        <v>81</v>
      </c>
      <c r="O49" s="190">
        <v>0</v>
      </c>
      <c r="P49" s="190">
        <v>192</v>
      </c>
      <c r="Q49" s="190">
        <v>192</v>
      </c>
      <c r="R49" s="190">
        <v>0</v>
      </c>
      <c r="S49" s="190">
        <v>33</v>
      </c>
      <c r="T49" s="190">
        <v>33</v>
      </c>
      <c r="U49" s="190">
        <v>0</v>
      </c>
      <c r="V49" s="190">
        <v>60</v>
      </c>
      <c r="W49" s="190">
        <v>60</v>
      </c>
      <c r="X49" s="190">
        <v>6</v>
      </c>
      <c r="Y49" s="190">
        <v>534</v>
      </c>
      <c r="Z49" s="190">
        <v>540</v>
      </c>
      <c r="AA49" s="190">
        <v>2</v>
      </c>
      <c r="AB49" s="190">
        <v>224</v>
      </c>
      <c r="AC49" s="190">
        <v>226</v>
      </c>
      <c r="AD49" s="190">
        <v>2</v>
      </c>
      <c r="AE49" s="190">
        <v>218</v>
      </c>
      <c r="AF49" s="190">
        <v>220</v>
      </c>
      <c r="AG49" s="190">
        <v>0</v>
      </c>
      <c r="AH49" s="190">
        <v>6</v>
      </c>
      <c r="AI49" s="190">
        <v>6</v>
      </c>
      <c r="AJ49" s="190">
        <v>0</v>
      </c>
      <c r="AK49" s="190">
        <v>0</v>
      </c>
      <c r="AL49" s="190">
        <v>0</v>
      </c>
      <c r="AM49" s="190">
        <v>4</v>
      </c>
      <c r="AN49" s="190">
        <v>310</v>
      </c>
      <c r="AO49" s="190">
        <v>314</v>
      </c>
      <c r="AP49" s="190">
        <v>983</v>
      </c>
      <c r="AQ49" s="190">
        <v>12130</v>
      </c>
      <c r="AR49" s="190">
        <v>13113</v>
      </c>
      <c r="AS49" s="190">
        <v>995</v>
      </c>
      <c r="AT49" s="190">
        <v>12040</v>
      </c>
      <c r="AU49" s="190">
        <v>13035</v>
      </c>
      <c r="AV49" s="190">
        <v>-12</v>
      </c>
      <c r="AW49" s="190">
        <v>90</v>
      </c>
      <c r="AX49" s="190">
        <v>78</v>
      </c>
      <c r="AY49" s="190">
        <v>35</v>
      </c>
      <c r="AZ49" s="190">
        <v>1065</v>
      </c>
      <c r="BA49" s="190">
        <v>1100</v>
      </c>
      <c r="BB49" s="190">
        <v>22</v>
      </c>
      <c r="BC49" s="190">
        <v>1</v>
      </c>
      <c r="BD49" s="190">
        <v>0</v>
      </c>
      <c r="BE49" s="190">
        <v>509</v>
      </c>
      <c r="BF49" s="190">
        <v>2</v>
      </c>
      <c r="BG49" s="190">
        <v>2</v>
      </c>
      <c r="BH49" s="190">
        <v>23</v>
      </c>
      <c r="BI49" s="190">
        <v>513</v>
      </c>
      <c r="BJ49" s="190">
        <v>536</v>
      </c>
      <c r="BK49" s="190">
        <v>-32</v>
      </c>
      <c r="BL49" s="190">
        <v>32</v>
      </c>
      <c r="BM49" s="190">
        <v>0</v>
      </c>
      <c r="BN49" s="190">
        <v>1</v>
      </c>
      <c r="BO49" s="190">
        <v>14</v>
      </c>
      <c r="BP49" s="190">
        <v>15</v>
      </c>
      <c r="BQ49" s="190">
        <v>0</v>
      </c>
      <c r="BR49" s="190">
        <v>4</v>
      </c>
      <c r="BS49" s="190">
        <v>4</v>
      </c>
      <c r="BT49" s="190">
        <v>43</v>
      </c>
      <c r="BU49" s="190">
        <v>502</v>
      </c>
      <c r="BV49" s="190">
        <v>545</v>
      </c>
      <c r="BW49" s="190">
        <v>1018</v>
      </c>
      <c r="BX49" s="190">
        <v>13195</v>
      </c>
      <c r="BY49" s="190">
        <v>14213</v>
      </c>
      <c r="BZ49" s="190">
        <v>1014</v>
      </c>
      <c r="CA49" s="190">
        <v>13139</v>
      </c>
      <c r="CB49" s="190">
        <v>14153</v>
      </c>
      <c r="CC49" s="190">
        <v>25555</v>
      </c>
      <c r="CD49" s="190">
        <v>4</v>
      </c>
      <c r="CE49" s="190">
        <v>51</v>
      </c>
      <c r="CF49" s="190">
        <v>4</v>
      </c>
      <c r="CG49" s="190">
        <v>45</v>
      </c>
      <c r="CH49" s="190">
        <v>49</v>
      </c>
      <c r="CI49" s="190">
        <v>0</v>
      </c>
      <c r="CJ49" s="190">
        <v>15</v>
      </c>
      <c r="CK49" s="190">
        <v>0</v>
      </c>
      <c r="CL49" s="190">
        <v>11</v>
      </c>
      <c r="CM49" s="190">
        <v>11</v>
      </c>
      <c r="CN49" s="190">
        <v>72</v>
      </c>
      <c r="CO49" s="190">
        <v>1324</v>
      </c>
      <c r="CP49" s="190">
        <v>1396</v>
      </c>
      <c r="CQ49" s="190">
        <v>0</v>
      </c>
      <c r="CR49" s="190">
        <v>4</v>
      </c>
      <c r="CS49" s="190">
        <v>4</v>
      </c>
      <c r="CT49" s="190">
        <v>946</v>
      </c>
      <c r="CU49" s="190">
        <v>11871</v>
      </c>
      <c r="CV49" s="190">
        <v>12817</v>
      </c>
      <c r="CW49" s="190">
        <v>75</v>
      </c>
      <c r="CX49" s="190">
        <v>637</v>
      </c>
      <c r="CY49" s="190">
        <v>712</v>
      </c>
      <c r="CZ49" s="190">
        <v>70</v>
      </c>
      <c r="DA49" s="190">
        <v>0</v>
      </c>
      <c r="DB49" s="190">
        <v>0</v>
      </c>
      <c r="DC49" s="190">
        <v>598</v>
      </c>
      <c r="DD49" s="190">
        <v>2</v>
      </c>
      <c r="DE49" s="190">
        <v>0</v>
      </c>
      <c r="DF49" s="190">
        <v>70</v>
      </c>
      <c r="DG49" s="190">
        <v>600</v>
      </c>
      <c r="DH49" s="190">
        <v>670</v>
      </c>
      <c r="DI49" s="190">
        <v>5</v>
      </c>
      <c r="DJ49" s="190">
        <v>0</v>
      </c>
      <c r="DK49" s="190">
        <v>0</v>
      </c>
      <c r="DL49" s="190">
        <v>37</v>
      </c>
      <c r="DM49" s="190">
        <v>0</v>
      </c>
      <c r="DN49" s="190">
        <v>0</v>
      </c>
      <c r="DO49" s="190">
        <v>5</v>
      </c>
      <c r="DP49" s="190">
        <v>37</v>
      </c>
      <c r="DQ49" s="190">
        <v>42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1008</v>
      </c>
      <c r="C50" s="190">
        <v>246</v>
      </c>
      <c r="D50" s="190">
        <v>1064</v>
      </c>
      <c r="E50" s="190">
        <v>632</v>
      </c>
      <c r="F50" s="190">
        <v>2</v>
      </c>
      <c r="G50" s="190">
        <v>49</v>
      </c>
      <c r="H50" s="190">
        <v>51</v>
      </c>
      <c r="I50" s="190">
        <v>0</v>
      </c>
      <c r="J50" s="190">
        <v>412</v>
      </c>
      <c r="K50" s="190">
        <v>412</v>
      </c>
      <c r="L50" s="190">
        <v>0</v>
      </c>
      <c r="M50" s="190">
        <v>171</v>
      </c>
      <c r="N50" s="190">
        <v>171</v>
      </c>
      <c r="O50" s="190">
        <v>0</v>
      </c>
      <c r="P50" s="190">
        <v>241</v>
      </c>
      <c r="Q50" s="190">
        <v>241</v>
      </c>
      <c r="R50" s="190">
        <v>0</v>
      </c>
      <c r="S50" s="190">
        <v>12</v>
      </c>
      <c r="T50" s="190">
        <v>12</v>
      </c>
      <c r="U50" s="190">
        <v>0</v>
      </c>
      <c r="V50" s="190">
        <v>20</v>
      </c>
      <c r="W50" s="190">
        <v>20</v>
      </c>
      <c r="X50" s="190">
        <v>23</v>
      </c>
      <c r="Y50" s="190">
        <v>1041</v>
      </c>
      <c r="Z50" s="190">
        <v>1064</v>
      </c>
      <c r="AA50" s="190">
        <v>8</v>
      </c>
      <c r="AB50" s="190">
        <v>421</v>
      </c>
      <c r="AC50" s="190">
        <v>429</v>
      </c>
      <c r="AD50" s="190">
        <v>8</v>
      </c>
      <c r="AE50" s="190">
        <v>406</v>
      </c>
      <c r="AF50" s="190">
        <v>414</v>
      </c>
      <c r="AG50" s="190">
        <v>0</v>
      </c>
      <c r="AH50" s="190">
        <v>10</v>
      </c>
      <c r="AI50" s="190">
        <v>10</v>
      </c>
      <c r="AJ50" s="190">
        <v>0</v>
      </c>
      <c r="AK50" s="190">
        <v>5</v>
      </c>
      <c r="AL50" s="190">
        <v>5</v>
      </c>
      <c r="AM50" s="190">
        <v>15</v>
      </c>
      <c r="AN50" s="190">
        <v>620</v>
      </c>
      <c r="AO50" s="190">
        <v>635</v>
      </c>
      <c r="AP50" s="190">
        <v>1230</v>
      </c>
      <c r="AQ50" s="190">
        <v>10778</v>
      </c>
      <c r="AR50" s="190">
        <v>12008</v>
      </c>
      <c r="AS50" s="190">
        <v>1230</v>
      </c>
      <c r="AT50" s="190">
        <v>10778</v>
      </c>
      <c r="AU50" s="190">
        <v>12008</v>
      </c>
      <c r="AV50" s="190">
        <v>0</v>
      </c>
      <c r="AW50" s="190">
        <v>0</v>
      </c>
      <c r="AX50" s="190">
        <v>0</v>
      </c>
      <c r="AY50" s="190">
        <v>54</v>
      </c>
      <c r="AZ50" s="190">
        <v>1126</v>
      </c>
      <c r="BA50" s="190">
        <v>1180</v>
      </c>
      <c r="BB50" s="190">
        <v>24</v>
      </c>
      <c r="BC50" s="190">
        <v>0</v>
      </c>
      <c r="BD50" s="190">
        <v>0</v>
      </c>
      <c r="BE50" s="190">
        <v>607</v>
      </c>
      <c r="BF50" s="190">
        <v>1</v>
      </c>
      <c r="BG50" s="190">
        <v>0</v>
      </c>
      <c r="BH50" s="190">
        <v>24</v>
      </c>
      <c r="BI50" s="190">
        <v>608</v>
      </c>
      <c r="BJ50" s="190">
        <v>632</v>
      </c>
      <c r="BK50" s="190">
        <v>4</v>
      </c>
      <c r="BL50" s="190">
        <v>-4</v>
      </c>
      <c r="BM50" s="190">
        <v>0</v>
      </c>
      <c r="BN50" s="190">
        <v>8</v>
      </c>
      <c r="BO50" s="190">
        <v>41</v>
      </c>
      <c r="BP50" s="190">
        <v>49</v>
      </c>
      <c r="BQ50" s="190">
        <v>7</v>
      </c>
      <c r="BR50" s="190">
        <v>199</v>
      </c>
      <c r="BS50" s="190">
        <v>206</v>
      </c>
      <c r="BT50" s="190">
        <v>11</v>
      </c>
      <c r="BU50" s="190">
        <v>282</v>
      </c>
      <c r="BV50" s="190">
        <v>293</v>
      </c>
      <c r="BW50" s="190">
        <v>1284</v>
      </c>
      <c r="BX50" s="190">
        <v>11904</v>
      </c>
      <c r="BY50" s="190">
        <v>13188</v>
      </c>
      <c r="BZ50" s="190">
        <v>1282</v>
      </c>
      <c r="CA50" s="190">
        <v>11860</v>
      </c>
      <c r="CB50" s="190">
        <v>13142</v>
      </c>
      <c r="CC50" s="190">
        <v>24540</v>
      </c>
      <c r="CD50" s="190">
        <v>4</v>
      </c>
      <c r="CE50" s="190">
        <v>27</v>
      </c>
      <c r="CF50" s="190">
        <v>2</v>
      </c>
      <c r="CG50" s="190">
        <v>26</v>
      </c>
      <c r="CH50" s="190">
        <v>28</v>
      </c>
      <c r="CI50" s="190">
        <v>19</v>
      </c>
      <c r="CJ50" s="190">
        <v>0</v>
      </c>
      <c r="CK50" s="190">
        <v>0</v>
      </c>
      <c r="CL50" s="190">
        <v>18</v>
      </c>
      <c r="CM50" s="190">
        <v>18</v>
      </c>
      <c r="CN50" s="190">
        <v>76</v>
      </c>
      <c r="CO50" s="190">
        <v>1170</v>
      </c>
      <c r="CP50" s="190">
        <v>1246</v>
      </c>
      <c r="CQ50" s="190">
        <v>0</v>
      </c>
      <c r="CR50" s="190">
        <v>0</v>
      </c>
      <c r="CS50" s="190">
        <v>0</v>
      </c>
      <c r="CT50" s="190">
        <v>1208</v>
      </c>
      <c r="CU50" s="190">
        <v>10734</v>
      </c>
      <c r="CV50" s="190">
        <v>11942</v>
      </c>
      <c r="CW50" s="190">
        <v>66</v>
      </c>
      <c r="CX50" s="190">
        <v>517</v>
      </c>
      <c r="CY50" s="190">
        <v>583</v>
      </c>
      <c r="CZ50" s="190">
        <v>65</v>
      </c>
      <c r="DA50" s="190">
        <v>1</v>
      </c>
      <c r="DB50" s="190">
        <v>0</v>
      </c>
      <c r="DC50" s="190">
        <v>502</v>
      </c>
      <c r="DD50" s="190">
        <v>2</v>
      </c>
      <c r="DE50" s="190">
        <v>0</v>
      </c>
      <c r="DF50" s="190">
        <v>66</v>
      </c>
      <c r="DG50" s="190">
        <v>504</v>
      </c>
      <c r="DH50" s="190">
        <v>570</v>
      </c>
      <c r="DI50" s="190">
        <v>0</v>
      </c>
      <c r="DJ50" s="190">
        <v>0</v>
      </c>
      <c r="DK50" s="190">
        <v>0</v>
      </c>
      <c r="DL50" s="190">
        <v>13</v>
      </c>
      <c r="DM50" s="190">
        <v>0</v>
      </c>
      <c r="DN50" s="190">
        <v>0</v>
      </c>
      <c r="DO50" s="190">
        <v>0</v>
      </c>
      <c r="DP50" s="190">
        <v>13</v>
      </c>
      <c r="DQ50" s="190">
        <v>13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14</v>
      </c>
      <c r="C51" s="190">
        <v>1</v>
      </c>
      <c r="D51" s="190">
        <v>11</v>
      </c>
      <c r="E51" s="190">
        <v>6</v>
      </c>
      <c r="F51" s="190">
        <v>0</v>
      </c>
      <c r="G51" s="190">
        <v>0</v>
      </c>
      <c r="H51" s="190">
        <v>0</v>
      </c>
      <c r="I51" s="190">
        <v>0</v>
      </c>
      <c r="J51" s="190">
        <v>3</v>
      </c>
      <c r="K51" s="190">
        <v>3</v>
      </c>
      <c r="L51" s="190">
        <v>0</v>
      </c>
      <c r="M51" s="190">
        <v>3</v>
      </c>
      <c r="N51" s="190">
        <v>3</v>
      </c>
      <c r="O51" s="190">
        <v>0</v>
      </c>
      <c r="P51" s="190">
        <v>0</v>
      </c>
      <c r="Q51" s="190">
        <v>0</v>
      </c>
      <c r="R51" s="190">
        <v>0</v>
      </c>
      <c r="S51" s="190">
        <v>0</v>
      </c>
      <c r="T51" s="190">
        <v>0</v>
      </c>
      <c r="U51" s="190">
        <v>0</v>
      </c>
      <c r="V51" s="190">
        <v>2</v>
      </c>
      <c r="W51" s="190">
        <v>2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0">
        <v>0</v>
      </c>
      <c r="AD51" s="190">
        <v>0</v>
      </c>
      <c r="AE51" s="190">
        <v>0</v>
      </c>
      <c r="AF51" s="190">
        <v>0</v>
      </c>
      <c r="AG51" s="190">
        <v>0</v>
      </c>
      <c r="AH51" s="190">
        <v>0</v>
      </c>
      <c r="AI51" s="190">
        <v>0</v>
      </c>
      <c r="AJ51" s="190">
        <v>0</v>
      </c>
      <c r="AK51" s="190">
        <v>0</v>
      </c>
      <c r="AL51" s="190">
        <v>0</v>
      </c>
      <c r="AM51" s="190">
        <v>0</v>
      </c>
      <c r="AN51" s="190">
        <v>0</v>
      </c>
      <c r="AO51" s="190">
        <v>0</v>
      </c>
      <c r="AP51" s="190">
        <v>9</v>
      </c>
      <c r="AQ51" s="190">
        <v>143</v>
      </c>
      <c r="AR51" s="190">
        <v>152</v>
      </c>
      <c r="AS51" s="190">
        <v>9</v>
      </c>
      <c r="AT51" s="190">
        <v>143</v>
      </c>
      <c r="AU51" s="190">
        <v>152</v>
      </c>
      <c r="AV51" s="190">
        <v>0</v>
      </c>
      <c r="AW51" s="190">
        <v>0</v>
      </c>
      <c r="AX51" s="190">
        <v>0</v>
      </c>
      <c r="AY51" s="190">
        <v>3</v>
      </c>
      <c r="AZ51" s="190">
        <v>7</v>
      </c>
      <c r="BA51" s="190">
        <v>10</v>
      </c>
      <c r="BB51" s="190">
        <v>0</v>
      </c>
      <c r="BC51" s="190">
        <v>0</v>
      </c>
      <c r="BD51" s="190">
        <v>0</v>
      </c>
      <c r="BE51" s="190">
        <v>6</v>
      </c>
      <c r="BF51" s="190">
        <v>0</v>
      </c>
      <c r="BG51" s="190">
        <v>0</v>
      </c>
      <c r="BH51" s="190">
        <v>0</v>
      </c>
      <c r="BI51" s="190">
        <v>6</v>
      </c>
      <c r="BJ51" s="190">
        <v>6</v>
      </c>
      <c r="BK51" s="190">
        <v>3</v>
      </c>
      <c r="BL51" s="190">
        <v>-3</v>
      </c>
      <c r="BM51" s="190">
        <v>0</v>
      </c>
      <c r="BN51" s="190">
        <v>0</v>
      </c>
      <c r="BO51" s="190">
        <v>0</v>
      </c>
      <c r="BP51" s="190">
        <v>0</v>
      </c>
      <c r="BQ51" s="190">
        <v>0</v>
      </c>
      <c r="BR51" s="190">
        <v>2</v>
      </c>
      <c r="BS51" s="190">
        <v>2</v>
      </c>
      <c r="BT51" s="190">
        <v>0</v>
      </c>
      <c r="BU51" s="190">
        <v>2</v>
      </c>
      <c r="BV51" s="190">
        <v>2</v>
      </c>
      <c r="BW51" s="190">
        <v>12</v>
      </c>
      <c r="BX51" s="190">
        <v>150</v>
      </c>
      <c r="BY51" s="190">
        <v>162</v>
      </c>
      <c r="BZ51" s="190">
        <v>11</v>
      </c>
      <c r="CA51" s="190">
        <v>150</v>
      </c>
      <c r="CB51" s="190">
        <v>161</v>
      </c>
      <c r="CC51" s="190">
        <v>276</v>
      </c>
      <c r="CD51" s="190">
        <v>0</v>
      </c>
      <c r="CE51" s="190">
        <v>1</v>
      </c>
      <c r="CF51" s="190">
        <v>1</v>
      </c>
      <c r="CG51" s="190">
        <v>0</v>
      </c>
      <c r="CH51" s="190">
        <v>1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3</v>
      </c>
      <c r="CO51" s="190">
        <v>7</v>
      </c>
      <c r="CP51" s="190">
        <v>10</v>
      </c>
      <c r="CQ51" s="190">
        <v>0</v>
      </c>
      <c r="CR51" s="190">
        <v>0</v>
      </c>
      <c r="CS51" s="190">
        <v>0</v>
      </c>
      <c r="CT51" s="190">
        <v>9</v>
      </c>
      <c r="CU51" s="190">
        <v>143</v>
      </c>
      <c r="CV51" s="190">
        <v>152</v>
      </c>
      <c r="CW51" s="190">
        <v>1</v>
      </c>
      <c r="CX51" s="190">
        <v>8</v>
      </c>
      <c r="CY51" s="190">
        <v>9</v>
      </c>
      <c r="CZ51" s="190">
        <v>1</v>
      </c>
      <c r="DA51" s="190">
        <v>0</v>
      </c>
      <c r="DB51" s="190">
        <v>0</v>
      </c>
      <c r="DC51" s="190">
        <v>8</v>
      </c>
      <c r="DD51" s="190">
        <v>0</v>
      </c>
      <c r="DE51" s="190">
        <v>0</v>
      </c>
      <c r="DF51" s="190">
        <v>1</v>
      </c>
      <c r="DG51" s="190">
        <v>8</v>
      </c>
      <c r="DH51" s="190">
        <v>9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280</v>
      </c>
      <c r="C52" s="190">
        <v>97</v>
      </c>
      <c r="D52" s="190">
        <v>272</v>
      </c>
      <c r="E52" s="190">
        <v>126</v>
      </c>
      <c r="F52" s="190">
        <v>0</v>
      </c>
      <c r="G52" s="190">
        <v>15</v>
      </c>
      <c r="H52" s="190">
        <v>15</v>
      </c>
      <c r="I52" s="190">
        <v>0</v>
      </c>
      <c r="J52" s="190">
        <v>135</v>
      </c>
      <c r="K52" s="190">
        <v>135</v>
      </c>
      <c r="L52" s="190">
        <v>0</v>
      </c>
      <c r="M52" s="190">
        <v>53</v>
      </c>
      <c r="N52" s="190">
        <v>53</v>
      </c>
      <c r="O52" s="190">
        <v>0</v>
      </c>
      <c r="P52" s="190">
        <v>82</v>
      </c>
      <c r="Q52" s="190">
        <v>82</v>
      </c>
      <c r="R52" s="190">
        <v>0</v>
      </c>
      <c r="S52" s="190">
        <v>3</v>
      </c>
      <c r="T52" s="190">
        <v>3</v>
      </c>
      <c r="U52" s="190">
        <v>0</v>
      </c>
      <c r="V52" s="190">
        <v>11</v>
      </c>
      <c r="W52" s="190">
        <v>11</v>
      </c>
      <c r="X52" s="190">
        <v>6</v>
      </c>
      <c r="Y52" s="190">
        <v>266</v>
      </c>
      <c r="Z52" s="190">
        <v>272</v>
      </c>
      <c r="AA52" s="190">
        <v>2</v>
      </c>
      <c r="AB52" s="190">
        <v>79</v>
      </c>
      <c r="AC52" s="190">
        <v>81</v>
      </c>
      <c r="AD52" s="190">
        <v>2</v>
      </c>
      <c r="AE52" s="190">
        <v>62</v>
      </c>
      <c r="AF52" s="190">
        <v>64</v>
      </c>
      <c r="AG52" s="190">
        <v>0</v>
      </c>
      <c r="AH52" s="190">
        <v>9</v>
      </c>
      <c r="AI52" s="190">
        <v>9</v>
      </c>
      <c r="AJ52" s="190">
        <v>0</v>
      </c>
      <c r="AK52" s="190">
        <v>8</v>
      </c>
      <c r="AL52" s="190">
        <v>8</v>
      </c>
      <c r="AM52" s="190">
        <v>4</v>
      </c>
      <c r="AN52" s="190">
        <v>187</v>
      </c>
      <c r="AO52" s="190">
        <v>191</v>
      </c>
      <c r="AP52" s="190">
        <v>344</v>
      </c>
      <c r="AQ52" s="190">
        <v>2572</v>
      </c>
      <c r="AR52" s="190">
        <v>2916</v>
      </c>
      <c r="AS52" s="190">
        <v>344</v>
      </c>
      <c r="AT52" s="190">
        <v>2572</v>
      </c>
      <c r="AU52" s="190">
        <v>2916</v>
      </c>
      <c r="AV52" s="190">
        <v>0</v>
      </c>
      <c r="AW52" s="190">
        <v>0</v>
      </c>
      <c r="AX52" s="190">
        <v>0</v>
      </c>
      <c r="AY52" s="190">
        <v>11</v>
      </c>
      <c r="AZ52" s="190">
        <v>248</v>
      </c>
      <c r="BA52" s="190">
        <v>259</v>
      </c>
      <c r="BB52" s="190">
        <v>7</v>
      </c>
      <c r="BC52" s="190">
        <v>0</v>
      </c>
      <c r="BD52" s="190">
        <v>0</v>
      </c>
      <c r="BE52" s="190">
        <v>119</v>
      </c>
      <c r="BF52" s="190">
        <v>0</v>
      </c>
      <c r="BG52" s="190">
        <v>0</v>
      </c>
      <c r="BH52" s="190">
        <v>7</v>
      </c>
      <c r="BI52" s="190">
        <v>119</v>
      </c>
      <c r="BJ52" s="190">
        <v>126</v>
      </c>
      <c r="BK52" s="190">
        <v>-7</v>
      </c>
      <c r="BL52" s="190">
        <v>7</v>
      </c>
      <c r="BM52" s="190">
        <v>0</v>
      </c>
      <c r="BN52" s="190">
        <v>0</v>
      </c>
      <c r="BO52" s="190">
        <v>12</v>
      </c>
      <c r="BP52" s="190">
        <v>12</v>
      </c>
      <c r="BQ52" s="190">
        <v>1</v>
      </c>
      <c r="BR52" s="190">
        <v>17</v>
      </c>
      <c r="BS52" s="190">
        <v>18</v>
      </c>
      <c r="BT52" s="190">
        <v>10</v>
      </c>
      <c r="BU52" s="190">
        <v>93</v>
      </c>
      <c r="BV52" s="190">
        <v>103</v>
      </c>
      <c r="BW52" s="190">
        <v>355</v>
      </c>
      <c r="BX52" s="190">
        <v>2820</v>
      </c>
      <c r="BY52" s="190">
        <v>3175</v>
      </c>
      <c r="BZ52" s="190">
        <v>354</v>
      </c>
      <c r="CA52" s="190">
        <v>2814</v>
      </c>
      <c r="CB52" s="190">
        <v>3168</v>
      </c>
      <c r="CC52" s="190">
        <v>6648</v>
      </c>
      <c r="CD52" s="190">
        <v>0</v>
      </c>
      <c r="CE52" s="190">
        <v>7</v>
      </c>
      <c r="CF52" s="190">
        <v>1</v>
      </c>
      <c r="CG52" s="190">
        <v>5</v>
      </c>
      <c r="CH52" s="190">
        <v>6</v>
      </c>
      <c r="CI52" s="190">
        <v>2</v>
      </c>
      <c r="CJ52" s="190">
        <v>0</v>
      </c>
      <c r="CK52" s="190">
        <v>0</v>
      </c>
      <c r="CL52" s="190">
        <v>1</v>
      </c>
      <c r="CM52" s="190">
        <v>1</v>
      </c>
      <c r="CN52" s="190">
        <v>13</v>
      </c>
      <c r="CO52" s="190">
        <v>286</v>
      </c>
      <c r="CP52" s="190">
        <v>299</v>
      </c>
      <c r="CQ52" s="190">
        <v>0</v>
      </c>
      <c r="CR52" s="190">
        <v>0</v>
      </c>
      <c r="CS52" s="190">
        <v>0</v>
      </c>
      <c r="CT52" s="190">
        <v>342</v>
      </c>
      <c r="CU52" s="190">
        <v>2534</v>
      </c>
      <c r="CV52" s="190">
        <v>2876</v>
      </c>
      <c r="CW52" s="190">
        <v>27</v>
      </c>
      <c r="CX52" s="190">
        <v>129</v>
      </c>
      <c r="CY52" s="190">
        <v>156</v>
      </c>
      <c r="CZ52" s="190">
        <v>27</v>
      </c>
      <c r="DA52" s="190">
        <v>0</v>
      </c>
      <c r="DB52" s="190">
        <v>0</v>
      </c>
      <c r="DC52" s="190">
        <v>127</v>
      </c>
      <c r="DD52" s="190">
        <v>1</v>
      </c>
      <c r="DE52" s="190">
        <v>1</v>
      </c>
      <c r="DF52" s="190">
        <v>27</v>
      </c>
      <c r="DG52" s="190">
        <v>129</v>
      </c>
      <c r="DH52" s="190">
        <v>156</v>
      </c>
      <c r="DI52" s="190">
        <v>0</v>
      </c>
      <c r="DJ52" s="190">
        <v>0</v>
      </c>
      <c r="DK52" s="190">
        <v>0</v>
      </c>
      <c r="DL52" s="190">
        <v>0</v>
      </c>
      <c r="DM52" s="190">
        <v>0</v>
      </c>
      <c r="DN52" s="190">
        <v>0</v>
      </c>
      <c r="DO52" s="190">
        <v>0</v>
      </c>
      <c r="DP52" s="190">
        <v>0</v>
      </c>
      <c r="DQ52" s="190">
        <v>0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1449</v>
      </c>
      <c r="C53" s="190">
        <v>374</v>
      </c>
      <c r="D53" s="190">
        <v>1352</v>
      </c>
      <c r="E53" s="190">
        <v>809</v>
      </c>
      <c r="F53" s="190">
        <v>2</v>
      </c>
      <c r="G53" s="190">
        <v>26</v>
      </c>
      <c r="H53" s="190">
        <v>28</v>
      </c>
      <c r="I53" s="190">
        <v>0</v>
      </c>
      <c r="J53" s="190">
        <v>426</v>
      </c>
      <c r="K53" s="190">
        <v>426</v>
      </c>
      <c r="L53" s="190">
        <v>0</v>
      </c>
      <c r="M53" s="190">
        <v>134</v>
      </c>
      <c r="N53" s="190">
        <v>134</v>
      </c>
      <c r="O53" s="190">
        <v>0</v>
      </c>
      <c r="P53" s="190">
        <v>292</v>
      </c>
      <c r="Q53" s="190">
        <v>292</v>
      </c>
      <c r="R53" s="190">
        <v>0</v>
      </c>
      <c r="S53" s="190">
        <v>40</v>
      </c>
      <c r="T53" s="190">
        <v>40</v>
      </c>
      <c r="U53" s="190">
        <v>0</v>
      </c>
      <c r="V53" s="190">
        <v>117</v>
      </c>
      <c r="W53" s="190">
        <v>117</v>
      </c>
      <c r="X53" s="190">
        <v>13</v>
      </c>
      <c r="Y53" s="190">
        <v>700</v>
      </c>
      <c r="Z53" s="190">
        <v>713</v>
      </c>
      <c r="AA53" s="190">
        <v>7</v>
      </c>
      <c r="AB53" s="190">
        <v>375</v>
      </c>
      <c r="AC53" s="190">
        <v>382</v>
      </c>
      <c r="AD53" s="190">
        <v>7</v>
      </c>
      <c r="AE53" s="190">
        <v>366</v>
      </c>
      <c r="AF53" s="190">
        <v>373</v>
      </c>
      <c r="AG53" s="190">
        <v>0</v>
      </c>
      <c r="AH53" s="190">
        <v>7</v>
      </c>
      <c r="AI53" s="190">
        <v>7</v>
      </c>
      <c r="AJ53" s="190">
        <v>0</v>
      </c>
      <c r="AK53" s="190">
        <v>2</v>
      </c>
      <c r="AL53" s="190">
        <v>2</v>
      </c>
      <c r="AM53" s="190">
        <v>6</v>
      </c>
      <c r="AN53" s="190">
        <v>325</v>
      </c>
      <c r="AO53" s="190">
        <v>331</v>
      </c>
      <c r="AP53" s="190">
        <v>2588</v>
      </c>
      <c r="AQ53" s="190">
        <v>17894</v>
      </c>
      <c r="AR53" s="190">
        <v>20482</v>
      </c>
      <c r="AS53" s="190">
        <v>2413</v>
      </c>
      <c r="AT53" s="190">
        <v>17861</v>
      </c>
      <c r="AU53" s="190">
        <v>20274</v>
      </c>
      <c r="AV53" s="190">
        <v>175</v>
      </c>
      <c r="AW53" s="190">
        <v>33</v>
      </c>
      <c r="AX53" s="190">
        <v>208</v>
      </c>
      <c r="AY53" s="190">
        <v>-23</v>
      </c>
      <c r="AZ53" s="190">
        <v>1792</v>
      </c>
      <c r="BA53" s="190">
        <v>1769</v>
      </c>
      <c r="BB53" s="190">
        <v>57</v>
      </c>
      <c r="BC53" s="190">
        <v>3</v>
      </c>
      <c r="BD53" s="190">
        <v>0</v>
      </c>
      <c r="BE53" s="190">
        <v>733</v>
      </c>
      <c r="BF53" s="190">
        <v>8</v>
      </c>
      <c r="BG53" s="190">
        <v>8</v>
      </c>
      <c r="BH53" s="190">
        <v>60</v>
      </c>
      <c r="BI53" s="190">
        <v>749</v>
      </c>
      <c r="BJ53" s="190">
        <v>809</v>
      </c>
      <c r="BK53" s="190">
        <v>-180</v>
      </c>
      <c r="BL53" s="190">
        <v>180</v>
      </c>
      <c r="BM53" s="190">
        <v>0</v>
      </c>
      <c r="BN53" s="190">
        <v>14</v>
      </c>
      <c r="BO53" s="190">
        <v>54</v>
      </c>
      <c r="BP53" s="190">
        <v>68</v>
      </c>
      <c r="BQ53" s="190">
        <v>1</v>
      </c>
      <c r="BR53" s="190">
        <v>105</v>
      </c>
      <c r="BS53" s="190">
        <v>106</v>
      </c>
      <c r="BT53" s="190">
        <v>82</v>
      </c>
      <c r="BU53" s="190">
        <v>704</v>
      </c>
      <c r="BV53" s="190">
        <v>786</v>
      </c>
      <c r="BW53" s="190">
        <v>2565</v>
      </c>
      <c r="BX53" s="190">
        <v>19686</v>
      </c>
      <c r="BY53" s="190">
        <v>22251</v>
      </c>
      <c r="BZ53" s="190">
        <v>2543</v>
      </c>
      <c r="CA53" s="190">
        <v>19446</v>
      </c>
      <c r="CB53" s="190">
        <v>21989</v>
      </c>
      <c r="CC53" s="190">
        <v>41624</v>
      </c>
      <c r="CD53" s="190">
        <v>224</v>
      </c>
      <c r="CE53" s="190">
        <v>193</v>
      </c>
      <c r="CF53" s="190">
        <v>21</v>
      </c>
      <c r="CG53" s="190">
        <v>172</v>
      </c>
      <c r="CH53" s="190">
        <v>193</v>
      </c>
      <c r="CI53" s="190">
        <v>91</v>
      </c>
      <c r="CJ53" s="190">
        <v>67</v>
      </c>
      <c r="CK53" s="190">
        <v>1</v>
      </c>
      <c r="CL53" s="190">
        <v>68</v>
      </c>
      <c r="CM53" s="190">
        <v>69</v>
      </c>
      <c r="CN53" s="190">
        <v>166</v>
      </c>
      <c r="CO53" s="190">
        <v>1951</v>
      </c>
      <c r="CP53" s="190">
        <v>2117</v>
      </c>
      <c r="CQ53" s="190">
        <v>0</v>
      </c>
      <c r="CR53" s="190">
        <v>9</v>
      </c>
      <c r="CS53" s="190">
        <v>9</v>
      </c>
      <c r="CT53" s="190">
        <v>2399</v>
      </c>
      <c r="CU53" s="190">
        <v>17735</v>
      </c>
      <c r="CV53" s="190">
        <v>20134</v>
      </c>
      <c r="CW53" s="190">
        <v>196</v>
      </c>
      <c r="CX53" s="190">
        <v>961</v>
      </c>
      <c r="CY53" s="190">
        <v>1157</v>
      </c>
      <c r="CZ53" s="190">
        <v>190</v>
      </c>
      <c r="DA53" s="190">
        <v>1</v>
      </c>
      <c r="DB53" s="190">
        <v>0</v>
      </c>
      <c r="DC53" s="190">
        <v>927</v>
      </c>
      <c r="DD53" s="190">
        <v>5</v>
      </c>
      <c r="DE53" s="190">
        <v>0</v>
      </c>
      <c r="DF53" s="190">
        <v>191</v>
      </c>
      <c r="DG53" s="190">
        <v>932</v>
      </c>
      <c r="DH53" s="190">
        <v>1123</v>
      </c>
      <c r="DI53" s="190">
        <v>5</v>
      </c>
      <c r="DJ53" s="190">
        <v>0</v>
      </c>
      <c r="DK53" s="190">
        <v>0</v>
      </c>
      <c r="DL53" s="190">
        <v>29</v>
      </c>
      <c r="DM53" s="190">
        <v>0</v>
      </c>
      <c r="DN53" s="190">
        <v>0</v>
      </c>
      <c r="DO53" s="190">
        <v>5</v>
      </c>
      <c r="DP53" s="190">
        <v>29</v>
      </c>
      <c r="DQ53" s="190">
        <v>34</v>
      </c>
      <c r="DR53" s="190">
        <v>1</v>
      </c>
      <c r="DS53" s="190">
        <v>2</v>
      </c>
      <c r="DT53" s="191">
        <v>3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1425</v>
      </c>
      <c r="C54" s="190">
        <v>384</v>
      </c>
      <c r="D54" s="190">
        <v>1595</v>
      </c>
      <c r="E54" s="190">
        <v>852</v>
      </c>
      <c r="F54" s="190">
        <v>0</v>
      </c>
      <c r="G54" s="190">
        <v>46</v>
      </c>
      <c r="H54" s="190">
        <v>46</v>
      </c>
      <c r="I54" s="190">
        <v>0</v>
      </c>
      <c r="J54" s="190">
        <v>680</v>
      </c>
      <c r="K54" s="190">
        <v>680</v>
      </c>
      <c r="L54" s="190">
        <v>0</v>
      </c>
      <c r="M54" s="190">
        <v>679</v>
      </c>
      <c r="N54" s="190">
        <v>679</v>
      </c>
      <c r="O54" s="190">
        <v>0</v>
      </c>
      <c r="P54" s="190">
        <v>1</v>
      </c>
      <c r="Q54" s="190">
        <v>1</v>
      </c>
      <c r="R54" s="190">
        <v>0</v>
      </c>
      <c r="S54" s="190">
        <v>73</v>
      </c>
      <c r="T54" s="190">
        <v>73</v>
      </c>
      <c r="U54" s="190">
        <v>0</v>
      </c>
      <c r="V54" s="190">
        <v>63</v>
      </c>
      <c r="W54" s="190">
        <v>63</v>
      </c>
      <c r="X54" s="190">
        <v>13</v>
      </c>
      <c r="Y54" s="190">
        <v>1298</v>
      </c>
      <c r="Z54" s="190">
        <v>1311</v>
      </c>
      <c r="AA54" s="190">
        <v>4</v>
      </c>
      <c r="AB54" s="190">
        <v>319</v>
      </c>
      <c r="AC54" s="190">
        <v>323</v>
      </c>
      <c r="AD54" s="190">
        <v>4</v>
      </c>
      <c r="AE54" s="190">
        <v>246</v>
      </c>
      <c r="AF54" s="190">
        <v>250</v>
      </c>
      <c r="AG54" s="190">
        <v>0</v>
      </c>
      <c r="AH54" s="190">
        <v>52</v>
      </c>
      <c r="AI54" s="190">
        <v>52</v>
      </c>
      <c r="AJ54" s="190">
        <v>0</v>
      </c>
      <c r="AK54" s="190">
        <v>21</v>
      </c>
      <c r="AL54" s="190">
        <v>21</v>
      </c>
      <c r="AM54" s="190">
        <v>9</v>
      </c>
      <c r="AN54" s="190">
        <v>979</v>
      </c>
      <c r="AO54" s="190">
        <v>988</v>
      </c>
      <c r="AP54" s="190">
        <v>1374</v>
      </c>
      <c r="AQ54" s="190">
        <v>15824</v>
      </c>
      <c r="AR54" s="190">
        <v>17198</v>
      </c>
      <c r="AS54" s="190">
        <v>1362</v>
      </c>
      <c r="AT54" s="190">
        <v>15703</v>
      </c>
      <c r="AU54" s="190">
        <v>17065</v>
      </c>
      <c r="AV54" s="190">
        <v>12</v>
      </c>
      <c r="AW54" s="190">
        <v>121</v>
      </c>
      <c r="AX54" s="190">
        <v>133</v>
      </c>
      <c r="AY54" s="190">
        <v>53</v>
      </c>
      <c r="AZ54" s="190">
        <v>1406</v>
      </c>
      <c r="BA54" s="190">
        <v>1459</v>
      </c>
      <c r="BB54" s="190">
        <v>48</v>
      </c>
      <c r="BC54" s="190">
        <v>0</v>
      </c>
      <c r="BD54" s="190">
        <v>0</v>
      </c>
      <c r="BE54" s="190">
        <v>789</v>
      </c>
      <c r="BF54" s="190">
        <v>9</v>
      </c>
      <c r="BG54" s="190">
        <v>6</v>
      </c>
      <c r="BH54" s="190">
        <v>48</v>
      </c>
      <c r="BI54" s="190">
        <v>804</v>
      </c>
      <c r="BJ54" s="190">
        <v>852</v>
      </c>
      <c r="BK54" s="190">
        <v>-34</v>
      </c>
      <c r="BL54" s="190">
        <v>34</v>
      </c>
      <c r="BM54" s="190">
        <v>0</v>
      </c>
      <c r="BN54" s="190">
        <v>1</v>
      </c>
      <c r="BO54" s="190">
        <v>17</v>
      </c>
      <c r="BP54" s="190">
        <v>18</v>
      </c>
      <c r="BQ54" s="190">
        <v>13</v>
      </c>
      <c r="BR54" s="190">
        <v>193</v>
      </c>
      <c r="BS54" s="190">
        <v>206</v>
      </c>
      <c r="BT54" s="190">
        <v>25</v>
      </c>
      <c r="BU54" s="190">
        <v>358</v>
      </c>
      <c r="BV54" s="190">
        <v>383</v>
      </c>
      <c r="BW54" s="190">
        <v>1427</v>
      </c>
      <c r="BX54" s="190">
        <v>17230</v>
      </c>
      <c r="BY54" s="190">
        <v>18657</v>
      </c>
      <c r="BZ54" s="190">
        <v>1394</v>
      </c>
      <c r="CA54" s="190">
        <v>16936</v>
      </c>
      <c r="CB54" s="190">
        <v>18330</v>
      </c>
      <c r="CC54" s="190">
        <v>33260</v>
      </c>
      <c r="CD54" s="190">
        <v>26</v>
      </c>
      <c r="CE54" s="190">
        <v>301</v>
      </c>
      <c r="CF54" s="190">
        <v>31</v>
      </c>
      <c r="CG54" s="190">
        <v>229</v>
      </c>
      <c r="CH54" s="190">
        <v>260</v>
      </c>
      <c r="CI54" s="190">
        <v>82</v>
      </c>
      <c r="CJ54" s="190">
        <v>4</v>
      </c>
      <c r="CK54" s="190">
        <v>2</v>
      </c>
      <c r="CL54" s="190">
        <v>65</v>
      </c>
      <c r="CM54" s="190">
        <v>67</v>
      </c>
      <c r="CN54" s="190">
        <v>75</v>
      </c>
      <c r="CO54" s="190">
        <v>1723</v>
      </c>
      <c r="CP54" s="190">
        <v>1798</v>
      </c>
      <c r="CQ54" s="190">
        <v>0</v>
      </c>
      <c r="CR54" s="190">
        <v>0</v>
      </c>
      <c r="CS54" s="190">
        <v>0</v>
      </c>
      <c r="CT54" s="190">
        <v>1352</v>
      </c>
      <c r="CU54" s="190">
        <v>15507</v>
      </c>
      <c r="CV54" s="190">
        <v>16859</v>
      </c>
      <c r="CW54" s="190">
        <v>102</v>
      </c>
      <c r="CX54" s="190">
        <v>724</v>
      </c>
      <c r="CY54" s="190">
        <v>826</v>
      </c>
      <c r="CZ54" s="190">
        <v>98</v>
      </c>
      <c r="DA54" s="190">
        <v>2</v>
      </c>
      <c r="DB54" s="190">
        <v>0</v>
      </c>
      <c r="DC54" s="190">
        <v>664</v>
      </c>
      <c r="DD54" s="190">
        <v>9</v>
      </c>
      <c r="DE54" s="190">
        <v>2</v>
      </c>
      <c r="DF54" s="190">
        <v>100</v>
      </c>
      <c r="DG54" s="190">
        <v>675</v>
      </c>
      <c r="DH54" s="190">
        <v>775</v>
      </c>
      <c r="DI54" s="190">
        <v>2</v>
      </c>
      <c r="DJ54" s="190">
        <v>0</v>
      </c>
      <c r="DK54" s="190">
        <v>0</v>
      </c>
      <c r="DL54" s="190">
        <v>48</v>
      </c>
      <c r="DM54" s="190">
        <v>1</v>
      </c>
      <c r="DN54" s="190">
        <v>0</v>
      </c>
      <c r="DO54" s="190">
        <v>2</v>
      </c>
      <c r="DP54" s="190">
        <v>49</v>
      </c>
      <c r="DQ54" s="190">
        <v>51</v>
      </c>
      <c r="DR54" s="190">
        <v>0</v>
      </c>
      <c r="DS54" s="190">
        <v>0</v>
      </c>
      <c r="DT54" s="191">
        <v>0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3085</v>
      </c>
      <c r="C55" s="190">
        <v>740</v>
      </c>
      <c r="D55" s="190">
        <v>3189</v>
      </c>
      <c r="E55" s="190">
        <v>2052</v>
      </c>
      <c r="F55" s="190">
        <v>4</v>
      </c>
      <c r="G55" s="190">
        <v>57</v>
      </c>
      <c r="H55" s="190">
        <v>61</v>
      </c>
      <c r="I55" s="190">
        <v>0</v>
      </c>
      <c r="J55" s="190">
        <v>956</v>
      </c>
      <c r="K55" s="190">
        <v>956</v>
      </c>
      <c r="L55" s="190">
        <v>0</v>
      </c>
      <c r="M55" s="190">
        <v>547</v>
      </c>
      <c r="N55" s="190">
        <v>547</v>
      </c>
      <c r="O55" s="190">
        <v>0</v>
      </c>
      <c r="P55" s="190">
        <v>409</v>
      </c>
      <c r="Q55" s="190">
        <v>409</v>
      </c>
      <c r="R55" s="190">
        <v>0</v>
      </c>
      <c r="S55" s="190">
        <v>17</v>
      </c>
      <c r="T55" s="190">
        <v>17</v>
      </c>
      <c r="U55" s="190">
        <v>0</v>
      </c>
      <c r="V55" s="190">
        <v>181</v>
      </c>
      <c r="W55" s="190">
        <v>181</v>
      </c>
      <c r="X55" s="190">
        <v>105</v>
      </c>
      <c r="Y55" s="190">
        <v>3083</v>
      </c>
      <c r="Z55" s="190">
        <v>3188</v>
      </c>
      <c r="AA55" s="190">
        <v>54</v>
      </c>
      <c r="AB55" s="190">
        <v>1267</v>
      </c>
      <c r="AC55" s="190">
        <v>1321</v>
      </c>
      <c r="AD55" s="190">
        <v>44</v>
      </c>
      <c r="AE55" s="190">
        <v>1166</v>
      </c>
      <c r="AF55" s="190">
        <v>1210</v>
      </c>
      <c r="AG55" s="190">
        <v>5</v>
      </c>
      <c r="AH55" s="190">
        <v>55</v>
      </c>
      <c r="AI55" s="190">
        <v>60</v>
      </c>
      <c r="AJ55" s="190">
        <v>5</v>
      </c>
      <c r="AK55" s="190">
        <v>46</v>
      </c>
      <c r="AL55" s="190">
        <v>51</v>
      </c>
      <c r="AM55" s="190">
        <v>51</v>
      </c>
      <c r="AN55" s="190">
        <v>1816</v>
      </c>
      <c r="AO55" s="190">
        <v>1867</v>
      </c>
      <c r="AP55" s="190">
        <v>5193</v>
      </c>
      <c r="AQ55" s="190">
        <v>33439</v>
      </c>
      <c r="AR55" s="190">
        <v>38632</v>
      </c>
      <c r="AS55" s="190">
        <v>5194</v>
      </c>
      <c r="AT55" s="190">
        <v>33440</v>
      </c>
      <c r="AU55" s="190">
        <v>38634</v>
      </c>
      <c r="AV55" s="190">
        <v>-1</v>
      </c>
      <c r="AW55" s="190">
        <v>-1</v>
      </c>
      <c r="AX55" s="190">
        <v>-2</v>
      </c>
      <c r="AY55" s="190">
        <v>379</v>
      </c>
      <c r="AZ55" s="190">
        <v>3187</v>
      </c>
      <c r="BA55" s="190">
        <v>3566</v>
      </c>
      <c r="BB55" s="190">
        <v>121</v>
      </c>
      <c r="BC55" s="190">
        <v>0</v>
      </c>
      <c r="BD55" s="190">
        <v>0</v>
      </c>
      <c r="BE55" s="190">
        <v>1922</v>
      </c>
      <c r="BF55" s="190">
        <v>8</v>
      </c>
      <c r="BG55" s="190">
        <v>1</v>
      </c>
      <c r="BH55" s="190">
        <v>121</v>
      </c>
      <c r="BI55" s="190">
        <v>1931</v>
      </c>
      <c r="BJ55" s="190">
        <v>2052</v>
      </c>
      <c r="BK55" s="190">
        <v>-17</v>
      </c>
      <c r="BL55" s="190">
        <v>17</v>
      </c>
      <c r="BM55" s="190">
        <v>0</v>
      </c>
      <c r="BN55" s="190">
        <v>31</v>
      </c>
      <c r="BO55" s="190">
        <v>82</v>
      </c>
      <c r="BP55" s="190">
        <v>113</v>
      </c>
      <c r="BQ55" s="190">
        <v>62</v>
      </c>
      <c r="BR55" s="190">
        <v>438</v>
      </c>
      <c r="BS55" s="190">
        <v>500</v>
      </c>
      <c r="BT55" s="190">
        <v>182</v>
      </c>
      <c r="BU55" s="190">
        <v>719</v>
      </c>
      <c r="BV55" s="190">
        <v>901</v>
      </c>
      <c r="BW55" s="190">
        <v>5572</v>
      </c>
      <c r="BX55" s="190">
        <v>36626</v>
      </c>
      <c r="BY55" s="190">
        <v>42198</v>
      </c>
      <c r="BZ55" s="190">
        <v>5539</v>
      </c>
      <c r="CA55" s="190">
        <v>36414</v>
      </c>
      <c r="CB55" s="190">
        <v>41953</v>
      </c>
      <c r="CC55" s="190">
        <v>87924</v>
      </c>
      <c r="CD55" s="190">
        <v>17</v>
      </c>
      <c r="CE55" s="190">
        <v>238</v>
      </c>
      <c r="CF55" s="190">
        <v>32</v>
      </c>
      <c r="CG55" s="190">
        <v>182</v>
      </c>
      <c r="CH55" s="190">
        <v>214</v>
      </c>
      <c r="CI55" s="190">
        <v>34</v>
      </c>
      <c r="CJ55" s="190">
        <v>5</v>
      </c>
      <c r="CK55" s="190">
        <v>1</v>
      </c>
      <c r="CL55" s="190">
        <v>30</v>
      </c>
      <c r="CM55" s="190">
        <v>31</v>
      </c>
      <c r="CN55" s="190">
        <v>329</v>
      </c>
      <c r="CO55" s="190">
        <v>3400</v>
      </c>
      <c r="CP55" s="190">
        <v>3729</v>
      </c>
      <c r="CQ55" s="190">
        <v>0</v>
      </c>
      <c r="CR55" s="190">
        <v>1</v>
      </c>
      <c r="CS55" s="190">
        <v>1</v>
      </c>
      <c r="CT55" s="190">
        <v>5243</v>
      </c>
      <c r="CU55" s="190">
        <v>33226</v>
      </c>
      <c r="CV55" s="190">
        <v>38469</v>
      </c>
      <c r="CW55" s="190">
        <v>423</v>
      </c>
      <c r="CX55" s="190">
        <v>1489</v>
      </c>
      <c r="CY55" s="190">
        <v>1912</v>
      </c>
      <c r="CZ55" s="190">
        <v>419</v>
      </c>
      <c r="DA55" s="190">
        <v>2</v>
      </c>
      <c r="DB55" s="190">
        <v>0</v>
      </c>
      <c r="DC55" s="190">
        <v>1465</v>
      </c>
      <c r="DD55" s="190">
        <v>8</v>
      </c>
      <c r="DE55" s="190">
        <v>0</v>
      </c>
      <c r="DF55" s="190">
        <v>421</v>
      </c>
      <c r="DG55" s="190">
        <v>1473</v>
      </c>
      <c r="DH55" s="190">
        <v>1894</v>
      </c>
      <c r="DI55" s="190">
        <v>2</v>
      </c>
      <c r="DJ55" s="190">
        <v>0</v>
      </c>
      <c r="DK55" s="190">
        <v>0</v>
      </c>
      <c r="DL55" s="190">
        <v>16</v>
      </c>
      <c r="DM55" s="190">
        <v>0</v>
      </c>
      <c r="DN55" s="190">
        <v>0</v>
      </c>
      <c r="DO55" s="190">
        <v>2</v>
      </c>
      <c r="DP55" s="190">
        <v>16</v>
      </c>
      <c r="DQ55" s="190">
        <v>18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419</v>
      </c>
      <c r="C56" s="190">
        <v>110</v>
      </c>
      <c r="D56" s="190">
        <v>445</v>
      </c>
      <c r="E56" s="190">
        <v>234</v>
      </c>
      <c r="F56" s="190">
        <v>0</v>
      </c>
      <c r="G56" s="190">
        <v>8</v>
      </c>
      <c r="H56" s="190">
        <v>8</v>
      </c>
      <c r="I56" s="190">
        <v>0</v>
      </c>
      <c r="J56" s="190">
        <v>186</v>
      </c>
      <c r="K56" s="190">
        <v>186</v>
      </c>
      <c r="L56" s="190">
        <v>0</v>
      </c>
      <c r="M56" s="190">
        <v>68</v>
      </c>
      <c r="N56" s="190">
        <v>68</v>
      </c>
      <c r="O56" s="190">
        <v>0</v>
      </c>
      <c r="P56" s="190">
        <v>118</v>
      </c>
      <c r="Q56" s="190">
        <v>118</v>
      </c>
      <c r="R56" s="190">
        <v>0</v>
      </c>
      <c r="S56" s="190">
        <v>1</v>
      </c>
      <c r="T56" s="190">
        <v>1</v>
      </c>
      <c r="U56" s="190">
        <v>0</v>
      </c>
      <c r="V56" s="190">
        <v>25</v>
      </c>
      <c r="W56" s="190">
        <v>25</v>
      </c>
      <c r="X56" s="190">
        <v>8</v>
      </c>
      <c r="Y56" s="190">
        <v>437</v>
      </c>
      <c r="Z56" s="190">
        <v>445</v>
      </c>
      <c r="AA56" s="190">
        <v>8</v>
      </c>
      <c r="AB56" s="190">
        <v>162</v>
      </c>
      <c r="AC56" s="190">
        <v>170</v>
      </c>
      <c r="AD56" s="190">
        <v>6</v>
      </c>
      <c r="AE56" s="190">
        <v>148</v>
      </c>
      <c r="AF56" s="190">
        <v>154</v>
      </c>
      <c r="AG56" s="190">
        <v>0</v>
      </c>
      <c r="AH56" s="190">
        <v>8</v>
      </c>
      <c r="AI56" s="190">
        <v>8</v>
      </c>
      <c r="AJ56" s="190">
        <v>2</v>
      </c>
      <c r="AK56" s="190">
        <v>6</v>
      </c>
      <c r="AL56" s="190">
        <v>8</v>
      </c>
      <c r="AM56" s="190">
        <v>0</v>
      </c>
      <c r="AN56" s="190">
        <v>275</v>
      </c>
      <c r="AO56" s="190">
        <v>275</v>
      </c>
      <c r="AP56" s="190">
        <v>631</v>
      </c>
      <c r="AQ56" s="190">
        <v>4592</v>
      </c>
      <c r="AR56" s="190">
        <v>5223</v>
      </c>
      <c r="AS56" s="190">
        <v>631</v>
      </c>
      <c r="AT56" s="190">
        <v>4592</v>
      </c>
      <c r="AU56" s="190">
        <v>5223</v>
      </c>
      <c r="AV56" s="190">
        <v>0</v>
      </c>
      <c r="AW56" s="190">
        <v>0</v>
      </c>
      <c r="AX56" s="190">
        <v>0</v>
      </c>
      <c r="AY56" s="190">
        <v>33</v>
      </c>
      <c r="AZ56" s="190">
        <v>434</v>
      </c>
      <c r="BA56" s="190">
        <v>467</v>
      </c>
      <c r="BB56" s="190">
        <v>9</v>
      </c>
      <c r="BC56" s="190">
        <v>0</v>
      </c>
      <c r="BD56" s="190">
        <v>0</v>
      </c>
      <c r="BE56" s="190">
        <v>224</v>
      </c>
      <c r="BF56" s="190">
        <v>1</v>
      </c>
      <c r="BG56" s="190">
        <v>0</v>
      </c>
      <c r="BH56" s="190">
        <v>9</v>
      </c>
      <c r="BI56" s="190">
        <v>225</v>
      </c>
      <c r="BJ56" s="190">
        <v>234</v>
      </c>
      <c r="BK56" s="190">
        <v>9</v>
      </c>
      <c r="BL56" s="190">
        <v>-9</v>
      </c>
      <c r="BM56" s="190">
        <v>0</v>
      </c>
      <c r="BN56" s="190">
        <v>2</v>
      </c>
      <c r="BO56" s="190">
        <v>20</v>
      </c>
      <c r="BP56" s="190">
        <v>22</v>
      </c>
      <c r="BQ56" s="190">
        <v>0</v>
      </c>
      <c r="BR56" s="190">
        <v>63</v>
      </c>
      <c r="BS56" s="190">
        <v>63</v>
      </c>
      <c r="BT56" s="190">
        <v>13</v>
      </c>
      <c r="BU56" s="190">
        <v>135</v>
      </c>
      <c r="BV56" s="190">
        <v>148</v>
      </c>
      <c r="BW56" s="190">
        <v>664</v>
      </c>
      <c r="BX56" s="190">
        <v>5026</v>
      </c>
      <c r="BY56" s="190">
        <v>5690</v>
      </c>
      <c r="BZ56" s="190">
        <v>649</v>
      </c>
      <c r="CA56" s="190">
        <v>4963</v>
      </c>
      <c r="CB56" s="190">
        <v>5612</v>
      </c>
      <c r="CC56" s="190">
        <v>12910</v>
      </c>
      <c r="CD56" s="190">
        <v>8</v>
      </c>
      <c r="CE56" s="190">
        <v>72</v>
      </c>
      <c r="CF56" s="190">
        <v>15</v>
      </c>
      <c r="CG56" s="190">
        <v>52</v>
      </c>
      <c r="CH56" s="190">
        <v>67</v>
      </c>
      <c r="CI56" s="190">
        <v>11</v>
      </c>
      <c r="CJ56" s="190">
        <v>3</v>
      </c>
      <c r="CK56" s="190">
        <v>0</v>
      </c>
      <c r="CL56" s="190">
        <v>11</v>
      </c>
      <c r="CM56" s="190">
        <v>11</v>
      </c>
      <c r="CN56" s="190">
        <v>45</v>
      </c>
      <c r="CO56" s="190">
        <v>508</v>
      </c>
      <c r="CP56" s="190">
        <v>553</v>
      </c>
      <c r="CQ56" s="190">
        <v>0</v>
      </c>
      <c r="CR56" s="190">
        <v>0</v>
      </c>
      <c r="CS56" s="190">
        <v>0</v>
      </c>
      <c r="CT56" s="190">
        <v>619</v>
      </c>
      <c r="CU56" s="190">
        <v>4518</v>
      </c>
      <c r="CV56" s="190">
        <v>5137</v>
      </c>
      <c r="CW56" s="190">
        <v>48</v>
      </c>
      <c r="CX56" s="190">
        <v>247</v>
      </c>
      <c r="CY56" s="190">
        <v>295</v>
      </c>
      <c r="CZ56" s="190">
        <v>47</v>
      </c>
      <c r="DA56" s="190">
        <v>1</v>
      </c>
      <c r="DB56" s="190">
        <v>0</v>
      </c>
      <c r="DC56" s="190">
        <v>240</v>
      </c>
      <c r="DD56" s="190">
        <v>3</v>
      </c>
      <c r="DE56" s="190">
        <v>0</v>
      </c>
      <c r="DF56" s="190">
        <v>48</v>
      </c>
      <c r="DG56" s="190">
        <v>243</v>
      </c>
      <c r="DH56" s="190">
        <v>291</v>
      </c>
      <c r="DI56" s="190">
        <v>0</v>
      </c>
      <c r="DJ56" s="190">
        <v>0</v>
      </c>
      <c r="DK56" s="190">
        <v>0</v>
      </c>
      <c r="DL56" s="190">
        <v>4</v>
      </c>
      <c r="DM56" s="190">
        <v>0</v>
      </c>
      <c r="DN56" s="190">
        <v>0</v>
      </c>
      <c r="DO56" s="190">
        <v>0</v>
      </c>
      <c r="DP56" s="190">
        <v>4</v>
      </c>
      <c r="DQ56" s="190">
        <v>4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371</v>
      </c>
      <c r="C57" s="190">
        <v>47</v>
      </c>
      <c r="D57" s="190">
        <v>354</v>
      </c>
      <c r="E57" s="190">
        <v>193</v>
      </c>
      <c r="F57" s="190">
        <v>1</v>
      </c>
      <c r="G57" s="190">
        <v>7</v>
      </c>
      <c r="H57" s="190">
        <v>8</v>
      </c>
      <c r="I57" s="190">
        <v>0</v>
      </c>
      <c r="J57" s="190">
        <v>127</v>
      </c>
      <c r="K57" s="190">
        <v>127</v>
      </c>
      <c r="L57" s="190">
        <v>0</v>
      </c>
      <c r="M57" s="190">
        <v>27</v>
      </c>
      <c r="N57" s="190">
        <v>27</v>
      </c>
      <c r="O57" s="190">
        <v>0</v>
      </c>
      <c r="P57" s="190">
        <v>100</v>
      </c>
      <c r="Q57" s="190">
        <v>100</v>
      </c>
      <c r="R57" s="190">
        <v>0</v>
      </c>
      <c r="S57" s="190">
        <v>1</v>
      </c>
      <c r="T57" s="190">
        <v>1</v>
      </c>
      <c r="U57" s="190">
        <v>0</v>
      </c>
      <c r="V57" s="190">
        <v>34</v>
      </c>
      <c r="W57" s="190">
        <v>34</v>
      </c>
      <c r="X57" s="190">
        <v>6</v>
      </c>
      <c r="Y57" s="190">
        <v>347</v>
      </c>
      <c r="Z57" s="190">
        <v>353</v>
      </c>
      <c r="AA57" s="190">
        <v>5</v>
      </c>
      <c r="AB57" s="190">
        <v>131</v>
      </c>
      <c r="AC57" s="190">
        <v>136</v>
      </c>
      <c r="AD57" s="190">
        <v>5</v>
      </c>
      <c r="AE57" s="190">
        <v>123</v>
      </c>
      <c r="AF57" s="190">
        <v>128</v>
      </c>
      <c r="AG57" s="190">
        <v>0</v>
      </c>
      <c r="AH57" s="190">
        <v>2</v>
      </c>
      <c r="AI57" s="190">
        <v>2</v>
      </c>
      <c r="AJ57" s="190">
        <v>0</v>
      </c>
      <c r="AK57" s="190">
        <v>6</v>
      </c>
      <c r="AL57" s="190">
        <v>6</v>
      </c>
      <c r="AM57" s="190">
        <v>1</v>
      </c>
      <c r="AN57" s="190">
        <v>216</v>
      </c>
      <c r="AO57" s="190">
        <v>217</v>
      </c>
      <c r="AP57" s="190">
        <v>521</v>
      </c>
      <c r="AQ57" s="190">
        <v>3705</v>
      </c>
      <c r="AR57" s="190">
        <v>4226</v>
      </c>
      <c r="AS57" s="190">
        <v>521</v>
      </c>
      <c r="AT57" s="190">
        <v>3705</v>
      </c>
      <c r="AU57" s="190">
        <v>4226</v>
      </c>
      <c r="AV57" s="190">
        <v>0</v>
      </c>
      <c r="AW57" s="190">
        <v>0</v>
      </c>
      <c r="AX57" s="190">
        <v>0</v>
      </c>
      <c r="AY57" s="190">
        <v>-3</v>
      </c>
      <c r="AZ57" s="190">
        <v>350</v>
      </c>
      <c r="BA57" s="190">
        <v>347</v>
      </c>
      <c r="BB57" s="190">
        <v>7</v>
      </c>
      <c r="BC57" s="190">
        <v>0</v>
      </c>
      <c r="BD57" s="190">
        <v>0</v>
      </c>
      <c r="BE57" s="190">
        <v>183</v>
      </c>
      <c r="BF57" s="190">
        <v>3</v>
      </c>
      <c r="BG57" s="190">
        <v>0</v>
      </c>
      <c r="BH57" s="190">
        <v>7</v>
      </c>
      <c r="BI57" s="190">
        <v>186</v>
      </c>
      <c r="BJ57" s="190">
        <v>193</v>
      </c>
      <c r="BK57" s="190">
        <v>-20</v>
      </c>
      <c r="BL57" s="190">
        <v>20</v>
      </c>
      <c r="BM57" s="190">
        <v>0</v>
      </c>
      <c r="BN57" s="190">
        <v>4</v>
      </c>
      <c r="BO57" s="190">
        <v>26</v>
      </c>
      <c r="BP57" s="190">
        <v>30</v>
      </c>
      <c r="BQ57" s="190">
        <v>0</v>
      </c>
      <c r="BR57" s="190">
        <v>34</v>
      </c>
      <c r="BS57" s="190">
        <v>34</v>
      </c>
      <c r="BT57" s="190">
        <v>6</v>
      </c>
      <c r="BU57" s="190">
        <v>84</v>
      </c>
      <c r="BV57" s="190">
        <v>90</v>
      </c>
      <c r="BW57" s="190">
        <v>518</v>
      </c>
      <c r="BX57" s="190">
        <v>4055</v>
      </c>
      <c r="BY57" s="190">
        <v>4573</v>
      </c>
      <c r="BZ57" s="190">
        <v>516</v>
      </c>
      <c r="CA57" s="190">
        <v>4015</v>
      </c>
      <c r="CB57" s="190">
        <v>4531</v>
      </c>
      <c r="CC57" s="190">
        <v>9872</v>
      </c>
      <c r="CD57" s="190">
        <v>0</v>
      </c>
      <c r="CE57" s="190">
        <v>52</v>
      </c>
      <c r="CF57" s="190">
        <v>2</v>
      </c>
      <c r="CG57" s="190">
        <v>38</v>
      </c>
      <c r="CH57" s="190">
        <v>40</v>
      </c>
      <c r="CI57" s="190">
        <v>2</v>
      </c>
      <c r="CJ57" s="190">
        <v>0</v>
      </c>
      <c r="CK57" s="190">
        <v>0</v>
      </c>
      <c r="CL57" s="190">
        <v>2</v>
      </c>
      <c r="CM57" s="190">
        <v>2</v>
      </c>
      <c r="CN57" s="190">
        <v>28</v>
      </c>
      <c r="CO57" s="190">
        <v>345</v>
      </c>
      <c r="CP57" s="190">
        <v>373</v>
      </c>
      <c r="CQ57" s="190">
        <v>0</v>
      </c>
      <c r="CR57" s="190">
        <v>0</v>
      </c>
      <c r="CS57" s="190">
        <v>0</v>
      </c>
      <c r="CT57" s="190">
        <v>490</v>
      </c>
      <c r="CU57" s="190">
        <v>3710</v>
      </c>
      <c r="CV57" s="190">
        <v>4200</v>
      </c>
      <c r="CW57" s="190">
        <v>25</v>
      </c>
      <c r="CX57" s="190">
        <v>142</v>
      </c>
      <c r="CY57" s="190">
        <v>167</v>
      </c>
      <c r="CZ57" s="190">
        <v>24</v>
      </c>
      <c r="DA57" s="190">
        <v>0</v>
      </c>
      <c r="DB57" s="190">
        <v>0</v>
      </c>
      <c r="DC57" s="190">
        <v>138</v>
      </c>
      <c r="DD57" s="190">
        <v>3</v>
      </c>
      <c r="DE57" s="190">
        <v>0</v>
      </c>
      <c r="DF57" s="190">
        <v>24</v>
      </c>
      <c r="DG57" s="190">
        <v>141</v>
      </c>
      <c r="DH57" s="190">
        <v>165</v>
      </c>
      <c r="DI57" s="190">
        <v>1</v>
      </c>
      <c r="DJ57" s="190">
        <v>0</v>
      </c>
      <c r="DK57" s="190">
        <v>0</v>
      </c>
      <c r="DL57" s="190">
        <v>1</v>
      </c>
      <c r="DM57" s="190">
        <v>0</v>
      </c>
      <c r="DN57" s="190">
        <v>0</v>
      </c>
      <c r="DO57" s="190">
        <v>1</v>
      </c>
      <c r="DP57" s="190">
        <v>1</v>
      </c>
      <c r="DQ57" s="190">
        <v>2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114</v>
      </c>
      <c r="C58" s="190">
        <v>8</v>
      </c>
      <c r="D58" s="190">
        <v>129</v>
      </c>
      <c r="E58" s="190">
        <v>75</v>
      </c>
      <c r="F58" s="190">
        <v>0</v>
      </c>
      <c r="G58" s="190">
        <v>7</v>
      </c>
      <c r="H58" s="190">
        <v>7</v>
      </c>
      <c r="I58" s="190">
        <v>0</v>
      </c>
      <c r="J58" s="190">
        <v>52</v>
      </c>
      <c r="K58" s="190">
        <v>52</v>
      </c>
      <c r="L58" s="190">
        <v>0</v>
      </c>
      <c r="M58" s="190">
        <v>9</v>
      </c>
      <c r="N58" s="190">
        <v>9</v>
      </c>
      <c r="O58" s="190">
        <v>0</v>
      </c>
      <c r="P58" s="190">
        <v>43</v>
      </c>
      <c r="Q58" s="190">
        <v>43</v>
      </c>
      <c r="R58" s="190">
        <v>0</v>
      </c>
      <c r="S58" s="190">
        <v>1</v>
      </c>
      <c r="T58" s="190">
        <v>1</v>
      </c>
      <c r="U58" s="190">
        <v>0</v>
      </c>
      <c r="V58" s="190">
        <v>2</v>
      </c>
      <c r="W58" s="190">
        <v>2</v>
      </c>
      <c r="X58" s="190">
        <v>2</v>
      </c>
      <c r="Y58" s="190">
        <v>127</v>
      </c>
      <c r="Z58" s="190">
        <v>129</v>
      </c>
      <c r="AA58" s="190">
        <v>2</v>
      </c>
      <c r="AB58" s="190">
        <v>60</v>
      </c>
      <c r="AC58" s="190">
        <v>62</v>
      </c>
      <c r="AD58" s="190">
        <v>1</v>
      </c>
      <c r="AE58" s="190">
        <v>28</v>
      </c>
      <c r="AF58" s="190">
        <v>29</v>
      </c>
      <c r="AG58" s="190">
        <v>0</v>
      </c>
      <c r="AH58" s="190">
        <v>5</v>
      </c>
      <c r="AI58" s="190">
        <v>5</v>
      </c>
      <c r="AJ58" s="190">
        <v>1</v>
      </c>
      <c r="AK58" s="190">
        <v>27</v>
      </c>
      <c r="AL58" s="190">
        <v>28</v>
      </c>
      <c r="AM58" s="190">
        <v>0</v>
      </c>
      <c r="AN58" s="190">
        <v>67</v>
      </c>
      <c r="AO58" s="190">
        <v>67</v>
      </c>
      <c r="AP58" s="190">
        <v>53</v>
      </c>
      <c r="AQ58" s="190">
        <v>852</v>
      </c>
      <c r="AR58" s="190">
        <v>905</v>
      </c>
      <c r="AS58" s="190">
        <v>53</v>
      </c>
      <c r="AT58" s="190">
        <v>852</v>
      </c>
      <c r="AU58" s="190">
        <v>905</v>
      </c>
      <c r="AV58" s="190">
        <v>0</v>
      </c>
      <c r="AW58" s="190">
        <v>0</v>
      </c>
      <c r="AX58" s="190">
        <v>0</v>
      </c>
      <c r="AY58" s="190">
        <v>6</v>
      </c>
      <c r="AZ58" s="190">
        <v>125</v>
      </c>
      <c r="BA58" s="190">
        <v>131</v>
      </c>
      <c r="BB58" s="190">
        <v>2</v>
      </c>
      <c r="BC58" s="190">
        <v>0</v>
      </c>
      <c r="BD58" s="190">
        <v>0</v>
      </c>
      <c r="BE58" s="190">
        <v>72</v>
      </c>
      <c r="BF58" s="190">
        <v>1</v>
      </c>
      <c r="BG58" s="190">
        <v>0</v>
      </c>
      <c r="BH58" s="190">
        <v>2</v>
      </c>
      <c r="BI58" s="190">
        <v>73</v>
      </c>
      <c r="BJ58" s="190">
        <v>75</v>
      </c>
      <c r="BK58" s="190">
        <v>0</v>
      </c>
      <c r="BL58" s="190">
        <v>0</v>
      </c>
      <c r="BM58" s="190">
        <v>0</v>
      </c>
      <c r="BN58" s="190">
        <v>3</v>
      </c>
      <c r="BO58" s="190">
        <v>4</v>
      </c>
      <c r="BP58" s="190">
        <v>7</v>
      </c>
      <c r="BQ58" s="190">
        <v>0</v>
      </c>
      <c r="BR58" s="190">
        <v>19</v>
      </c>
      <c r="BS58" s="190">
        <v>19</v>
      </c>
      <c r="BT58" s="190">
        <v>1</v>
      </c>
      <c r="BU58" s="190">
        <v>29</v>
      </c>
      <c r="BV58" s="190">
        <v>30</v>
      </c>
      <c r="BW58" s="190">
        <v>59</v>
      </c>
      <c r="BX58" s="190">
        <v>977</v>
      </c>
      <c r="BY58" s="190">
        <v>1036</v>
      </c>
      <c r="BZ58" s="190">
        <v>59</v>
      </c>
      <c r="CA58" s="190">
        <v>976</v>
      </c>
      <c r="CB58" s="190">
        <v>1035</v>
      </c>
      <c r="CC58" s="190">
        <v>1810</v>
      </c>
      <c r="CD58" s="190">
        <v>0</v>
      </c>
      <c r="CE58" s="190">
        <v>1</v>
      </c>
      <c r="CF58" s="190">
        <v>0</v>
      </c>
      <c r="CG58" s="190">
        <v>1</v>
      </c>
      <c r="CH58" s="190">
        <v>1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10</v>
      </c>
      <c r="CO58" s="190">
        <v>100</v>
      </c>
      <c r="CP58" s="190">
        <v>110</v>
      </c>
      <c r="CQ58" s="190">
        <v>0</v>
      </c>
      <c r="CR58" s="190">
        <v>0</v>
      </c>
      <c r="CS58" s="190">
        <v>0</v>
      </c>
      <c r="CT58" s="190">
        <v>49</v>
      </c>
      <c r="CU58" s="190">
        <v>877</v>
      </c>
      <c r="CV58" s="190">
        <v>926</v>
      </c>
      <c r="CW58" s="190">
        <v>1</v>
      </c>
      <c r="CX58" s="190">
        <v>36</v>
      </c>
      <c r="CY58" s="190">
        <v>37</v>
      </c>
      <c r="CZ58" s="190">
        <v>1</v>
      </c>
      <c r="DA58" s="190">
        <v>0</v>
      </c>
      <c r="DB58" s="190">
        <v>0</v>
      </c>
      <c r="DC58" s="190">
        <v>35</v>
      </c>
      <c r="DD58" s="190">
        <v>0</v>
      </c>
      <c r="DE58" s="190">
        <v>0</v>
      </c>
      <c r="DF58" s="190">
        <v>1</v>
      </c>
      <c r="DG58" s="190">
        <v>35</v>
      </c>
      <c r="DH58" s="190">
        <v>36</v>
      </c>
      <c r="DI58" s="190">
        <v>0</v>
      </c>
      <c r="DJ58" s="190">
        <v>0</v>
      </c>
      <c r="DK58" s="190">
        <v>0</v>
      </c>
      <c r="DL58" s="190">
        <v>1</v>
      </c>
      <c r="DM58" s="190">
        <v>0</v>
      </c>
      <c r="DN58" s="190">
        <v>0</v>
      </c>
      <c r="DO58" s="190">
        <v>0</v>
      </c>
      <c r="DP58" s="190">
        <v>1</v>
      </c>
      <c r="DQ58" s="190">
        <v>1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2386</v>
      </c>
      <c r="C59" s="190">
        <v>317</v>
      </c>
      <c r="D59" s="190">
        <v>2434</v>
      </c>
      <c r="E59" s="190">
        <v>1833</v>
      </c>
      <c r="F59" s="190">
        <v>3</v>
      </c>
      <c r="G59" s="190">
        <v>68</v>
      </c>
      <c r="H59" s="190">
        <v>71</v>
      </c>
      <c r="I59" s="190">
        <v>0</v>
      </c>
      <c r="J59" s="190">
        <v>544</v>
      </c>
      <c r="K59" s="190">
        <v>544</v>
      </c>
      <c r="L59" s="190">
        <v>0</v>
      </c>
      <c r="M59" s="190">
        <v>544</v>
      </c>
      <c r="N59" s="190">
        <v>544</v>
      </c>
      <c r="O59" s="190">
        <v>0</v>
      </c>
      <c r="P59" s="190">
        <v>0</v>
      </c>
      <c r="Q59" s="190">
        <v>0</v>
      </c>
      <c r="R59" s="190">
        <v>0</v>
      </c>
      <c r="S59" s="190">
        <v>75</v>
      </c>
      <c r="T59" s="190">
        <v>75</v>
      </c>
      <c r="U59" s="190">
        <v>0</v>
      </c>
      <c r="V59" s="190">
        <v>57</v>
      </c>
      <c r="W59" s="190">
        <v>57</v>
      </c>
      <c r="X59" s="190">
        <v>92</v>
      </c>
      <c r="Y59" s="190">
        <v>2130</v>
      </c>
      <c r="Z59" s="190">
        <v>2222</v>
      </c>
      <c r="AA59" s="190">
        <v>51</v>
      </c>
      <c r="AB59" s="190">
        <v>1026</v>
      </c>
      <c r="AC59" s="190">
        <v>1077</v>
      </c>
      <c r="AD59" s="190">
        <v>39</v>
      </c>
      <c r="AE59" s="190">
        <v>944</v>
      </c>
      <c r="AF59" s="190">
        <v>983</v>
      </c>
      <c r="AG59" s="190">
        <v>11</v>
      </c>
      <c r="AH59" s="190">
        <v>72</v>
      </c>
      <c r="AI59" s="190">
        <v>83</v>
      </c>
      <c r="AJ59" s="190">
        <v>1</v>
      </c>
      <c r="AK59" s="190">
        <v>10</v>
      </c>
      <c r="AL59" s="190">
        <v>11</v>
      </c>
      <c r="AM59" s="190">
        <v>41</v>
      </c>
      <c r="AN59" s="190">
        <v>1104</v>
      </c>
      <c r="AO59" s="190">
        <v>1145</v>
      </c>
      <c r="AP59" s="190">
        <v>7456</v>
      </c>
      <c r="AQ59" s="190">
        <v>44090</v>
      </c>
      <c r="AR59" s="190">
        <v>51546</v>
      </c>
      <c r="AS59" s="190">
        <v>7399</v>
      </c>
      <c r="AT59" s="190">
        <v>44463</v>
      </c>
      <c r="AU59" s="190">
        <v>51862</v>
      </c>
      <c r="AV59" s="190">
        <v>57</v>
      </c>
      <c r="AW59" s="190">
        <v>-373</v>
      </c>
      <c r="AX59" s="190">
        <v>-316</v>
      </c>
      <c r="AY59" s="190">
        <v>56</v>
      </c>
      <c r="AZ59" s="190">
        <v>3115</v>
      </c>
      <c r="BA59" s="190">
        <v>3171</v>
      </c>
      <c r="BB59" s="190">
        <v>149</v>
      </c>
      <c r="BC59" s="190">
        <v>3</v>
      </c>
      <c r="BD59" s="190">
        <v>0</v>
      </c>
      <c r="BE59" s="190">
        <v>1648</v>
      </c>
      <c r="BF59" s="190">
        <v>26</v>
      </c>
      <c r="BG59" s="190">
        <v>7</v>
      </c>
      <c r="BH59" s="190">
        <v>152</v>
      </c>
      <c r="BI59" s="190">
        <v>1681</v>
      </c>
      <c r="BJ59" s="190">
        <v>1833</v>
      </c>
      <c r="BK59" s="190">
        <v>-162</v>
      </c>
      <c r="BL59" s="190">
        <v>162</v>
      </c>
      <c r="BM59" s="190">
        <v>0</v>
      </c>
      <c r="BN59" s="190">
        <v>6</v>
      </c>
      <c r="BO59" s="190">
        <v>35</v>
      </c>
      <c r="BP59" s="190">
        <v>41</v>
      </c>
      <c r="BQ59" s="190">
        <v>30</v>
      </c>
      <c r="BR59" s="190">
        <v>348</v>
      </c>
      <c r="BS59" s="190">
        <v>378</v>
      </c>
      <c r="BT59" s="190">
        <v>30</v>
      </c>
      <c r="BU59" s="190">
        <v>889</v>
      </c>
      <c r="BV59" s="190">
        <v>919</v>
      </c>
      <c r="BW59" s="190">
        <v>7512</v>
      </c>
      <c r="BX59" s="190">
        <v>47205</v>
      </c>
      <c r="BY59" s="190">
        <v>54717</v>
      </c>
      <c r="BZ59" s="190">
        <v>7462</v>
      </c>
      <c r="CA59" s="190">
        <v>46240</v>
      </c>
      <c r="CB59" s="190">
        <v>53702</v>
      </c>
      <c r="CC59" s="190">
        <v>121211</v>
      </c>
      <c r="CD59" s="190">
        <v>234</v>
      </c>
      <c r="CE59" s="190">
        <v>919</v>
      </c>
      <c r="CF59" s="190">
        <v>47</v>
      </c>
      <c r="CG59" s="190">
        <v>757</v>
      </c>
      <c r="CH59" s="190">
        <v>804</v>
      </c>
      <c r="CI59" s="190">
        <v>259</v>
      </c>
      <c r="CJ59" s="190">
        <v>10</v>
      </c>
      <c r="CK59" s="190">
        <v>3</v>
      </c>
      <c r="CL59" s="190">
        <v>208</v>
      </c>
      <c r="CM59" s="190">
        <v>211</v>
      </c>
      <c r="CN59" s="190">
        <v>382</v>
      </c>
      <c r="CO59" s="190">
        <v>3545</v>
      </c>
      <c r="CP59" s="190">
        <v>3927</v>
      </c>
      <c r="CQ59" s="190">
        <v>0</v>
      </c>
      <c r="CR59" s="190">
        <v>0</v>
      </c>
      <c r="CS59" s="190">
        <v>0</v>
      </c>
      <c r="CT59" s="190">
        <v>7130</v>
      </c>
      <c r="CU59" s="190">
        <v>43660</v>
      </c>
      <c r="CV59" s="190">
        <v>50790</v>
      </c>
      <c r="CW59" s="190">
        <v>467</v>
      </c>
      <c r="CX59" s="190">
        <v>2207</v>
      </c>
      <c r="CY59" s="190">
        <v>2674</v>
      </c>
      <c r="CZ59" s="190">
        <v>460</v>
      </c>
      <c r="DA59" s="190">
        <v>3</v>
      </c>
      <c r="DB59" s="190">
        <v>0</v>
      </c>
      <c r="DC59" s="190">
        <v>2070</v>
      </c>
      <c r="DD59" s="190">
        <v>30</v>
      </c>
      <c r="DE59" s="190">
        <v>4</v>
      </c>
      <c r="DF59" s="190">
        <v>463</v>
      </c>
      <c r="DG59" s="190">
        <v>2104</v>
      </c>
      <c r="DH59" s="190">
        <v>2567</v>
      </c>
      <c r="DI59" s="190">
        <v>4</v>
      </c>
      <c r="DJ59" s="190">
        <v>0</v>
      </c>
      <c r="DK59" s="190">
        <v>0</v>
      </c>
      <c r="DL59" s="190">
        <v>98</v>
      </c>
      <c r="DM59" s="190">
        <v>5</v>
      </c>
      <c r="DN59" s="190">
        <v>0</v>
      </c>
      <c r="DO59" s="190">
        <v>4</v>
      </c>
      <c r="DP59" s="190">
        <v>103</v>
      </c>
      <c r="DQ59" s="190">
        <v>107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232</v>
      </c>
      <c r="C60" s="190">
        <v>35</v>
      </c>
      <c r="D60" s="190">
        <v>249</v>
      </c>
      <c r="E60" s="190">
        <v>158</v>
      </c>
      <c r="F60" s="190">
        <v>0</v>
      </c>
      <c r="G60" s="190">
        <v>2</v>
      </c>
      <c r="H60" s="190">
        <v>2</v>
      </c>
      <c r="I60" s="190">
        <v>0</v>
      </c>
      <c r="J60" s="190">
        <v>78</v>
      </c>
      <c r="K60" s="190">
        <v>78</v>
      </c>
      <c r="L60" s="190">
        <v>0</v>
      </c>
      <c r="M60" s="190">
        <v>32</v>
      </c>
      <c r="N60" s="190">
        <v>32</v>
      </c>
      <c r="O60" s="190">
        <v>0</v>
      </c>
      <c r="P60" s="190">
        <v>46</v>
      </c>
      <c r="Q60" s="190">
        <v>46</v>
      </c>
      <c r="R60" s="190">
        <v>0</v>
      </c>
      <c r="S60" s="190">
        <v>0</v>
      </c>
      <c r="T60" s="190">
        <v>0</v>
      </c>
      <c r="U60" s="190">
        <v>0</v>
      </c>
      <c r="V60" s="190">
        <v>13</v>
      </c>
      <c r="W60" s="190">
        <v>13</v>
      </c>
      <c r="X60" s="190">
        <v>6</v>
      </c>
      <c r="Y60" s="190">
        <v>243</v>
      </c>
      <c r="Z60" s="190">
        <v>249</v>
      </c>
      <c r="AA60" s="190">
        <v>3</v>
      </c>
      <c r="AB60" s="190">
        <v>90</v>
      </c>
      <c r="AC60" s="190">
        <v>93</v>
      </c>
      <c r="AD60" s="190">
        <v>2</v>
      </c>
      <c r="AE60" s="190">
        <v>85</v>
      </c>
      <c r="AF60" s="190">
        <v>87</v>
      </c>
      <c r="AG60" s="190">
        <v>1</v>
      </c>
      <c r="AH60" s="190">
        <v>4</v>
      </c>
      <c r="AI60" s="190">
        <v>5</v>
      </c>
      <c r="AJ60" s="190">
        <v>0</v>
      </c>
      <c r="AK60" s="190">
        <v>1</v>
      </c>
      <c r="AL60" s="190">
        <v>1</v>
      </c>
      <c r="AM60" s="190">
        <v>3</v>
      </c>
      <c r="AN60" s="190">
        <v>153</v>
      </c>
      <c r="AO60" s="190">
        <v>156</v>
      </c>
      <c r="AP60" s="190">
        <v>270</v>
      </c>
      <c r="AQ60" s="190">
        <v>2613</v>
      </c>
      <c r="AR60" s="190">
        <v>2883</v>
      </c>
      <c r="AS60" s="190">
        <v>270</v>
      </c>
      <c r="AT60" s="190">
        <v>2613</v>
      </c>
      <c r="AU60" s="190">
        <v>2883</v>
      </c>
      <c r="AV60" s="190">
        <v>0</v>
      </c>
      <c r="AW60" s="190">
        <v>0</v>
      </c>
      <c r="AX60" s="190">
        <v>0</v>
      </c>
      <c r="AY60" s="190">
        <v>18</v>
      </c>
      <c r="AZ60" s="190">
        <v>289</v>
      </c>
      <c r="BA60" s="190">
        <v>307</v>
      </c>
      <c r="BB60" s="190">
        <v>9</v>
      </c>
      <c r="BC60" s="190">
        <v>0</v>
      </c>
      <c r="BD60" s="190">
        <v>0</v>
      </c>
      <c r="BE60" s="190">
        <v>149</v>
      </c>
      <c r="BF60" s="190">
        <v>0</v>
      </c>
      <c r="BG60" s="190">
        <v>0</v>
      </c>
      <c r="BH60" s="190">
        <v>9</v>
      </c>
      <c r="BI60" s="190">
        <v>149</v>
      </c>
      <c r="BJ60" s="190">
        <v>158</v>
      </c>
      <c r="BK60" s="190">
        <v>-9</v>
      </c>
      <c r="BL60" s="190">
        <v>9</v>
      </c>
      <c r="BM60" s="190">
        <v>0</v>
      </c>
      <c r="BN60" s="190">
        <v>6</v>
      </c>
      <c r="BO60" s="190">
        <v>18</v>
      </c>
      <c r="BP60" s="190">
        <v>24</v>
      </c>
      <c r="BQ60" s="190">
        <v>2</v>
      </c>
      <c r="BR60" s="190">
        <v>46</v>
      </c>
      <c r="BS60" s="190">
        <v>48</v>
      </c>
      <c r="BT60" s="190">
        <v>10</v>
      </c>
      <c r="BU60" s="190">
        <v>67</v>
      </c>
      <c r="BV60" s="190">
        <v>77</v>
      </c>
      <c r="BW60" s="190">
        <v>288</v>
      </c>
      <c r="BX60" s="190">
        <v>2902</v>
      </c>
      <c r="BY60" s="190">
        <v>3190</v>
      </c>
      <c r="BZ60" s="190">
        <v>286</v>
      </c>
      <c r="CA60" s="190">
        <v>2896</v>
      </c>
      <c r="CB60" s="190">
        <v>3182</v>
      </c>
      <c r="CC60" s="190">
        <v>5524</v>
      </c>
      <c r="CD60" s="190">
        <v>1</v>
      </c>
      <c r="CE60" s="190">
        <v>6</v>
      </c>
      <c r="CF60" s="190">
        <v>2</v>
      </c>
      <c r="CG60" s="190">
        <v>4</v>
      </c>
      <c r="CH60" s="190">
        <v>6</v>
      </c>
      <c r="CI60" s="190">
        <v>4</v>
      </c>
      <c r="CJ60" s="190">
        <v>0</v>
      </c>
      <c r="CK60" s="190">
        <v>0</v>
      </c>
      <c r="CL60" s="190">
        <v>2</v>
      </c>
      <c r="CM60" s="190">
        <v>2</v>
      </c>
      <c r="CN60" s="190">
        <v>15</v>
      </c>
      <c r="CO60" s="190">
        <v>280</v>
      </c>
      <c r="CP60" s="190">
        <v>295</v>
      </c>
      <c r="CQ60" s="190">
        <v>8</v>
      </c>
      <c r="CR60" s="190">
        <v>112</v>
      </c>
      <c r="CS60" s="190">
        <v>120</v>
      </c>
      <c r="CT60" s="190">
        <v>273</v>
      </c>
      <c r="CU60" s="190">
        <v>2622</v>
      </c>
      <c r="CV60" s="190">
        <v>2895</v>
      </c>
      <c r="CW60" s="190">
        <v>20</v>
      </c>
      <c r="CX60" s="190">
        <v>147</v>
      </c>
      <c r="CY60" s="190">
        <v>167</v>
      </c>
      <c r="CZ60" s="190">
        <v>20</v>
      </c>
      <c r="DA60" s="190">
        <v>0</v>
      </c>
      <c r="DB60" s="190">
        <v>0</v>
      </c>
      <c r="DC60" s="190">
        <v>142</v>
      </c>
      <c r="DD60" s="190">
        <v>0</v>
      </c>
      <c r="DE60" s="190">
        <v>1</v>
      </c>
      <c r="DF60" s="190">
        <v>20</v>
      </c>
      <c r="DG60" s="190">
        <v>143</v>
      </c>
      <c r="DH60" s="190">
        <v>163</v>
      </c>
      <c r="DI60" s="190">
        <v>0</v>
      </c>
      <c r="DJ60" s="190">
        <v>0</v>
      </c>
      <c r="DK60" s="190">
        <v>0</v>
      </c>
      <c r="DL60" s="190">
        <v>4</v>
      </c>
      <c r="DM60" s="190">
        <v>0</v>
      </c>
      <c r="DN60" s="190">
        <v>0</v>
      </c>
      <c r="DO60" s="190">
        <v>0</v>
      </c>
      <c r="DP60" s="190">
        <v>4</v>
      </c>
      <c r="DQ60" s="190">
        <v>4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3053</v>
      </c>
      <c r="C61" s="190">
        <v>572</v>
      </c>
      <c r="D61" s="190">
        <v>2741</v>
      </c>
      <c r="E61" s="190">
        <v>1803</v>
      </c>
      <c r="F61" s="190">
        <v>1</v>
      </c>
      <c r="G61" s="190">
        <v>42</v>
      </c>
      <c r="H61" s="190">
        <v>43</v>
      </c>
      <c r="I61" s="190">
        <v>0</v>
      </c>
      <c r="J61" s="190">
        <v>849</v>
      </c>
      <c r="K61" s="190">
        <v>849</v>
      </c>
      <c r="L61" s="190">
        <v>0</v>
      </c>
      <c r="M61" s="190">
        <v>276</v>
      </c>
      <c r="N61" s="190">
        <v>276</v>
      </c>
      <c r="O61" s="190">
        <v>0</v>
      </c>
      <c r="P61" s="190">
        <v>573</v>
      </c>
      <c r="Q61" s="190">
        <v>573</v>
      </c>
      <c r="R61" s="190">
        <v>0</v>
      </c>
      <c r="S61" s="190">
        <v>70</v>
      </c>
      <c r="T61" s="190">
        <v>70</v>
      </c>
      <c r="U61" s="190">
        <v>0</v>
      </c>
      <c r="V61" s="190">
        <v>89</v>
      </c>
      <c r="W61" s="190">
        <v>89</v>
      </c>
      <c r="X61" s="190">
        <v>24</v>
      </c>
      <c r="Y61" s="190">
        <v>1554</v>
      </c>
      <c r="Z61" s="190">
        <v>1578</v>
      </c>
      <c r="AA61" s="190">
        <v>16</v>
      </c>
      <c r="AB61" s="190">
        <v>751</v>
      </c>
      <c r="AC61" s="190">
        <v>767</v>
      </c>
      <c r="AD61" s="190">
        <v>15</v>
      </c>
      <c r="AE61" s="190">
        <v>738</v>
      </c>
      <c r="AF61" s="190">
        <v>753</v>
      </c>
      <c r="AG61" s="190">
        <v>0</v>
      </c>
      <c r="AH61" s="190">
        <v>3</v>
      </c>
      <c r="AI61" s="190">
        <v>3</v>
      </c>
      <c r="AJ61" s="190">
        <v>1</v>
      </c>
      <c r="AK61" s="190">
        <v>10</v>
      </c>
      <c r="AL61" s="190">
        <v>11</v>
      </c>
      <c r="AM61" s="190">
        <v>8</v>
      </c>
      <c r="AN61" s="190">
        <v>803</v>
      </c>
      <c r="AO61" s="190">
        <v>811</v>
      </c>
      <c r="AP61" s="190">
        <v>2722</v>
      </c>
      <c r="AQ61" s="190">
        <v>31241</v>
      </c>
      <c r="AR61" s="190">
        <v>33963</v>
      </c>
      <c r="AS61" s="190">
        <v>2726</v>
      </c>
      <c r="AT61" s="190">
        <v>31319</v>
      </c>
      <c r="AU61" s="190">
        <v>34045</v>
      </c>
      <c r="AV61" s="190">
        <v>-4</v>
      </c>
      <c r="AW61" s="190">
        <v>-78</v>
      </c>
      <c r="AX61" s="190">
        <v>-82</v>
      </c>
      <c r="AY61" s="190">
        <v>138</v>
      </c>
      <c r="AZ61" s="190">
        <v>3500</v>
      </c>
      <c r="BA61" s="190">
        <v>3638</v>
      </c>
      <c r="BB61" s="190">
        <v>61</v>
      </c>
      <c r="BC61" s="190">
        <v>1</v>
      </c>
      <c r="BD61" s="190">
        <v>0</v>
      </c>
      <c r="BE61" s="190">
        <v>1702</v>
      </c>
      <c r="BF61" s="190">
        <v>26</v>
      </c>
      <c r="BG61" s="190">
        <v>13</v>
      </c>
      <c r="BH61" s="190">
        <v>62</v>
      </c>
      <c r="BI61" s="190">
        <v>1741</v>
      </c>
      <c r="BJ61" s="190">
        <v>1803</v>
      </c>
      <c r="BK61" s="190">
        <v>-29</v>
      </c>
      <c r="BL61" s="190">
        <v>29</v>
      </c>
      <c r="BM61" s="190">
        <v>0</v>
      </c>
      <c r="BN61" s="190">
        <v>0</v>
      </c>
      <c r="BO61" s="190">
        <v>31</v>
      </c>
      <c r="BP61" s="190">
        <v>31</v>
      </c>
      <c r="BQ61" s="190">
        <v>25</v>
      </c>
      <c r="BR61" s="190">
        <v>466</v>
      </c>
      <c r="BS61" s="190">
        <v>491</v>
      </c>
      <c r="BT61" s="190">
        <v>80</v>
      </c>
      <c r="BU61" s="190">
        <v>1233</v>
      </c>
      <c r="BV61" s="190">
        <v>1313</v>
      </c>
      <c r="BW61" s="190">
        <v>2860</v>
      </c>
      <c r="BX61" s="190">
        <v>34741</v>
      </c>
      <c r="BY61" s="190">
        <v>37601</v>
      </c>
      <c r="BZ61" s="190">
        <v>2838</v>
      </c>
      <c r="CA61" s="190">
        <v>34206</v>
      </c>
      <c r="CB61" s="190">
        <v>37044</v>
      </c>
      <c r="CC61" s="190">
        <v>75748</v>
      </c>
      <c r="CD61" s="190">
        <v>47</v>
      </c>
      <c r="CE61" s="190">
        <v>510</v>
      </c>
      <c r="CF61" s="190">
        <v>22</v>
      </c>
      <c r="CG61" s="190">
        <v>332</v>
      </c>
      <c r="CH61" s="190">
        <v>354</v>
      </c>
      <c r="CI61" s="190">
        <v>265</v>
      </c>
      <c r="CJ61" s="190">
        <v>0</v>
      </c>
      <c r="CK61" s="190">
        <v>0</v>
      </c>
      <c r="CL61" s="190">
        <v>203</v>
      </c>
      <c r="CM61" s="190">
        <v>203</v>
      </c>
      <c r="CN61" s="190">
        <v>164</v>
      </c>
      <c r="CO61" s="190">
        <v>3355</v>
      </c>
      <c r="CP61" s="190">
        <v>3519</v>
      </c>
      <c r="CQ61" s="190">
        <v>11</v>
      </c>
      <c r="CR61" s="190">
        <v>0</v>
      </c>
      <c r="CS61" s="190">
        <v>11</v>
      </c>
      <c r="CT61" s="190">
        <v>2696</v>
      </c>
      <c r="CU61" s="190">
        <v>31386</v>
      </c>
      <c r="CV61" s="190">
        <v>34082</v>
      </c>
      <c r="CW61" s="190">
        <v>190</v>
      </c>
      <c r="CX61" s="190">
        <v>1569</v>
      </c>
      <c r="CY61" s="190">
        <v>1759</v>
      </c>
      <c r="CZ61" s="190">
        <v>189</v>
      </c>
      <c r="DA61" s="190">
        <v>0</v>
      </c>
      <c r="DB61" s="190">
        <v>0</v>
      </c>
      <c r="DC61" s="190">
        <v>1471</v>
      </c>
      <c r="DD61" s="190">
        <v>17</v>
      </c>
      <c r="DE61" s="190">
        <v>7</v>
      </c>
      <c r="DF61" s="190">
        <v>189</v>
      </c>
      <c r="DG61" s="190">
        <v>1495</v>
      </c>
      <c r="DH61" s="190">
        <v>1684</v>
      </c>
      <c r="DI61" s="190">
        <v>1</v>
      </c>
      <c r="DJ61" s="190">
        <v>0</v>
      </c>
      <c r="DK61" s="190">
        <v>0</v>
      </c>
      <c r="DL61" s="190">
        <v>73</v>
      </c>
      <c r="DM61" s="190">
        <v>1</v>
      </c>
      <c r="DN61" s="190">
        <v>0</v>
      </c>
      <c r="DO61" s="190">
        <v>1</v>
      </c>
      <c r="DP61" s="190">
        <v>74</v>
      </c>
      <c r="DQ61" s="190">
        <v>75</v>
      </c>
      <c r="DR61" s="190">
        <v>2</v>
      </c>
      <c r="DS61" s="190">
        <v>16</v>
      </c>
      <c r="DT61" s="191">
        <v>18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869</v>
      </c>
      <c r="C62" s="190">
        <v>59</v>
      </c>
      <c r="D62" s="190">
        <v>855</v>
      </c>
      <c r="E62" s="190">
        <v>459</v>
      </c>
      <c r="F62" s="190">
        <v>7</v>
      </c>
      <c r="G62" s="190">
        <v>22</v>
      </c>
      <c r="H62" s="190">
        <v>29</v>
      </c>
      <c r="I62" s="190">
        <v>0</v>
      </c>
      <c r="J62" s="190">
        <v>356</v>
      </c>
      <c r="K62" s="190">
        <v>356</v>
      </c>
      <c r="L62" s="190">
        <v>0</v>
      </c>
      <c r="M62" s="190">
        <v>221</v>
      </c>
      <c r="N62" s="190">
        <v>221</v>
      </c>
      <c r="O62" s="190">
        <v>0</v>
      </c>
      <c r="P62" s="190">
        <v>135</v>
      </c>
      <c r="Q62" s="190">
        <v>135</v>
      </c>
      <c r="R62" s="190">
        <v>0</v>
      </c>
      <c r="S62" s="190">
        <v>15</v>
      </c>
      <c r="T62" s="190">
        <v>15</v>
      </c>
      <c r="U62" s="190">
        <v>0</v>
      </c>
      <c r="V62" s="190">
        <v>40</v>
      </c>
      <c r="W62" s="190">
        <v>40</v>
      </c>
      <c r="X62" s="190">
        <v>3</v>
      </c>
      <c r="Y62" s="190">
        <v>264</v>
      </c>
      <c r="Z62" s="190">
        <v>267</v>
      </c>
      <c r="AA62" s="190">
        <v>3</v>
      </c>
      <c r="AB62" s="190">
        <v>264</v>
      </c>
      <c r="AC62" s="190">
        <v>267</v>
      </c>
      <c r="AD62" s="190">
        <v>3</v>
      </c>
      <c r="AE62" s="190">
        <v>239</v>
      </c>
      <c r="AF62" s="190">
        <v>242</v>
      </c>
      <c r="AG62" s="190">
        <v>0</v>
      </c>
      <c r="AH62" s="190">
        <v>17</v>
      </c>
      <c r="AI62" s="190">
        <v>17</v>
      </c>
      <c r="AJ62" s="190">
        <v>0</v>
      </c>
      <c r="AK62" s="190">
        <v>8</v>
      </c>
      <c r="AL62" s="190">
        <v>8</v>
      </c>
      <c r="AM62" s="190">
        <v>0</v>
      </c>
      <c r="AN62" s="190">
        <v>0</v>
      </c>
      <c r="AO62" s="190">
        <v>0</v>
      </c>
      <c r="AP62" s="190">
        <v>856</v>
      </c>
      <c r="AQ62" s="190">
        <v>8755</v>
      </c>
      <c r="AR62" s="190">
        <v>9611</v>
      </c>
      <c r="AS62" s="190">
        <v>859</v>
      </c>
      <c r="AT62" s="190">
        <v>8724</v>
      </c>
      <c r="AU62" s="190">
        <v>9583</v>
      </c>
      <c r="AV62" s="190">
        <v>-3</v>
      </c>
      <c r="AW62" s="190">
        <v>31</v>
      </c>
      <c r="AX62" s="190">
        <v>28</v>
      </c>
      <c r="AY62" s="190">
        <v>65</v>
      </c>
      <c r="AZ62" s="190">
        <v>849</v>
      </c>
      <c r="BA62" s="190">
        <v>914</v>
      </c>
      <c r="BB62" s="190">
        <v>30</v>
      </c>
      <c r="BC62" s="190">
        <v>1</v>
      </c>
      <c r="BD62" s="190">
        <v>0</v>
      </c>
      <c r="BE62" s="190">
        <v>420</v>
      </c>
      <c r="BF62" s="190">
        <v>5</v>
      </c>
      <c r="BG62" s="190">
        <v>3</v>
      </c>
      <c r="BH62" s="190">
        <v>31</v>
      </c>
      <c r="BI62" s="190">
        <v>428</v>
      </c>
      <c r="BJ62" s="190">
        <v>459</v>
      </c>
      <c r="BK62" s="190">
        <v>-15</v>
      </c>
      <c r="BL62" s="190">
        <v>15</v>
      </c>
      <c r="BM62" s="190">
        <v>0</v>
      </c>
      <c r="BN62" s="190">
        <v>3</v>
      </c>
      <c r="BO62" s="190">
        <v>20</v>
      </c>
      <c r="BP62" s="190">
        <v>23</v>
      </c>
      <c r="BQ62" s="190">
        <v>5</v>
      </c>
      <c r="BR62" s="190">
        <v>49</v>
      </c>
      <c r="BS62" s="190">
        <v>54</v>
      </c>
      <c r="BT62" s="190">
        <v>41</v>
      </c>
      <c r="BU62" s="190">
        <v>337</v>
      </c>
      <c r="BV62" s="190">
        <v>378</v>
      </c>
      <c r="BW62" s="190">
        <v>921</v>
      </c>
      <c r="BX62" s="190">
        <v>9604</v>
      </c>
      <c r="BY62" s="190">
        <v>10525</v>
      </c>
      <c r="BZ62" s="190">
        <v>881</v>
      </c>
      <c r="CA62" s="190">
        <v>9385</v>
      </c>
      <c r="CB62" s="190">
        <v>10266</v>
      </c>
      <c r="CC62" s="190">
        <v>20053</v>
      </c>
      <c r="CD62" s="190">
        <v>14</v>
      </c>
      <c r="CE62" s="190">
        <v>276</v>
      </c>
      <c r="CF62" s="190">
        <v>39</v>
      </c>
      <c r="CG62" s="190">
        <v>161</v>
      </c>
      <c r="CH62" s="190">
        <v>200</v>
      </c>
      <c r="CI62" s="190">
        <v>82</v>
      </c>
      <c r="CJ62" s="190">
        <v>0</v>
      </c>
      <c r="CK62" s="190">
        <v>1</v>
      </c>
      <c r="CL62" s="190">
        <v>58</v>
      </c>
      <c r="CM62" s="190">
        <v>59</v>
      </c>
      <c r="CN62" s="190">
        <v>66</v>
      </c>
      <c r="CO62" s="190">
        <v>905</v>
      </c>
      <c r="CP62" s="190">
        <v>971</v>
      </c>
      <c r="CQ62" s="190">
        <v>0</v>
      </c>
      <c r="CR62" s="190">
        <v>0</v>
      </c>
      <c r="CS62" s="190">
        <v>0</v>
      </c>
      <c r="CT62" s="190">
        <v>855</v>
      </c>
      <c r="CU62" s="190">
        <v>8699</v>
      </c>
      <c r="CV62" s="190">
        <v>9554</v>
      </c>
      <c r="CW62" s="190">
        <v>62</v>
      </c>
      <c r="CX62" s="190">
        <v>669</v>
      </c>
      <c r="CY62" s="190">
        <v>731</v>
      </c>
      <c r="CZ62" s="190">
        <v>58</v>
      </c>
      <c r="DA62" s="190">
        <v>2</v>
      </c>
      <c r="DB62" s="190">
        <v>0</v>
      </c>
      <c r="DC62" s="190">
        <v>537</v>
      </c>
      <c r="DD62" s="190">
        <v>18</v>
      </c>
      <c r="DE62" s="190">
        <v>3</v>
      </c>
      <c r="DF62" s="190">
        <v>60</v>
      </c>
      <c r="DG62" s="190">
        <v>558</v>
      </c>
      <c r="DH62" s="190">
        <v>618</v>
      </c>
      <c r="DI62" s="190">
        <v>2</v>
      </c>
      <c r="DJ62" s="190">
        <v>0</v>
      </c>
      <c r="DK62" s="190">
        <v>0</v>
      </c>
      <c r="DL62" s="190">
        <v>102</v>
      </c>
      <c r="DM62" s="190">
        <v>8</v>
      </c>
      <c r="DN62" s="190">
        <v>1</v>
      </c>
      <c r="DO62" s="190">
        <v>2</v>
      </c>
      <c r="DP62" s="190">
        <v>111</v>
      </c>
      <c r="DQ62" s="190">
        <v>113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460</v>
      </c>
      <c r="C63" s="195">
        <v>118</v>
      </c>
      <c r="D63" s="195">
        <v>494</v>
      </c>
      <c r="E63" s="195">
        <v>278</v>
      </c>
      <c r="F63" s="195">
        <v>0</v>
      </c>
      <c r="G63" s="195">
        <v>0</v>
      </c>
      <c r="H63" s="195">
        <v>0</v>
      </c>
      <c r="I63" s="195">
        <v>0</v>
      </c>
      <c r="J63" s="195">
        <v>206</v>
      </c>
      <c r="K63" s="195">
        <v>206</v>
      </c>
      <c r="L63" s="195">
        <v>0</v>
      </c>
      <c r="M63" s="195">
        <v>104</v>
      </c>
      <c r="N63" s="195">
        <v>104</v>
      </c>
      <c r="O63" s="195">
        <v>0</v>
      </c>
      <c r="P63" s="195">
        <v>102</v>
      </c>
      <c r="Q63" s="195">
        <v>102</v>
      </c>
      <c r="R63" s="195">
        <v>0</v>
      </c>
      <c r="S63" s="195">
        <v>0</v>
      </c>
      <c r="T63" s="195">
        <v>0</v>
      </c>
      <c r="U63" s="195">
        <v>0</v>
      </c>
      <c r="V63" s="195">
        <v>10</v>
      </c>
      <c r="W63" s="195">
        <v>10</v>
      </c>
      <c r="X63" s="195">
        <v>8</v>
      </c>
      <c r="Y63" s="195">
        <v>486</v>
      </c>
      <c r="Z63" s="195">
        <v>494</v>
      </c>
      <c r="AA63" s="195">
        <v>4</v>
      </c>
      <c r="AB63" s="195">
        <v>227</v>
      </c>
      <c r="AC63" s="195">
        <v>231</v>
      </c>
      <c r="AD63" s="195">
        <v>3</v>
      </c>
      <c r="AE63" s="195">
        <v>220</v>
      </c>
      <c r="AF63" s="195">
        <v>223</v>
      </c>
      <c r="AG63" s="195">
        <v>0</v>
      </c>
      <c r="AH63" s="195">
        <v>5</v>
      </c>
      <c r="AI63" s="195">
        <v>5</v>
      </c>
      <c r="AJ63" s="195">
        <v>1</v>
      </c>
      <c r="AK63" s="195">
        <v>2</v>
      </c>
      <c r="AL63" s="195">
        <v>3</v>
      </c>
      <c r="AM63" s="195">
        <v>4</v>
      </c>
      <c r="AN63" s="195">
        <v>259</v>
      </c>
      <c r="AO63" s="195">
        <v>263</v>
      </c>
      <c r="AP63" s="195">
        <v>754</v>
      </c>
      <c r="AQ63" s="195">
        <v>4957</v>
      </c>
      <c r="AR63" s="195">
        <v>5711</v>
      </c>
      <c r="AS63" s="195">
        <v>754</v>
      </c>
      <c r="AT63" s="195">
        <v>4958</v>
      </c>
      <c r="AU63" s="195">
        <v>5712</v>
      </c>
      <c r="AV63" s="195">
        <v>0</v>
      </c>
      <c r="AW63" s="195">
        <v>-1</v>
      </c>
      <c r="AX63" s="195">
        <v>-1</v>
      </c>
      <c r="AY63" s="195">
        <v>42</v>
      </c>
      <c r="AZ63" s="195">
        <v>505</v>
      </c>
      <c r="BA63" s="195">
        <v>547</v>
      </c>
      <c r="BB63" s="195">
        <v>7</v>
      </c>
      <c r="BC63" s="195">
        <v>0</v>
      </c>
      <c r="BD63" s="195">
        <v>0</v>
      </c>
      <c r="BE63" s="195">
        <v>269</v>
      </c>
      <c r="BF63" s="195">
        <v>1</v>
      </c>
      <c r="BG63" s="195">
        <v>1</v>
      </c>
      <c r="BH63" s="195">
        <v>7</v>
      </c>
      <c r="BI63" s="195">
        <v>271</v>
      </c>
      <c r="BJ63" s="195">
        <v>278</v>
      </c>
      <c r="BK63" s="195">
        <v>4</v>
      </c>
      <c r="BL63" s="195">
        <v>-4</v>
      </c>
      <c r="BM63" s="195">
        <v>0</v>
      </c>
      <c r="BN63" s="195">
        <v>3</v>
      </c>
      <c r="BO63" s="195">
        <v>17</v>
      </c>
      <c r="BP63" s="195">
        <v>20</v>
      </c>
      <c r="BQ63" s="195">
        <v>2</v>
      </c>
      <c r="BR63" s="195">
        <v>52</v>
      </c>
      <c r="BS63" s="195">
        <v>54</v>
      </c>
      <c r="BT63" s="195">
        <v>26</v>
      </c>
      <c r="BU63" s="195">
        <v>169</v>
      </c>
      <c r="BV63" s="195">
        <v>195</v>
      </c>
      <c r="BW63" s="195">
        <v>796</v>
      </c>
      <c r="BX63" s="195">
        <v>5462</v>
      </c>
      <c r="BY63" s="195">
        <v>6258</v>
      </c>
      <c r="BZ63" s="195">
        <v>790</v>
      </c>
      <c r="CA63" s="195">
        <v>5431</v>
      </c>
      <c r="CB63" s="195">
        <v>6221</v>
      </c>
      <c r="CC63" s="195">
        <v>13435</v>
      </c>
      <c r="CD63" s="195">
        <v>0</v>
      </c>
      <c r="CE63" s="195">
        <v>40</v>
      </c>
      <c r="CF63" s="195">
        <v>6</v>
      </c>
      <c r="CG63" s="195">
        <v>25</v>
      </c>
      <c r="CH63" s="195">
        <v>31</v>
      </c>
      <c r="CI63" s="195">
        <v>6</v>
      </c>
      <c r="CJ63" s="195">
        <v>0</v>
      </c>
      <c r="CK63" s="195">
        <v>0</v>
      </c>
      <c r="CL63" s="195">
        <v>6</v>
      </c>
      <c r="CM63" s="195">
        <v>6</v>
      </c>
      <c r="CN63" s="195">
        <v>41</v>
      </c>
      <c r="CO63" s="195">
        <v>511</v>
      </c>
      <c r="CP63" s="195">
        <v>552</v>
      </c>
      <c r="CQ63" s="195">
        <v>0</v>
      </c>
      <c r="CR63" s="195">
        <v>0</v>
      </c>
      <c r="CS63" s="195">
        <v>0</v>
      </c>
      <c r="CT63" s="195">
        <v>755</v>
      </c>
      <c r="CU63" s="195">
        <v>4951</v>
      </c>
      <c r="CV63" s="195">
        <v>5706</v>
      </c>
      <c r="CW63" s="195">
        <v>61</v>
      </c>
      <c r="CX63" s="195">
        <v>247</v>
      </c>
      <c r="CY63" s="195">
        <v>308</v>
      </c>
      <c r="CZ63" s="195">
        <v>59</v>
      </c>
      <c r="DA63" s="195">
        <v>2</v>
      </c>
      <c r="DB63" s="195">
        <v>0</v>
      </c>
      <c r="DC63" s="195">
        <v>232</v>
      </c>
      <c r="DD63" s="195">
        <v>3</v>
      </c>
      <c r="DE63" s="195">
        <v>0</v>
      </c>
      <c r="DF63" s="195">
        <v>61</v>
      </c>
      <c r="DG63" s="195">
        <v>235</v>
      </c>
      <c r="DH63" s="195">
        <v>296</v>
      </c>
      <c r="DI63" s="195">
        <v>0</v>
      </c>
      <c r="DJ63" s="195">
        <v>0</v>
      </c>
      <c r="DK63" s="195">
        <v>0</v>
      </c>
      <c r="DL63" s="195">
        <v>12</v>
      </c>
      <c r="DM63" s="195">
        <v>0</v>
      </c>
      <c r="DN63" s="195">
        <v>0</v>
      </c>
      <c r="DO63" s="195">
        <v>0</v>
      </c>
      <c r="DP63" s="195">
        <v>12</v>
      </c>
      <c r="DQ63" s="195">
        <v>12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208" t="s">
        <v>330</v>
      </c>
      <c r="B64" s="209">
        <f>SUBTOTAL(109,Sep16Data[Cell 1])</f>
        <v>138693</v>
      </c>
      <c r="C64" s="209">
        <f>SUBTOTAL(109,Sep16Data[Cell 2])</f>
        <v>34288</v>
      </c>
      <c r="D64" s="209">
        <f>SUBTOTAL(109,Sep16Data[Cell 3])</f>
        <v>140300</v>
      </c>
      <c r="E64" s="209">
        <f>SUBTOTAL(109,Sep16Data[Cell 4])</f>
        <v>91043</v>
      </c>
      <c r="F64" s="209">
        <f>SUBTOTAL(109,Sep16Data[Cell 5])</f>
        <v>283</v>
      </c>
      <c r="G64" s="209">
        <f>SUBTOTAL(109,Sep16Data[Cell 6])</f>
        <v>2285</v>
      </c>
      <c r="H64" s="209">
        <f>SUBTOTAL(109,Sep16Data[Cell 7])</f>
        <v>2568</v>
      </c>
      <c r="I64" s="209">
        <f>SUBTOTAL(109,Sep16Data[Cell 8])</f>
        <v>47</v>
      </c>
      <c r="J64" s="209">
        <f>SUBTOTAL(109,Sep16Data[Cell 9])</f>
        <v>43590</v>
      </c>
      <c r="K64" s="209">
        <f>SUBTOTAL(109,Sep16Data[Cell 10])</f>
        <v>43637</v>
      </c>
      <c r="L64" s="209">
        <f>SUBTOTAL(109,Sep16Data[Cell 11])</f>
        <v>29</v>
      </c>
      <c r="M64" s="209">
        <f>SUBTOTAL(109,Sep16Data[Cell 12])</f>
        <v>24443</v>
      </c>
      <c r="N64" s="209">
        <f>SUBTOTAL(109,Sep16Data[Cell 13])</f>
        <v>24472</v>
      </c>
      <c r="O64" s="209">
        <f>SUBTOTAL(109,Sep16Data[Cell 14])</f>
        <v>18</v>
      </c>
      <c r="P64" s="209">
        <f>SUBTOTAL(109,Sep16Data[Cell 15])</f>
        <v>19147</v>
      </c>
      <c r="Q64" s="209">
        <f>SUBTOTAL(109,Sep16Data[Cell 16])</f>
        <v>19165</v>
      </c>
      <c r="R64" s="209">
        <f>SUBTOTAL(109,Sep16Data[Cell 17])</f>
        <v>9</v>
      </c>
      <c r="S64" s="209">
        <f>SUBTOTAL(109,Sep16Data[Cell 18])</f>
        <v>2142</v>
      </c>
      <c r="T64" s="209">
        <f>SUBTOTAL(109,Sep16Data[Cell 19])</f>
        <v>2151</v>
      </c>
      <c r="U64" s="209">
        <f>SUBTOTAL(109,Sep16Data[Cell 20])</f>
        <v>0</v>
      </c>
      <c r="V64" s="209">
        <f>SUBTOTAL(109,Sep16Data[Cell 21])</f>
        <v>5620</v>
      </c>
      <c r="W64" s="209">
        <f>SUBTOTAL(109,Sep16Data[Cell 22])</f>
        <v>5620</v>
      </c>
      <c r="X64" s="209">
        <f>SUBTOTAL(109,Sep16Data[Cell 23])</f>
        <v>5181</v>
      </c>
      <c r="Y64" s="209">
        <f>SUBTOTAL(109,Sep16Data[Cell 24])</f>
        <v>118725</v>
      </c>
      <c r="Z64" s="209">
        <f>SUBTOTAL(109,Sep16Data[Cell 25])</f>
        <v>123906</v>
      </c>
      <c r="AA64" s="209">
        <f>SUBTOTAL(109,Sep16Data[Cell 26])</f>
        <v>3332</v>
      </c>
      <c r="AB64" s="209">
        <f>SUBTOTAL(109,Sep16Data[Cell 27])</f>
        <v>48031</v>
      </c>
      <c r="AC64" s="209">
        <f>SUBTOTAL(109,Sep16Data[Cell 28])</f>
        <v>51363</v>
      </c>
      <c r="AD64" s="209">
        <f>SUBTOTAL(109,Sep16Data[Cell 29])</f>
        <v>2752</v>
      </c>
      <c r="AE64" s="209">
        <f>SUBTOTAL(109,Sep16Data[Cell 30])</f>
        <v>44395</v>
      </c>
      <c r="AF64" s="209">
        <f>SUBTOTAL(109,Sep16Data[Cell 31])</f>
        <v>47147</v>
      </c>
      <c r="AG64" s="209">
        <f>SUBTOTAL(109,Sep16Data[Cell 32])</f>
        <v>188</v>
      </c>
      <c r="AH64" s="209">
        <f>SUBTOTAL(109,Sep16Data[Cell 33])</f>
        <v>1638</v>
      </c>
      <c r="AI64" s="209">
        <f>SUBTOTAL(109,Sep16Data[Cell 34])</f>
        <v>1826</v>
      </c>
      <c r="AJ64" s="209">
        <f>SUBTOTAL(109,Sep16Data[Cell 35])</f>
        <v>392</v>
      </c>
      <c r="AK64" s="209">
        <f>SUBTOTAL(109,Sep16Data[Cell 36])</f>
        <v>1998</v>
      </c>
      <c r="AL64" s="209">
        <f>SUBTOTAL(109,Sep16Data[Cell 37])</f>
        <v>2390</v>
      </c>
      <c r="AM64" s="209">
        <f>SUBTOTAL(109,Sep16Data[Cell 38])</f>
        <v>1849</v>
      </c>
      <c r="AN64" s="209">
        <f>SUBTOTAL(109,Sep16Data[Cell 39])</f>
        <v>70694</v>
      </c>
      <c r="AO64" s="209">
        <f>SUBTOTAL(109,Sep16Data[Cell 40])</f>
        <v>72543</v>
      </c>
      <c r="AP64" s="209">
        <f>SUBTOTAL(109,Sep16Data[Cell 41])</f>
        <v>243375</v>
      </c>
      <c r="AQ64" s="209">
        <f>SUBTOTAL(109,Sep16Data[Cell 42])</f>
        <v>1650439</v>
      </c>
      <c r="AR64" s="209">
        <f>SUBTOTAL(109,Sep16Data[Cell 43])</f>
        <v>1893814</v>
      </c>
      <c r="AS64" s="209">
        <f>SUBTOTAL(109,Sep16Data[Cell 44])</f>
        <v>241824</v>
      </c>
      <c r="AT64" s="209">
        <f>SUBTOTAL(109,Sep16Data[Cell 45])</f>
        <v>1642331</v>
      </c>
      <c r="AU64" s="209">
        <f>SUBTOTAL(109,Sep16Data[Cell 46])</f>
        <v>1884155</v>
      </c>
      <c r="AV64" s="209">
        <f>SUBTOTAL(109,Sep16Data[Cell 47])</f>
        <v>1551</v>
      </c>
      <c r="AW64" s="209">
        <f>SUBTOTAL(109,Sep16Data[Cell 48])</f>
        <v>8108</v>
      </c>
      <c r="AX64" s="209">
        <f>SUBTOTAL(109,Sep16Data[Cell 49])</f>
        <v>9659</v>
      </c>
      <c r="AY64" s="209">
        <f>SUBTOTAL(109,Sep16Data[Cell 50])</f>
        <v>12907</v>
      </c>
      <c r="AZ64" s="209">
        <f>SUBTOTAL(109,Sep16Data[Cell 51])</f>
        <v>142389</v>
      </c>
      <c r="BA64" s="209">
        <f>SUBTOTAL(109,Sep16Data[Cell 52])</f>
        <v>155296</v>
      </c>
      <c r="BB64" s="209">
        <f>SUBTOTAL(109,Sep16Data[Cell 53])</f>
        <v>6654</v>
      </c>
      <c r="BC64" s="209">
        <f>SUBTOTAL(109,Sep16Data[Cell 54])</f>
        <v>132</v>
      </c>
      <c r="BD64" s="209">
        <f>SUBTOTAL(109,Sep16Data[Cell 55])</f>
        <v>22</v>
      </c>
      <c r="BE64" s="209">
        <f>SUBTOTAL(109,Sep16Data[Cell 56])</f>
        <v>82576</v>
      </c>
      <c r="BF64" s="209">
        <f>SUBTOTAL(109,Sep16Data[Cell 57])</f>
        <v>998</v>
      </c>
      <c r="BG64" s="209">
        <f>SUBTOTAL(109,Sep16Data[Cell 58])</f>
        <v>661</v>
      </c>
      <c r="BH64" s="209">
        <f>SUBTOTAL(109,Sep16Data[Cell 59])</f>
        <v>6808</v>
      </c>
      <c r="BI64" s="209">
        <f>SUBTOTAL(109,Sep16Data[Cell 60])</f>
        <v>84235</v>
      </c>
      <c r="BJ64" s="209">
        <f>SUBTOTAL(109,Sep16Data[Cell 61])</f>
        <v>91043</v>
      </c>
      <c r="BK64" s="209">
        <f>SUBTOTAL(109,Sep16Data[Cell 62])</f>
        <v>-2409</v>
      </c>
      <c r="BL64" s="209">
        <f>SUBTOTAL(109,Sep16Data[Cell 63])</f>
        <v>2409</v>
      </c>
      <c r="BM64" s="209">
        <f>SUBTOTAL(109,Sep16Data[Cell 64])</f>
        <v>0</v>
      </c>
      <c r="BN64" s="209">
        <f>SUBTOTAL(109,Sep16Data[Cell 65])</f>
        <v>539</v>
      </c>
      <c r="BO64" s="209">
        <f>SUBTOTAL(109,Sep16Data[Cell 66])</f>
        <v>2039</v>
      </c>
      <c r="BP64" s="209">
        <f>SUBTOTAL(109,Sep16Data[Cell 67])</f>
        <v>2578</v>
      </c>
      <c r="BQ64" s="209">
        <f>SUBTOTAL(109,Sep16Data[Cell 68])</f>
        <v>905</v>
      </c>
      <c r="BR64" s="209">
        <f>SUBTOTAL(109,Sep16Data[Cell 69])</f>
        <v>9822</v>
      </c>
      <c r="BS64" s="209">
        <f>SUBTOTAL(109,Sep16Data[Cell 70])</f>
        <v>10727</v>
      </c>
      <c r="BT64" s="209">
        <f>SUBTOTAL(109,Sep16Data[Cell 71])</f>
        <v>7064</v>
      </c>
      <c r="BU64" s="209">
        <f>SUBTOTAL(109,Sep16Data[Cell 72])</f>
        <v>43884</v>
      </c>
      <c r="BV64" s="209">
        <f>SUBTOTAL(109,Sep16Data[Cell 73])</f>
        <v>50948</v>
      </c>
      <c r="BW64" s="209">
        <f>SUBTOTAL(109,Sep16Data[Cell 74])</f>
        <v>256282</v>
      </c>
      <c r="BX64" s="209">
        <f>SUBTOTAL(109,Sep16Data[Cell 75])</f>
        <v>1792828</v>
      </c>
      <c r="BY64" s="209">
        <f>SUBTOTAL(109,Sep16Data[Cell 76])</f>
        <v>2049110</v>
      </c>
      <c r="BZ64" s="209">
        <f>SUBTOTAL(109,Sep16Data[Cell 77])</f>
        <v>251497</v>
      </c>
      <c r="CA64" s="209">
        <f>SUBTOTAL(109,Sep16Data[Cell 78])</f>
        <v>1762360</v>
      </c>
      <c r="CB64" s="209">
        <f>SUBTOTAL(109,Sep16Data[Cell 79])</f>
        <v>2013857</v>
      </c>
      <c r="CC64" s="209">
        <f>SUBTOTAL(109,Sep16Data[Cell 80])</f>
        <v>4212879</v>
      </c>
      <c r="CD64" s="209">
        <f>SUBTOTAL(109,Sep16Data[Cell 81])</f>
        <v>2666</v>
      </c>
      <c r="CE64" s="209">
        <f>SUBTOTAL(109,Sep16Data[Cell 82])</f>
        <v>29731</v>
      </c>
      <c r="CF64" s="209">
        <f>SUBTOTAL(109,Sep16Data[Cell 83])</f>
        <v>4644</v>
      </c>
      <c r="CG64" s="209">
        <f>SUBTOTAL(109,Sep16Data[Cell 84])</f>
        <v>20135</v>
      </c>
      <c r="CH64" s="209">
        <f>SUBTOTAL(109,Sep16Data[Cell 85])</f>
        <v>24779</v>
      </c>
      <c r="CI64" s="209">
        <f>SUBTOTAL(109,Sep16Data[Cell 86])</f>
        <v>12812</v>
      </c>
      <c r="CJ64" s="209">
        <f>SUBTOTAL(109,Sep16Data[Cell 87])</f>
        <v>1151</v>
      </c>
      <c r="CK64" s="209">
        <f>SUBTOTAL(109,Sep16Data[Cell 88])</f>
        <v>141</v>
      </c>
      <c r="CL64" s="209">
        <f>SUBTOTAL(109,Sep16Data[Cell 89])</f>
        <v>10333</v>
      </c>
      <c r="CM64" s="209">
        <f>SUBTOTAL(109,Sep16Data[Cell 90])</f>
        <v>10474</v>
      </c>
      <c r="CN64" s="209">
        <f>SUBTOTAL(109,Sep16Data[Cell 91])</f>
        <v>15098</v>
      </c>
      <c r="CO64" s="209">
        <f>SUBTOTAL(109,Sep16Data[Cell 92])</f>
        <v>164615</v>
      </c>
      <c r="CP64" s="209">
        <f>SUBTOTAL(109,Sep16Data[Cell 93])</f>
        <v>179713</v>
      </c>
      <c r="CQ64" s="209">
        <f>SUBTOTAL(109,Sep16Data[Cell 94])</f>
        <v>51</v>
      </c>
      <c r="CR64" s="209">
        <f>SUBTOTAL(109,Sep16Data[Cell 95])</f>
        <v>482</v>
      </c>
      <c r="CS64" s="209">
        <f>SUBTOTAL(109,Sep16Data[Cell 96])</f>
        <v>533</v>
      </c>
      <c r="CT64" s="209">
        <f>SUBTOTAL(109,Sep16Data[Cell 97])</f>
        <v>241184</v>
      </c>
      <c r="CU64" s="209">
        <f>SUBTOTAL(109,Sep16Data[Cell 98])</f>
        <v>1628213</v>
      </c>
      <c r="CV64" s="209">
        <f>SUBTOTAL(109,Sep16Data[Cell 99])</f>
        <v>1869397</v>
      </c>
      <c r="CW64" s="209">
        <f>SUBTOTAL(109,Sep16Data[Cell 100])</f>
        <v>16937</v>
      </c>
      <c r="CX64" s="209">
        <f>SUBTOTAL(109,Sep16Data[Cell 101])</f>
        <v>79117</v>
      </c>
      <c r="CY64" s="209">
        <f>SUBTOTAL(109,Sep16Data[Cell 102])</f>
        <v>96054</v>
      </c>
      <c r="CZ64" s="209">
        <f>SUBTOTAL(109,Sep16Data[Cell 103])</f>
        <v>16265</v>
      </c>
      <c r="DA64" s="209">
        <f>SUBTOTAL(109,Sep16Data[Cell 104])</f>
        <v>337</v>
      </c>
      <c r="DB64" s="209">
        <f>SUBTOTAL(109,Sep16Data[Cell 105])</f>
        <v>7</v>
      </c>
      <c r="DC64" s="209">
        <f>SUBTOTAL(109,Sep16Data[Cell 106])</f>
        <v>73095</v>
      </c>
      <c r="DD64" s="209">
        <f>SUBTOTAL(109,Sep16Data[Cell 107])</f>
        <v>1072</v>
      </c>
      <c r="DE64" s="209">
        <f>SUBTOTAL(109,Sep16Data[Cell 108])</f>
        <v>309</v>
      </c>
      <c r="DF64" s="209">
        <f>SUBTOTAL(109,Sep16Data[Cell 109])</f>
        <v>16609</v>
      </c>
      <c r="DG64" s="209">
        <f>SUBTOTAL(109,Sep16Data[Cell 110])</f>
        <v>74476</v>
      </c>
      <c r="DH64" s="209">
        <f>SUBTOTAL(109,Sep16Data[Cell 111])</f>
        <v>91085</v>
      </c>
      <c r="DI64" s="209">
        <f>SUBTOTAL(109,Sep16Data[Cell 112])</f>
        <v>316</v>
      </c>
      <c r="DJ64" s="209">
        <f>SUBTOTAL(109,Sep16Data[Cell 113])</f>
        <v>10</v>
      </c>
      <c r="DK64" s="209">
        <f>SUBTOTAL(109,Sep16Data[Cell 114])</f>
        <v>2</v>
      </c>
      <c r="DL64" s="209">
        <f>SUBTOTAL(109,Sep16Data[Cell 115])</f>
        <v>4501</v>
      </c>
      <c r="DM64" s="209">
        <f>SUBTOTAL(109,Sep16Data[Cell 116])</f>
        <v>111</v>
      </c>
      <c r="DN64" s="209">
        <f>SUBTOTAL(109,Sep16Data[Cell 117])</f>
        <v>29</v>
      </c>
      <c r="DO64" s="209">
        <f>SUBTOTAL(109,Sep16Data[Cell 118])</f>
        <v>328</v>
      </c>
      <c r="DP64" s="209">
        <f>SUBTOTAL(109,Sep16Data[Cell 119])</f>
        <v>4641</v>
      </c>
      <c r="DQ64" s="209">
        <f>SUBTOTAL(109,Sep16Data[Cell 120])</f>
        <v>4969</v>
      </c>
      <c r="DR64" s="209">
        <f>SUBTOTAL(109,Sep16Data[Cell 121])</f>
        <v>20</v>
      </c>
      <c r="DS64" s="209">
        <f>SUBTOTAL(109,Sep16Data[Cell 122])</f>
        <v>102</v>
      </c>
      <c r="DT64" s="209">
        <f>SUBTOTAL(109,Sep16Data[Cell 123])</f>
        <v>122</v>
      </c>
      <c r="DU64" s="210"/>
      <c r="DV64" s="200">
        <v>26520862</v>
      </c>
      <c r="DX64" s="192"/>
      <c r="DY64" s="192"/>
    </row>
  </sheetData>
  <conditionalFormatting sqref="B7:DT63">
    <cfRule type="containsBlanks" dxfId="1532" priority="2">
      <formula>LEN(TRIM(B7))=0</formula>
    </cfRule>
  </conditionalFormatting>
  <conditionalFormatting sqref="B6:DT6">
    <cfRule type="containsBlanks" dxfId="1387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4" customWidth="1"/>
    <col min="2" max="2" width="2.7109375" style="37" customWidth="1"/>
    <col min="3" max="3" width="2.7109375" style="26" customWidth="1"/>
    <col min="4" max="4" width="17.140625" style="26" customWidth="1"/>
    <col min="5" max="5" width="8.5703125" style="25" customWidth="1"/>
    <col min="6" max="6" width="3" style="26" customWidth="1"/>
    <col min="7" max="7" width="8.5703125" style="26" customWidth="1"/>
    <col min="8" max="8" width="3" style="26" customWidth="1"/>
    <col min="9" max="9" width="8.5703125" style="27" customWidth="1"/>
    <col min="10" max="10" width="3" style="25" customWidth="1"/>
    <col min="11" max="11" width="8.5703125" style="26" customWidth="1"/>
    <col min="12" max="12" width="3" style="26" customWidth="1"/>
    <col min="13" max="13" width="12.85546875" style="25" customWidth="1"/>
    <col min="14" max="14" width="3" style="27" customWidth="1"/>
    <col min="15" max="15" width="8.5703125" style="26" customWidth="1"/>
    <col min="16" max="16" width="3" style="25" customWidth="1"/>
    <col min="17" max="17" width="8.42578125" style="25" customWidth="1"/>
    <col min="18" max="18" width="3" style="26" customWidth="1"/>
    <col min="19" max="19" width="8.5703125" style="27" customWidth="1"/>
    <col min="20" max="20" width="3" style="26" customWidth="1"/>
    <col min="21" max="21" width="8.5703125" style="25" customWidth="1"/>
    <col min="22" max="22" width="3" style="25" customWidth="1"/>
    <col min="23" max="23" width="11.140625" style="26" customWidth="1"/>
    <col min="24" max="24" width="2.7109375" style="25" customWidth="1"/>
    <col min="25" max="25" width="2.42578125" style="26" customWidth="1"/>
    <col min="26" max="26" width="2.140625" style="26" customWidth="1"/>
    <col min="27" max="27" width="2.7109375" style="26" customWidth="1"/>
    <col min="28" max="28" width="3" style="27" customWidth="1"/>
    <col min="29" max="29" width="10.85546875" style="28" customWidth="1"/>
    <col min="30" max="30" width="3" style="27" customWidth="1"/>
    <col min="31" max="31" width="10.85546875" style="29" customWidth="1"/>
    <col min="32" max="32" width="9" style="30" customWidth="1"/>
    <col min="33" max="33" width="3.7109375" style="30" customWidth="1"/>
    <col min="34" max="41" width="9" style="30"/>
    <col min="42" max="16384" width="9" style="26"/>
  </cols>
  <sheetData>
    <row r="1" spans="1:41">
      <c r="A1" s="19" t="s">
        <v>91</v>
      </c>
      <c r="B1" s="20"/>
      <c r="C1" s="21"/>
      <c r="D1" s="21"/>
      <c r="E1" s="22"/>
      <c r="F1" s="21"/>
      <c r="G1" s="21"/>
      <c r="H1" s="21"/>
      <c r="I1" s="23"/>
      <c r="J1" s="22"/>
      <c r="K1" s="21"/>
      <c r="L1" s="21"/>
      <c r="M1" s="22"/>
      <c r="N1" s="23"/>
      <c r="O1" s="21"/>
      <c r="P1" s="22"/>
      <c r="Q1" s="22"/>
      <c r="R1" s="21"/>
      <c r="S1" s="23"/>
      <c r="T1" s="21"/>
      <c r="U1" s="22"/>
      <c r="V1" s="22"/>
      <c r="W1" s="24"/>
    </row>
    <row r="2" spans="1:41" s="37" customFormat="1" ht="21" customHeight="1">
      <c r="A2" s="31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4"/>
      <c r="W2" s="35"/>
      <c r="X2" s="36"/>
      <c r="Y2" s="36"/>
      <c r="Z2" s="36"/>
      <c r="AA2" s="36"/>
      <c r="AB2" s="36"/>
      <c r="AC2" s="36"/>
      <c r="AD2" s="36"/>
      <c r="AE2" s="36"/>
    </row>
    <row r="3" spans="1:41" s="41" customFormat="1" ht="16.149999999999999" customHeight="1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0"/>
    </row>
    <row r="4" spans="1:41" s="37" customFormat="1" ht="15.6" customHeight="1">
      <c r="A4" s="38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5"/>
      <c r="X4" s="36"/>
      <c r="Y4" s="36"/>
      <c r="Z4" s="36"/>
      <c r="AA4" s="36"/>
      <c r="AB4" s="36"/>
      <c r="AC4" s="36"/>
      <c r="AD4" s="36"/>
      <c r="AE4" s="36"/>
    </row>
    <row r="5" spans="1:41" ht="6" customHeight="1">
      <c r="A5" s="42"/>
      <c r="B5" s="43"/>
      <c r="C5" s="43"/>
      <c r="D5" s="43"/>
      <c r="E5" s="44"/>
      <c r="F5" s="43"/>
      <c r="G5" s="43"/>
      <c r="H5" s="43"/>
      <c r="I5" s="45"/>
      <c r="J5" s="44"/>
      <c r="K5" s="43"/>
      <c r="L5" s="43"/>
      <c r="M5" s="44"/>
      <c r="N5" s="45"/>
      <c r="O5" s="43"/>
      <c r="P5" s="44"/>
      <c r="Q5" s="44"/>
      <c r="R5" s="43"/>
      <c r="S5" s="45"/>
      <c r="T5" s="43"/>
      <c r="U5" s="44"/>
      <c r="V5" s="44"/>
      <c r="W5" s="46"/>
      <c r="X5" s="30"/>
      <c r="Y5" s="30"/>
      <c r="Z5" s="30"/>
      <c r="AA5" s="30"/>
      <c r="AB5" s="30"/>
      <c r="AC5" s="30"/>
      <c r="AD5" s="30"/>
      <c r="AE5" s="30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s="50" customFormat="1" ht="23.25">
      <c r="A6" s="47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168" t="s">
        <v>338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49"/>
      <c r="Y6" s="49"/>
      <c r="Z6" s="49"/>
      <c r="AA6" s="49"/>
      <c r="AB6" s="49"/>
      <c r="AC6" s="49"/>
      <c r="AD6" s="49"/>
      <c r="AE6" s="49"/>
    </row>
    <row r="7" spans="1:41" s="30" customFormat="1" ht="15.75" customHeight="1">
      <c r="A7" s="51" t="s">
        <v>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  <c r="S7" s="55"/>
      <c r="T7" s="55"/>
      <c r="U7" s="56"/>
      <c r="V7" s="54" t="s">
        <v>10</v>
      </c>
      <c r="W7" s="56"/>
    </row>
    <row r="8" spans="1:41" s="36" customFormat="1">
      <c r="A8" s="57" t="s">
        <v>11</v>
      </c>
      <c r="B8" s="58" t="s">
        <v>12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60"/>
      <c r="S8" s="61"/>
      <c r="T8" s="61"/>
      <c r="U8" s="62"/>
      <c r="V8" s="63">
        <v>1</v>
      </c>
      <c r="W8" s="64">
        <v>133163</v>
      </c>
      <c r="X8" s="30"/>
      <c r="Y8" s="30"/>
      <c r="Z8" s="30"/>
      <c r="AA8" s="30"/>
      <c r="AB8" s="30"/>
      <c r="AC8" s="30"/>
      <c r="AD8" s="30"/>
      <c r="AE8" s="30"/>
    </row>
    <row r="9" spans="1:41" s="73" customFormat="1">
      <c r="A9" s="57"/>
      <c r="B9" s="65" t="s">
        <v>13</v>
      </c>
      <c r="C9" s="66" t="s">
        <v>14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8"/>
      <c r="S9" s="69"/>
      <c r="T9" s="69"/>
      <c r="U9" s="70"/>
      <c r="V9" s="71">
        <v>2</v>
      </c>
      <c r="W9" s="72">
        <v>32114</v>
      </c>
      <c r="X9" s="30"/>
      <c r="Y9" s="30"/>
      <c r="Z9" s="30"/>
      <c r="AA9" s="30"/>
      <c r="AB9" s="30"/>
      <c r="AC9" s="30"/>
      <c r="AD9" s="30"/>
      <c r="AE9" s="30"/>
    </row>
    <row r="10" spans="1:41" s="73" customFormat="1">
      <c r="A10" s="57" t="s">
        <v>15</v>
      </c>
      <c r="B10" s="74" t="s">
        <v>16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68"/>
      <c r="S10" s="69"/>
      <c r="T10" s="69"/>
      <c r="U10" s="70"/>
      <c r="V10" s="76">
        <v>3</v>
      </c>
      <c r="W10" s="77">
        <v>133462</v>
      </c>
      <c r="X10" s="30"/>
      <c r="Y10" s="30"/>
      <c r="Z10" s="30"/>
      <c r="AA10" s="30"/>
      <c r="AB10" s="30"/>
      <c r="AC10" s="30"/>
      <c r="AD10" s="30"/>
      <c r="AE10" s="30"/>
    </row>
    <row r="11" spans="1:41" s="73" customFormat="1">
      <c r="A11" s="57"/>
      <c r="B11" s="78" t="s">
        <v>17</v>
      </c>
      <c r="C11" s="66" t="s">
        <v>18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79"/>
      <c r="S11" s="80"/>
      <c r="T11" s="80"/>
      <c r="U11" s="81"/>
      <c r="V11" s="82">
        <v>4</v>
      </c>
      <c r="W11" s="64">
        <v>88437</v>
      </c>
      <c r="X11" s="30"/>
      <c r="Y11" s="30"/>
      <c r="Z11" s="30"/>
      <c r="AA11" s="30"/>
      <c r="AB11" s="30"/>
      <c r="AC11" s="30"/>
      <c r="AD11" s="30"/>
      <c r="AE11" s="30"/>
    </row>
    <row r="12" spans="1:41" s="73" customFormat="1">
      <c r="A12" s="5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3"/>
      <c r="R12" s="54" t="s">
        <v>19</v>
      </c>
      <c r="S12" s="56"/>
      <c r="T12" s="54" t="s">
        <v>20</v>
      </c>
      <c r="U12" s="56"/>
      <c r="V12" s="54" t="s">
        <v>21</v>
      </c>
      <c r="W12" s="56"/>
      <c r="X12" s="30"/>
      <c r="Y12" s="30"/>
      <c r="Z12" s="30"/>
      <c r="AA12" s="30"/>
      <c r="AB12" s="30"/>
      <c r="AC12" s="30"/>
      <c r="AD12" s="30"/>
      <c r="AE12" s="30"/>
    </row>
    <row r="13" spans="1:41" s="73" customFormat="1">
      <c r="A13" s="57"/>
      <c r="B13" s="78"/>
      <c r="C13" s="78" t="s">
        <v>22</v>
      </c>
      <c r="D13" s="66" t="s">
        <v>23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3">
        <v>5</v>
      </c>
      <c r="S13" s="64">
        <v>240</v>
      </c>
      <c r="T13" s="63">
        <v>6</v>
      </c>
      <c r="U13" s="64">
        <v>1822</v>
      </c>
      <c r="V13" s="84">
        <v>7</v>
      </c>
      <c r="W13" s="85">
        <v>2062</v>
      </c>
      <c r="X13" s="30"/>
      <c r="Y13" s="30"/>
      <c r="Z13" s="30"/>
      <c r="AA13" s="30"/>
      <c r="AB13" s="30"/>
      <c r="AC13" s="30"/>
      <c r="AD13" s="30"/>
      <c r="AE13" s="30"/>
    </row>
    <row r="14" spans="1:41" s="73" customFormat="1">
      <c r="A14" s="86"/>
      <c r="B14" s="87" t="s">
        <v>24</v>
      </c>
      <c r="C14" s="66" t="s">
        <v>25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88">
        <v>8</v>
      </c>
      <c r="S14" s="89">
        <v>60</v>
      </c>
      <c r="T14" s="88">
        <v>9</v>
      </c>
      <c r="U14" s="89">
        <v>39912</v>
      </c>
      <c r="V14" s="88">
        <v>10</v>
      </c>
      <c r="W14" s="90">
        <v>39972</v>
      </c>
      <c r="X14" s="30"/>
      <c r="Y14" s="30"/>
      <c r="Z14" s="30"/>
      <c r="AA14" s="30"/>
      <c r="AB14" s="30"/>
      <c r="AC14" s="30"/>
      <c r="AD14" s="30"/>
      <c r="AE14" s="30"/>
    </row>
    <row r="15" spans="1:41" s="73" customFormat="1">
      <c r="A15" s="91"/>
      <c r="B15" s="87"/>
      <c r="C15" s="87" t="s">
        <v>22</v>
      </c>
      <c r="D15" s="66" t="s">
        <v>26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71">
        <v>11</v>
      </c>
      <c r="S15" s="64">
        <v>36</v>
      </c>
      <c r="T15" s="71">
        <v>12</v>
      </c>
      <c r="U15" s="64">
        <v>22285</v>
      </c>
      <c r="V15" s="88">
        <v>13</v>
      </c>
      <c r="W15" s="90">
        <v>22321</v>
      </c>
      <c r="X15" s="30"/>
      <c r="Y15" s="30"/>
      <c r="Z15" s="30"/>
      <c r="AA15" s="30"/>
      <c r="AB15" s="30"/>
      <c r="AC15" s="30"/>
      <c r="AD15" s="30"/>
      <c r="AE15" s="30"/>
    </row>
    <row r="16" spans="1:41" s="73" customFormat="1">
      <c r="A16" s="86"/>
      <c r="B16" s="87"/>
      <c r="C16" s="92" t="s">
        <v>27</v>
      </c>
      <c r="D16" s="66" t="s">
        <v>28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71">
        <v>14</v>
      </c>
      <c r="S16" s="64">
        <v>24</v>
      </c>
      <c r="T16" s="71">
        <v>15</v>
      </c>
      <c r="U16" s="64">
        <v>17627</v>
      </c>
      <c r="V16" s="88">
        <v>16</v>
      </c>
      <c r="W16" s="90">
        <v>17651</v>
      </c>
      <c r="X16" s="30"/>
      <c r="Y16" s="30"/>
      <c r="Z16" s="30"/>
      <c r="AA16" s="30"/>
      <c r="AB16" s="30"/>
      <c r="AC16" s="30"/>
      <c r="AD16" s="30"/>
      <c r="AE16" s="30"/>
    </row>
    <row r="17" spans="1:31" s="73" customFormat="1">
      <c r="A17" s="86"/>
      <c r="B17" s="87"/>
      <c r="C17" s="78" t="s">
        <v>29</v>
      </c>
      <c r="D17" s="93" t="s">
        <v>30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71">
        <v>17</v>
      </c>
      <c r="S17" s="64">
        <v>11</v>
      </c>
      <c r="T17" s="71">
        <v>18</v>
      </c>
      <c r="U17" s="64">
        <v>2020</v>
      </c>
      <c r="V17" s="88">
        <v>19</v>
      </c>
      <c r="W17" s="90">
        <v>2031</v>
      </c>
      <c r="X17" s="30"/>
      <c r="Y17" s="30"/>
      <c r="Z17" s="30"/>
      <c r="AA17" s="30"/>
      <c r="AB17" s="30"/>
      <c r="AC17" s="30"/>
      <c r="AD17" s="30"/>
      <c r="AE17" s="30"/>
    </row>
    <row r="18" spans="1:31" s="73" customFormat="1">
      <c r="A18" s="86"/>
      <c r="B18" s="87" t="s">
        <v>31</v>
      </c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  <c r="R18" s="82">
        <v>20</v>
      </c>
      <c r="S18" s="64">
        <v>0</v>
      </c>
      <c r="T18" s="82">
        <v>21</v>
      </c>
      <c r="U18" s="64">
        <v>5053</v>
      </c>
      <c r="V18" s="88">
        <v>22</v>
      </c>
      <c r="W18" s="90">
        <v>5053</v>
      </c>
      <c r="X18" s="30"/>
      <c r="Y18" s="30"/>
      <c r="Z18" s="30"/>
      <c r="AA18" s="30"/>
      <c r="AB18" s="30"/>
      <c r="AC18" s="30"/>
      <c r="AD18" s="30"/>
      <c r="AE18" s="30"/>
    </row>
    <row r="19" spans="1:31" s="73" customFormat="1" ht="15.75">
      <c r="A19" s="51" t="s">
        <v>33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  <c r="R19" s="54" t="s">
        <v>19</v>
      </c>
      <c r="S19" s="56"/>
      <c r="T19" s="54" t="s">
        <v>20</v>
      </c>
      <c r="U19" s="56"/>
      <c r="V19" s="54" t="s">
        <v>21</v>
      </c>
      <c r="W19" s="56"/>
      <c r="X19" s="30"/>
      <c r="Y19" s="30"/>
      <c r="Z19" s="30"/>
      <c r="AA19" s="30"/>
      <c r="AB19" s="30"/>
      <c r="AC19" s="30"/>
      <c r="AD19" s="30"/>
      <c r="AE19" s="30"/>
    </row>
    <row r="20" spans="1:31" s="73" customFormat="1">
      <c r="A20" s="97" t="s">
        <v>34</v>
      </c>
      <c r="B20" s="58" t="s">
        <v>35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98">
        <v>23</v>
      </c>
      <c r="S20" s="89">
        <v>4977</v>
      </c>
      <c r="T20" s="98">
        <v>24</v>
      </c>
      <c r="U20" s="89">
        <v>111678</v>
      </c>
      <c r="V20" s="84">
        <v>25</v>
      </c>
      <c r="W20" s="89">
        <v>116655</v>
      </c>
      <c r="X20" s="30"/>
      <c r="Y20" s="30"/>
      <c r="Z20" s="30"/>
      <c r="AA20" s="30"/>
      <c r="AB20" s="30"/>
      <c r="AC20" s="30"/>
      <c r="AD20" s="30"/>
      <c r="AE20" s="30"/>
    </row>
    <row r="21" spans="1:31" s="30" customFormat="1">
      <c r="A21" s="97"/>
      <c r="B21" s="78" t="s">
        <v>36</v>
      </c>
      <c r="C21" s="66" t="s">
        <v>37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76">
        <v>26</v>
      </c>
      <c r="S21" s="77">
        <v>3219</v>
      </c>
      <c r="T21" s="76">
        <v>27</v>
      </c>
      <c r="U21" s="77">
        <v>46211</v>
      </c>
      <c r="V21" s="88">
        <v>28</v>
      </c>
      <c r="W21" s="77">
        <v>49430</v>
      </c>
    </row>
    <row r="22" spans="1:31" s="30" customFormat="1">
      <c r="A22" s="99"/>
      <c r="B22" s="78"/>
      <c r="C22" s="100" t="s">
        <v>38</v>
      </c>
      <c r="D22" s="101" t="s">
        <v>39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71">
        <v>29</v>
      </c>
      <c r="S22" s="64">
        <v>2705</v>
      </c>
      <c r="T22" s="71">
        <v>30</v>
      </c>
      <c r="U22" s="64">
        <v>42916</v>
      </c>
      <c r="V22" s="88">
        <v>31</v>
      </c>
      <c r="W22" s="90">
        <v>45621</v>
      </c>
    </row>
    <row r="23" spans="1:31" s="30" customFormat="1">
      <c r="A23" s="99"/>
      <c r="B23" s="78"/>
      <c r="C23" s="100" t="s">
        <v>40</v>
      </c>
      <c r="D23" s="101" t="s">
        <v>41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71">
        <v>32</v>
      </c>
      <c r="S23" s="64">
        <v>194</v>
      </c>
      <c r="T23" s="71">
        <v>33</v>
      </c>
      <c r="U23" s="64">
        <v>1554</v>
      </c>
      <c r="V23" s="88">
        <v>34</v>
      </c>
      <c r="W23" s="90">
        <v>1748</v>
      </c>
    </row>
    <row r="24" spans="1:31" s="30" customFormat="1">
      <c r="A24" s="99"/>
      <c r="B24" s="78"/>
      <c r="C24" s="100" t="s">
        <v>42</v>
      </c>
      <c r="D24" s="101" t="s">
        <v>43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71">
        <v>35</v>
      </c>
      <c r="S24" s="64">
        <v>320</v>
      </c>
      <c r="T24" s="71">
        <v>36</v>
      </c>
      <c r="U24" s="64">
        <v>1741</v>
      </c>
      <c r="V24" s="88">
        <v>37</v>
      </c>
      <c r="W24" s="90">
        <v>2061</v>
      </c>
    </row>
    <row r="25" spans="1:31" s="30" customFormat="1">
      <c r="A25" s="97"/>
      <c r="B25" s="78" t="s">
        <v>44</v>
      </c>
      <c r="C25" s="103" t="s">
        <v>45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  <c r="R25" s="82">
        <v>38</v>
      </c>
      <c r="S25" s="64">
        <v>1758</v>
      </c>
      <c r="T25" s="82">
        <v>39</v>
      </c>
      <c r="U25" s="64">
        <v>65467</v>
      </c>
      <c r="V25" s="88">
        <v>40</v>
      </c>
      <c r="W25" s="90">
        <v>67225</v>
      </c>
    </row>
    <row r="26" spans="1:31" s="30" customFormat="1" ht="15.75">
      <c r="A26" s="51" t="s">
        <v>46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 t="s">
        <v>19</v>
      </c>
      <c r="S26" s="56"/>
      <c r="T26" s="54" t="s">
        <v>20</v>
      </c>
      <c r="U26" s="56"/>
      <c r="V26" s="54" t="s">
        <v>21</v>
      </c>
      <c r="W26" s="56"/>
    </row>
    <row r="27" spans="1:31" s="30" customFormat="1">
      <c r="A27" s="97" t="s">
        <v>47</v>
      </c>
      <c r="B27" s="105" t="s">
        <v>48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63">
        <v>41</v>
      </c>
      <c r="S27" s="64">
        <v>242045</v>
      </c>
      <c r="T27" s="63">
        <v>42</v>
      </c>
      <c r="U27" s="64">
        <v>1635281</v>
      </c>
      <c r="V27" s="84">
        <v>43</v>
      </c>
      <c r="W27" s="85">
        <v>1877326</v>
      </c>
    </row>
    <row r="28" spans="1:31" s="30" customFormat="1">
      <c r="A28" s="97"/>
      <c r="B28" s="107" t="s">
        <v>36</v>
      </c>
      <c r="C28" s="105" t="s">
        <v>49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71">
        <v>44</v>
      </c>
      <c r="S28" s="64">
        <v>241184</v>
      </c>
      <c r="T28" s="71">
        <v>45</v>
      </c>
      <c r="U28" s="64">
        <v>1628213</v>
      </c>
      <c r="V28" s="88">
        <v>46</v>
      </c>
      <c r="W28" s="90">
        <v>1869397</v>
      </c>
    </row>
    <row r="29" spans="1:31" s="30" customFormat="1">
      <c r="A29" s="97"/>
      <c r="B29" s="107" t="s">
        <v>44</v>
      </c>
      <c r="C29" s="105" t="s">
        <v>50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76">
        <v>47</v>
      </c>
      <c r="S29" s="108">
        <v>861</v>
      </c>
      <c r="T29" s="76">
        <v>48</v>
      </c>
      <c r="U29" s="108">
        <v>7068</v>
      </c>
      <c r="V29" s="88">
        <v>49</v>
      </c>
      <c r="W29" s="109">
        <v>7929</v>
      </c>
    </row>
    <row r="30" spans="1:31" s="30" customFormat="1">
      <c r="A30" s="97" t="s">
        <v>51</v>
      </c>
      <c r="B30" s="105" t="s">
        <v>52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88">
        <v>50</v>
      </c>
      <c r="S30" s="110">
        <v>16685</v>
      </c>
      <c r="T30" s="88">
        <v>51</v>
      </c>
      <c r="U30" s="110">
        <v>138388</v>
      </c>
      <c r="V30" s="88">
        <v>52</v>
      </c>
      <c r="W30" s="90">
        <v>155073</v>
      </c>
    </row>
    <row r="31" spans="1:31" s="118" customFormat="1" ht="12.75" customHeight="1">
      <c r="A31" s="99"/>
      <c r="B31" s="107"/>
      <c r="C31" s="107"/>
      <c r="D31" s="107"/>
      <c r="E31" s="111"/>
      <c r="F31" s="112" t="s">
        <v>53</v>
      </c>
      <c r="G31" s="113"/>
      <c r="H31" s="113"/>
      <c r="I31" s="113"/>
      <c r="J31" s="113"/>
      <c r="K31" s="114"/>
      <c r="L31" s="112" t="s">
        <v>54</v>
      </c>
      <c r="M31" s="113"/>
      <c r="N31" s="113"/>
      <c r="O31" s="113"/>
      <c r="P31" s="113"/>
      <c r="Q31" s="114"/>
      <c r="R31" s="115"/>
      <c r="S31" s="116"/>
      <c r="T31" s="116"/>
      <c r="U31" s="116"/>
      <c r="V31" s="116"/>
      <c r="W31" s="117"/>
    </row>
    <row r="32" spans="1:31" s="30" customFormat="1">
      <c r="A32" s="99"/>
      <c r="B32" s="107"/>
      <c r="C32" s="107"/>
      <c r="D32" s="107"/>
      <c r="E32" s="78"/>
      <c r="F32" s="112" t="s">
        <v>55</v>
      </c>
      <c r="G32" s="114"/>
      <c r="H32" s="112" t="s">
        <v>56</v>
      </c>
      <c r="I32" s="114"/>
      <c r="J32" s="112" t="s">
        <v>57</v>
      </c>
      <c r="K32" s="114"/>
      <c r="L32" s="112" t="s">
        <v>55</v>
      </c>
      <c r="M32" s="114"/>
      <c r="N32" s="112" t="s">
        <v>56</v>
      </c>
      <c r="O32" s="114"/>
      <c r="P32" s="112" t="s">
        <v>57</v>
      </c>
      <c r="Q32" s="114"/>
      <c r="R32" s="119"/>
      <c r="S32" s="120"/>
      <c r="T32" s="120"/>
      <c r="U32" s="120"/>
      <c r="V32" s="120"/>
      <c r="W32" s="121"/>
    </row>
    <row r="33" spans="1:23" s="30" customFormat="1">
      <c r="A33" s="99"/>
      <c r="B33" s="107" t="s">
        <v>17</v>
      </c>
      <c r="C33" s="105" t="s">
        <v>58</v>
      </c>
      <c r="D33" s="105"/>
      <c r="E33" s="106"/>
      <c r="F33" s="122">
        <v>53</v>
      </c>
      <c r="G33" s="64">
        <v>6374</v>
      </c>
      <c r="H33" s="122">
        <v>54</v>
      </c>
      <c r="I33" s="64">
        <v>142</v>
      </c>
      <c r="J33" s="122">
        <v>55</v>
      </c>
      <c r="K33" s="64">
        <v>33</v>
      </c>
      <c r="L33" s="122">
        <v>56</v>
      </c>
      <c r="M33" s="64">
        <v>80200</v>
      </c>
      <c r="N33" s="122">
        <v>57</v>
      </c>
      <c r="O33" s="64">
        <v>1022</v>
      </c>
      <c r="P33" s="122">
        <v>58</v>
      </c>
      <c r="Q33" s="64">
        <v>666</v>
      </c>
      <c r="R33" s="76">
        <v>59</v>
      </c>
      <c r="S33" s="123">
        <v>6549</v>
      </c>
      <c r="T33" s="124">
        <v>60</v>
      </c>
      <c r="U33" s="123">
        <v>81888</v>
      </c>
      <c r="V33" s="88">
        <v>61</v>
      </c>
      <c r="W33" s="90">
        <v>88437</v>
      </c>
    </row>
    <row r="34" spans="1:23" s="30" customFormat="1">
      <c r="A34" s="99"/>
      <c r="B34" s="107" t="s">
        <v>24</v>
      </c>
      <c r="C34" s="105" t="s">
        <v>59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71">
        <v>62</v>
      </c>
      <c r="S34" s="125">
        <v>1647</v>
      </c>
      <c r="T34" s="126">
        <v>63</v>
      </c>
      <c r="U34" s="64">
        <v>-1647</v>
      </c>
      <c r="V34" s="88">
        <v>64</v>
      </c>
      <c r="W34" s="90">
        <v>0</v>
      </c>
    </row>
    <row r="35" spans="1:23" s="30" customFormat="1">
      <c r="A35" s="99"/>
      <c r="B35" s="107" t="s">
        <v>60</v>
      </c>
      <c r="C35" s="105" t="s">
        <v>61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71">
        <v>65</v>
      </c>
      <c r="S35" s="64">
        <v>434</v>
      </c>
      <c r="T35" s="126">
        <v>66</v>
      </c>
      <c r="U35" s="64">
        <v>2136</v>
      </c>
      <c r="V35" s="88">
        <v>67</v>
      </c>
      <c r="W35" s="90">
        <v>2570</v>
      </c>
    </row>
    <row r="36" spans="1:23" s="30" customFormat="1">
      <c r="A36" s="99"/>
      <c r="B36" s="107" t="s">
        <v>62</v>
      </c>
      <c r="C36" s="105" t="s">
        <v>63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71">
        <v>68</v>
      </c>
      <c r="S36" s="64">
        <v>981</v>
      </c>
      <c r="T36" s="126">
        <v>69</v>
      </c>
      <c r="U36" s="64">
        <v>10635</v>
      </c>
      <c r="V36" s="88">
        <v>70</v>
      </c>
      <c r="W36" s="90">
        <v>11616</v>
      </c>
    </row>
    <row r="37" spans="1:23" s="30" customFormat="1">
      <c r="A37" s="97"/>
      <c r="B37" s="107" t="s">
        <v>64</v>
      </c>
      <c r="C37" s="105" t="s">
        <v>65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71">
        <v>71</v>
      </c>
      <c r="S37" s="64">
        <v>7074</v>
      </c>
      <c r="T37" s="126">
        <v>72</v>
      </c>
      <c r="U37" s="64">
        <v>45376</v>
      </c>
      <c r="V37" s="88">
        <v>73</v>
      </c>
      <c r="W37" s="90">
        <v>52450</v>
      </c>
    </row>
    <row r="38" spans="1:23" s="30" customFormat="1">
      <c r="A38" s="97" t="s">
        <v>66</v>
      </c>
      <c r="B38" s="105" t="s">
        <v>67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27"/>
      <c r="S38" s="128"/>
      <c r="T38" s="128"/>
      <c r="U38" s="128"/>
      <c r="V38" s="128"/>
      <c r="W38" s="129"/>
    </row>
    <row r="39" spans="1:23" s="30" customFormat="1">
      <c r="A39" s="99"/>
      <c r="B39" s="105" t="s">
        <v>68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76">
        <v>74</v>
      </c>
      <c r="S39" s="123">
        <v>258730</v>
      </c>
      <c r="T39" s="124">
        <v>75</v>
      </c>
      <c r="U39" s="123">
        <v>1773669</v>
      </c>
      <c r="V39" s="88">
        <v>76</v>
      </c>
      <c r="W39" s="90">
        <v>2032399</v>
      </c>
    </row>
    <row r="40" spans="1:23" s="30" customFormat="1">
      <c r="A40" s="99"/>
      <c r="B40" s="107" t="s">
        <v>17</v>
      </c>
      <c r="C40" s="130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2">
        <v>77</v>
      </c>
      <c r="S40" s="64">
        <v>253647</v>
      </c>
      <c r="T40" s="132">
        <v>78</v>
      </c>
      <c r="U40" s="64">
        <v>1744078</v>
      </c>
      <c r="V40" s="88">
        <v>79</v>
      </c>
      <c r="W40" s="90">
        <v>1997725</v>
      </c>
    </row>
    <row r="41" spans="1:23" s="30" customFormat="1">
      <c r="A41" s="99"/>
      <c r="B41" s="78"/>
      <c r="C41" s="133" t="s">
        <v>22</v>
      </c>
      <c r="D41" s="105" t="s">
        <v>70</v>
      </c>
      <c r="E41" s="105"/>
      <c r="F41" s="105"/>
      <c r="G41" s="105"/>
      <c r="H41" s="105"/>
      <c r="I41" s="105"/>
      <c r="J41" s="105"/>
      <c r="K41" s="106"/>
      <c r="L41" s="112" t="s">
        <v>71</v>
      </c>
      <c r="M41" s="114"/>
      <c r="N41" s="112" t="s">
        <v>72</v>
      </c>
      <c r="O41" s="113"/>
      <c r="P41" s="113"/>
      <c r="Q41" s="114"/>
      <c r="R41" s="115"/>
      <c r="S41" s="116"/>
      <c r="T41" s="116"/>
      <c r="U41" s="116"/>
      <c r="V41" s="116"/>
      <c r="W41" s="117"/>
    </row>
    <row r="42" spans="1:23" s="30" customFormat="1">
      <c r="A42" s="99"/>
      <c r="B42" s="78"/>
      <c r="C42" s="107"/>
      <c r="D42" s="105" t="s">
        <v>73</v>
      </c>
      <c r="E42" s="105"/>
      <c r="F42" s="105"/>
      <c r="G42" s="105"/>
      <c r="H42" s="105"/>
      <c r="I42" s="105"/>
      <c r="J42" s="105"/>
      <c r="K42" s="106"/>
      <c r="L42" s="134">
        <v>80</v>
      </c>
      <c r="M42" s="64">
        <v>4181252</v>
      </c>
      <c r="N42" s="112" t="s">
        <v>74</v>
      </c>
      <c r="O42" s="114"/>
      <c r="P42" s="112" t="s">
        <v>75</v>
      </c>
      <c r="Q42" s="114"/>
      <c r="R42" s="119"/>
      <c r="S42" s="120"/>
      <c r="T42" s="120"/>
      <c r="U42" s="120"/>
      <c r="V42" s="120"/>
      <c r="W42" s="121"/>
    </row>
    <row r="43" spans="1:23" s="30" customFormat="1">
      <c r="A43" s="99"/>
      <c r="B43" s="107" t="s">
        <v>24</v>
      </c>
      <c r="C43" s="105" t="s">
        <v>76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6"/>
      <c r="N43" s="134">
        <v>81</v>
      </c>
      <c r="O43" s="64">
        <v>2611</v>
      </c>
      <c r="P43" s="134">
        <v>82</v>
      </c>
      <c r="Q43" s="64">
        <v>29414</v>
      </c>
      <c r="R43" s="71">
        <v>83</v>
      </c>
      <c r="S43" s="64">
        <v>4754</v>
      </c>
      <c r="T43" s="71">
        <v>84</v>
      </c>
      <c r="U43" s="64">
        <v>19703</v>
      </c>
      <c r="V43" s="76">
        <v>85</v>
      </c>
      <c r="W43" s="135">
        <v>24457</v>
      </c>
    </row>
    <row r="44" spans="1:23" s="30" customFormat="1">
      <c r="A44" s="99"/>
      <c r="B44" s="107" t="s">
        <v>31</v>
      </c>
      <c r="C44" s="105" t="s">
        <v>77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6"/>
      <c r="N44" s="136">
        <v>86</v>
      </c>
      <c r="O44" s="64">
        <v>12430</v>
      </c>
      <c r="P44" s="136">
        <v>87</v>
      </c>
      <c r="Q44" s="64">
        <v>1159</v>
      </c>
      <c r="R44" s="71">
        <v>88</v>
      </c>
      <c r="S44" s="64">
        <v>329</v>
      </c>
      <c r="T44" s="71">
        <v>89</v>
      </c>
      <c r="U44" s="64">
        <v>9888</v>
      </c>
      <c r="V44" s="76">
        <v>90</v>
      </c>
      <c r="W44" s="135">
        <v>10217</v>
      </c>
    </row>
    <row r="45" spans="1:23" s="30" customFormat="1">
      <c r="A45" s="97" t="s">
        <v>78</v>
      </c>
      <c r="B45" s="105" t="s">
        <v>79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71">
        <v>91</v>
      </c>
      <c r="S45" s="64">
        <v>12988</v>
      </c>
      <c r="T45" s="71">
        <v>92</v>
      </c>
      <c r="U45" s="64">
        <v>142200</v>
      </c>
      <c r="V45" s="76">
        <v>93</v>
      </c>
      <c r="W45" s="135">
        <v>155188</v>
      </c>
    </row>
    <row r="46" spans="1:23" s="30" customFormat="1">
      <c r="A46" s="137"/>
      <c r="B46" s="138" t="s">
        <v>13</v>
      </c>
      <c r="C46" s="139" t="s">
        <v>80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71">
        <v>94</v>
      </c>
      <c r="S46" s="64">
        <v>76</v>
      </c>
      <c r="T46" s="71">
        <v>95</v>
      </c>
      <c r="U46" s="64">
        <v>648</v>
      </c>
      <c r="V46" s="76">
        <v>96</v>
      </c>
      <c r="W46" s="135">
        <v>724</v>
      </c>
    </row>
    <row r="47" spans="1:23" s="30" customFormat="1">
      <c r="A47" s="97" t="s">
        <v>81</v>
      </c>
      <c r="B47" s="105" t="s">
        <v>82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41">
        <v>97</v>
      </c>
      <c r="S47" s="142">
        <v>245742</v>
      </c>
      <c r="T47" s="141">
        <v>98</v>
      </c>
      <c r="U47" s="143">
        <v>1631469</v>
      </c>
      <c r="V47" s="88">
        <v>99</v>
      </c>
      <c r="W47" s="90">
        <v>1877211</v>
      </c>
    </row>
    <row r="48" spans="1:23" s="30" customFormat="1" ht="15.75">
      <c r="A48" s="51" t="s">
        <v>83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R48" s="54" t="s">
        <v>19</v>
      </c>
      <c r="S48" s="56"/>
      <c r="T48" s="54" t="s">
        <v>20</v>
      </c>
      <c r="U48" s="56"/>
      <c r="V48" s="54" t="s">
        <v>21</v>
      </c>
      <c r="W48" s="56"/>
    </row>
    <row r="49" spans="1:31" s="30" customFormat="1" ht="13.5" customHeight="1">
      <c r="A49" s="99" t="s">
        <v>84</v>
      </c>
      <c r="B49" s="105" t="s">
        <v>85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44">
        <v>100</v>
      </c>
      <c r="S49" s="145">
        <v>15566</v>
      </c>
      <c r="T49" s="144">
        <v>101</v>
      </c>
      <c r="U49" s="145">
        <v>71495</v>
      </c>
      <c r="V49" s="98">
        <v>102</v>
      </c>
      <c r="W49" s="146">
        <v>87061</v>
      </c>
    </row>
    <row r="50" spans="1:31" s="150" customFormat="1" ht="14.25" customHeight="1">
      <c r="A50" s="99"/>
      <c r="B50" s="107"/>
      <c r="C50" s="107"/>
      <c r="D50" s="107"/>
      <c r="E50" s="107"/>
      <c r="F50" s="112" t="s">
        <v>53</v>
      </c>
      <c r="G50" s="113"/>
      <c r="H50" s="113"/>
      <c r="I50" s="113"/>
      <c r="J50" s="113"/>
      <c r="K50" s="114"/>
      <c r="L50" s="112" t="s">
        <v>54</v>
      </c>
      <c r="M50" s="113"/>
      <c r="N50" s="113"/>
      <c r="O50" s="113"/>
      <c r="P50" s="113"/>
      <c r="Q50" s="114"/>
      <c r="R50" s="147"/>
      <c r="S50" s="148"/>
      <c r="T50" s="148"/>
      <c r="U50" s="148"/>
      <c r="V50" s="148"/>
      <c r="W50" s="149"/>
    </row>
    <row r="51" spans="1:31" s="154" customFormat="1" ht="15" customHeight="1">
      <c r="A51" s="99"/>
      <c r="B51" s="107"/>
      <c r="C51" s="107"/>
      <c r="D51" s="107"/>
      <c r="E51" s="107"/>
      <c r="F51" s="112" t="s">
        <v>55</v>
      </c>
      <c r="G51" s="114"/>
      <c r="H51" s="112" t="s">
        <v>56</v>
      </c>
      <c r="I51" s="114"/>
      <c r="J51" s="112" t="s">
        <v>57</v>
      </c>
      <c r="K51" s="114"/>
      <c r="L51" s="112" t="s">
        <v>55</v>
      </c>
      <c r="M51" s="114"/>
      <c r="N51" s="112" t="s">
        <v>56</v>
      </c>
      <c r="O51" s="114"/>
      <c r="P51" s="112" t="s">
        <v>57</v>
      </c>
      <c r="Q51" s="114"/>
      <c r="R51" s="151"/>
      <c r="S51" s="152"/>
      <c r="T51" s="152"/>
      <c r="U51" s="152"/>
      <c r="V51" s="152"/>
      <c r="W51" s="153"/>
    </row>
    <row r="52" spans="1:31" s="157" customFormat="1" ht="15.75" customHeight="1">
      <c r="A52" s="99"/>
      <c r="B52" s="107" t="s">
        <v>17</v>
      </c>
      <c r="C52" s="105" t="s">
        <v>86</v>
      </c>
      <c r="D52" s="105"/>
      <c r="E52" s="106"/>
      <c r="F52" s="122">
        <v>103</v>
      </c>
      <c r="G52" s="64">
        <v>15018</v>
      </c>
      <c r="H52" s="122">
        <v>104</v>
      </c>
      <c r="I52" s="64">
        <v>305</v>
      </c>
      <c r="J52" s="122">
        <v>105</v>
      </c>
      <c r="K52" s="64">
        <v>5</v>
      </c>
      <c r="L52" s="122">
        <v>106</v>
      </c>
      <c r="M52" s="64">
        <v>65925</v>
      </c>
      <c r="N52" s="122">
        <v>107</v>
      </c>
      <c r="O52" s="64">
        <v>954</v>
      </c>
      <c r="P52" s="122">
        <v>108</v>
      </c>
      <c r="Q52" s="64">
        <v>265</v>
      </c>
      <c r="R52" s="155">
        <v>109</v>
      </c>
      <c r="S52" s="156">
        <v>15328</v>
      </c>
      <c r="T52" s="155">
        <v>110</v>
      </c>
      <c r="U52" s="156">
        <v>67144</v>
      </c>
      <c r="V52" s="76">
        <v>111</v>
      </c>
      <c r="W52" s="135">
        <v>82472</v>
      </c>
    </row>
    <row r="53" spans="1:31" s="158" customFormat="1" ht="13.5" customHeight="1">
      <c r="A53" s="99"/>
      <c r="B53" s="107" t="s">
        <v>24</v>
      </c>
      <c r="C53" s="105" t="s">
        <v>87</v>
      </c>
      <c r="D53" s="105"/>
      <c r="E53" s="106"/>
      <c r="F53" s="122">
        <v>112</v>
      </c>
      <c r="G53" s="64">
        <v>234</v>
      </c>
      <c r="H53" s="122">
        <v>113</v>
      </c>
      <c r="I53" s="64">
        <v>4</v>
      </c>
      <c r="J53" s="122">
        <v>114</v>
      </c>
      <c r="K53" s="64">
        <v>0</v>
      </c>
      <c r="L53" s="122">
        <v>115</v>
      </c>
      <c r="M53" s="64">
        <v>4225</v>
      </c>
      <c r="N53" s="122">
        <v>116</v>
      </c>
      <c r="O53" s="64">
        <v>101</v>
      </c>
      <c r="P53" s="122">
        <v>117</v>
      </c>
      <c r="Q53" s="64">
        <v>25</v>
      </c>
      <c r="R53" s="155">
        <v>118</v>
      </c>
      <c r="S53" s="156">
        <v>238</v>
      </c>
      <c r="T53" s="155">
        <v>119</v>
      </c>
      <c r="U53" s="156">
        <v>4351</v>
      </c>
      <c r="V53" s="76">
        <v>120</v>
      </c>
      <c r="W53" s="135">
        <v>4589</v>
      </c>
      <c r="X53" s="30"/>
      <c r="Y53" s="30"/>
      <c r="Z53" s="30"/>
      <c r="AA53" s="30"/>
      <c r="AB53" s="30"/>
      <c r="AC53" s="30"/>
      <c r="AD53" s="30"/>
      <c r="AE53" s="30"/>
    </row>
    <row r="54" spans="1:31" s="163" customFormat="1" ht="13.5" customHeight="1">
      <c r="A54" s="159" t="s">
        <v>88</v>
      </c>
      <c r="B54" s="160" t="s">
        <v>89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2">
        <v>121</v>
      </c>
      <c r="S54" s="64">
        <v>1</v>
      </c>
      <c r="T54" s="162">
        <v>122</v>
      </c>
      <c r="U54" s="64">
        <v>22</v>
      </c>
      <c r="V54" s="76">
        <v>123</v>
      </c>
      <c r="W54" s="135">
        <v>23</v>
      </c>
    </row>
    <row r="55" spans="1:31" ht="15.75">
      <c r="A55" s="51" t="s">
        <v>3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/>
    </row>
    <row r="56" spans="1:31" ht="63" customHeight="1">
      <c r="A56" s="203" t="s">
        <v>362</v>
      </c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AC56" s="30"/>
    </row>
    <row r="57" spans="1:31">
      <c r="U57" s="165"/>
      <c r="V57" s="166" t="s">
        <v>90</v>
      </c>
      <c r="W57" s="167">
        <v>26206928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DY64"/>
  <sheetViews>
    <sheetView showGridLines="0" zoomScaleNormal="100" workbookViewId="0"/>
  </sheetViews>
  <sheetFormatPr defaultColWidth="16.5703125" defaultRowHeight="15"/>
  <cols>
    <col min="1" max="1" width="26.42578125" style="201" customWidth="1"/>
    <col min="2" max="124" width="20.7109375" style="192" customWidth="1"/>
    <col min="125" max="125" width="1.7109375" style="172" customWidth="1"/>
    <col min="126" max="126" width="18" style="192" bestFit="1" customWidth="1"/>
    <col min="127" max="127" width="16.5703125" style="193"/>
    <col min="128" max="16384" width="16.5703125" style="192"/>
  </cols>
  <sheetData>
    <row r="1" spans="1:129" s="173" customFormat="1" ht="15.75">
      <c r="A1" s="171" t="s">
        <v>339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W1" s="174"/>
    </row>
    <row r="2" spans="1:129" s="172" customFormat="1" ht="15.75">
      <c r="A2" s="175"/>
      <c r="B2" s="176" t="s">
        <v>92</v>
      </c>
      <c r="C2" s="176" t="s">
        <v>92</v>
      </c>
      <c r="D2" s="176" t="s">
        <v>92</v>
      </c>
      <c r="E2" s="176" t="s">
        <v>92</v>
      </c>
      <c r="F2" s="176" t="s">
        <v>92</v>
      </c>
      <c r="G2" s="176" t="s">
        <v>92</v>
      </c>
      <c r="H2" s="176" t="s">
        <v>92</v>
      </c>
      <c r="I2" s="176" t="s">
        <v>92</v>
      </c>
      <c r="J2" s="176" t="s">
        <v>92</v>
      </c>
      <c r="K2" s="176" t="s">
        <v>92</v>
      </c>
      <c r="L2" s="176" t="s">
        <v>92</v>
      </c>
      <c r="M2" s="176" t="s">
        <v>92</v>
      </c>
      <c r="N2" s="176" t="s">
        <v>92</v>
      </c>
      <c r="O2" s="176" t="s">
        <v>92</v>
      </c>
      <c r="P2" s="176" t="s">
        <v>92</v>
      </c>
      <c r="Q2" s="176" t="s">
        <v>92</v>
      </c>
      <c r="R2" s="176" t="s">
        <v>92</v>
      </c>
      <c r="S2" s="176" t="s">
        <v>92</v>
      </c>
      <c r="T2" s="176" t="s">
        <v>92</v>
      </c>
      <c r="U2" s="176" t="s">
        <v>92</v>
      </c>
      <c r="V2" s="176" t="s">
        <v>92</v>
      </c>
      <c r="W2" s="176" t="s">
        <v>92</v>
      </c>
      <c r="X2" s="176" t="s">
        <v>93</v>
      </c>
      <c r="Y2" s="176" t="s">
        <v>93</v>
      </c>
      <c r="Z2" s="176" t="s">
        <v>93</v>
      </c>
      <c r="AA2" s="176" t="s">
        <v>93</v>
      </c>
      <c r="AB2" s="176" t="s">
        <v>93</v>
      </c>
      <c r="AC2" s="176" t="s">
        <v>93</v>
      </c>
      <c r="AD2" s="176" t="s">
        <v>93</v>
      </c>
      <c r="AE2" s="176" t="s">
        <v>93</v>
      </c>
      <c r="AF2" s="176" t="s">
        <v>93</v>
      </c>
      <c r="AG2" s="176" t="s">
        <v>93</v>
      </c>
      <c r="AH2" s="176" t="s">
        <v>93</v>
      </c>
      <c r="AI2" s="176" t="s">
        <v>93</v>
      </c>
      <c r="AJ2" s="176" t="s">
        <v>93</v>
      </c>
      <c r="AK2" s="176" t="s">
        <v>93</v>
      </c>
      <c r="AL2" s="176" t="s">
        <v>93</v>
      </c>
      <c r="AM2" s="176" t="s">
        <v>93</v>
      </c>
      <c r="AN2" s="176" t="s">
        <v>93</v>
      </c>
      <c r="AO2" s="176" t="s">
        <v>93</v>
      </c>
      <c r="AP2" s="176" t="s">
        <v>94</v>
      </c>
      <c r="AQ2" s="176" t="s">
        <v>94</v>
      </c>
      <c r="AR2" s="176" t="s">
        <v>94</v>
      </c>
      <c r="AS2" s="176" t="s">
        <v>94</v>
      </c>
      <c r="AT2" s="176" t="s">
        <v>94</v>
      </c>
      <c r="AU2" s="176" t="s">
        <v>94</v>
      </c>
      <c r="AV2" s="176" t="s">
        <v>94</v>
      </c>
      <c r="AW2" s="176" t="s">
        <v>94</v>
      </c>
      <c r="AX2" s="176" t="s">
        <v>94</v>
      </c>
      <c r="AY2" s="176" t="s">
        <v>94</v>
      </c>
      <c r="AZ2" s="176" t="s">
        <v>94</v>
      </c>
      <c r="BA2" s="176" t="s">
        <v>94</v>
      </c>
      <c r="BB2" s="176" t="s">
        <v>94</v>
      </c>
      <c r="BC2" s="176" t="s">
        <v>94</v>
      </c>
      <c r="BD2" s="176" t="s">
        <v>94</v>
      </c>
      <c r="BE2" s="176" t="s">
        <v>94</v>
      </c>
      <c r="BF2" s="176" t="s">
        <v>94</v>
      </c>
      <c r="BG2" s="176" t="s">
        <v>94</v>
      </c>
      <c r="BH2" s="176" t="s">
        <v>94</v>
      </c>
      <c r="BI2" s="176" t="s">
        <v>94</v>
      </c>
      <c r="BJ2" s="176" t="s">
        <v>94</v>
      </c>
      <c r="BK2" s="176" t="s">
        <v>94</v>
      </c>
      <c r="BL2" s="176" t="s">
        <v>94</v>
      </c>
      <c r="BM2" s="176" t="s">
        <v>94</v>
      </c>
      <c r="BN2" s="176" t="s">
        <v>94</v>
      </c>
      <c r="BO2" s="176" t="s">
        <v>94</v>
      </c>
      <c r="BP2" s="176" t="s">
        <v>94</v>
      </c>
      <c r="BQ2" s="176" t="s">
        <v>94</v>
      </c>
      <c r="BR2" s="176" t="s">
        <v>94</v>
      </c>
      <c r="BS2" s="176" t="s">
        <v>94</v>
      </c>
      <c r="BT2" s="176" t="s">
        <v>94</v>
      </c>
      <c r="BU2" s="176" t="s">
        <v>94</v>
      </c>
      <c r="BV2" s="176" t="s">
        <v>94</v>
      </c>
      <c r="BW2" s="176" t="s">
        <v>94</v>
      </c>
      <c r="BX2" s="176" t="s">
        <v>94</v>
      </c>
      <c r="BY2" s="176" t="s">
        <v>94</v>
      </c>
      <c r="BZ2" s="176" t="s">
        <v>94</v>
      </c>
      <c r="CA2" s="176" t="s">
        <v>94</v>
      </c>
      <c r="CB2" s="176" t="s">
        <v>94</v>
      </c>
      <c r="CC2" s="176" t="s">
        <v>94</v>
      </c>
      <c r="CD2" s="176" t="s">
        <v>94</v>
      </c>
      <c r="CE2" s="176" t="s">
        <v>94</v>
      </c>
      <c r="CF2" s="176" t="s">
        <v>94</v>
      </c>
      <c r="CG2" s="176" t="s">
        <v>94</v>
      </c>
      <c r="CH2" s="176" t="s">
        <v>94</v>
      </c>
      <c r="CI2" s="176" t="s">
        <v>94</v>
      </c>
      <c r="CJ2" s="176" t="s">
        <v>94</v>
      </c>
      <c r="CK2" s="176" t="s">
        <v>94</v>
      </c>
      <c r="CL2" s="176" t="s">
        <v>94</v>
      </c>
      <c r="CM2" s="176" t="s">
        <v>94</v>
      </c>
      <c r="CN2" s="176" t="s">
        <v>94</v>
      </c>
      <c r="CO2" s="176" t="s">
        <v>94</v>
      </c>
      <c r="CP2" s="176" t="s">
        <v>94</v>
      </c>
      <c r="CQ2" s="176" t="s">
        <v>94</v>
      </c>
      <c r="CR2" s="176" t="s">
        <v>94</v>
      </c>
      <c r="CS2" s="176" t="s">
        <v>94</v>
      </c>
      <c r="CT2" s="176" t="s">
        <v>94</v>
      </c>
      <c r="CU2" s="176" t="s">
        <v>94</v>
      </c>
      <c r="CV2" s="176" t="s">
        <v>94</v>
      </c>
      <c r="CW2" s="176" t="s">
        <v>95</v>
      </c>
      <c r="CX2" s="176" t="s">
        <v>95</v>
      </c>
      <c r="CY2" s="176" t="s">
        <v>95</v>
      </c>
      <c r="CZ2" s="176" t="s">
        <v>95</v>
      </c>
      <c r="DA2" s="176" t="s">
        <v>95</v>
      </c>
      <c r="DB2" s="176" t="s">
        <v>95</v>
      </c>
      <c r="DC2" s="176" t="s">
        <v>95</v>
      </c>
      <c r="DD2" s="176" t="s">
        <v>95</v>
      </c>
      <c r="DE2" s="176" t="s">
        <v>95</v>
      </c>
      <c r="DF2" s="176" t="s">
        <v>95</v>
      </c>
      <c r="DG2" s="176" t="s">
        <v>95</v>
      </c>
      <c r="DH2" s="176" t="s">
        <v>95</v>
      </c>
      <c r="DI2" s="176" t="s">
        <v>95</v>
      </c>
      <c r="DJ2" s="176" t="s">
        <v>95</v>
      </c>
      <c r="DK2" s="176" t="s">
        <v>95</v>
      </c>
      <c r="DL2" s="176" t="s">
        <v>95</v>
      </c>
      <c r="DM2" s="176" t="s">
        <v>95</v>
      </c>
      <c r="DN2" s="176" t="s">
        <v>95</v>
      </c>
      <c r="DO2" s="176" t="s">
        <v>95</v>
      </c>
      <c r="DP2" s="176" t="s">
        <v>95</v>
      </c>
      <c r="DQ2" s="176" t="s">
        <v>95</v>
      </c>
      <c r="DR2" s="176" t="s">
        <v>95</v>
      </c>
      <c r="DS2" s="176" t="s">
        <v>95</v>
      </c>
      <c r="DT2" s="176" t="s">
        <v>95</v>
      </c>
    </row>
    <row r="3" spans="1:129" s="172" customFormat="1" ht="31.5">
      <c r="A3" s="175"/>
      <c r="B3" s="177"/>
      <c r="C3" s="178"/>
      <c r="D3" s="178"/>
      <c r="E3" s="179"/>
      <c r="F3" s="180" t="s">
        <v>19</v>
      </c>
      <c r="G3" s="180" t="s">
        <v>20</v>
      </c>
      <c r="H3" s="180" t="s">
        <v>96</v>
      </c>
      <c r="I3" s="181" t="s">
        <v>19</v>
      </c>
      <c r="J3" s="181" t="s">
        <v>20</v>
      </c>
      <c r="K3" s="181" t="s">
        <v>96</v>
      </c>
      <c r="L3" s="181" t="s">
        <v>19</v>
      </c>
      <c r="M3" s="181" t="s">
        <v>20</v>
      </c>
      <c r="N3" s="181" t="s">
        <v>96</v>
      </c>
      <c r="O3" s="181" t="s">
        <v>19</v>
      </c>
      <c r="P3" s="181" t="s">
        <v>20</v>
      </c>
      <c r="Q3" s="181" t="s">
        <v>96</v>
      </c>
      <c r="R3" s="181" t="s">
        <v>19</v>
      </c>
      <c r="S3" s="181" t="s">
        <v>20</v>
      </c>
      <c r="T3" s="181" t="s">
        <v>96</v>
      </c>
      <c r="U3" s="181" t="s">
        <v>19</v>
      </c>
      <c r="V3" s="181" t="s">
        <v>20</v>
      </c>
      <c r="W3" s="181" t="s">
        <v>96</v>
      </c>
      <c r="X3" s="181" t="s">
        <v>19</v>
      </c>
      <c r="Y3" s="181" t="s">
        <v>20</v>
      </c>
      <c r="Z3" s="182" t="s">
        <v>96</v>
      </c>
      <c r="AA3" s="182" t="s">
        <v>19</v>
      </c>
      <c r="AB3" s="182" t="s">
        <v>20</v>
      </c>
      <c r="AC3" s="182" t="s">
        <v>96</v>
      </c>
      <c r="AD3" s="182" t="s">
        <v>19</v>
      </c>
      <c r="AE3" s="182" t="s">
        <v>20</v>
      </c>
      <c r="AF3" s="181" t="s">
        <v>96</v>
      </c>
      <c r="AG3" s="181" t="s">
        <v>19</v>
      </c>
      <c r="AH3" s="181" t="s">
        <v>20</v>
      </c>
      <c r="AI3" s="181" t="s">
        <v>96</v>
      </c>
      <c r="AJ3" s="181" t="s">
        <v>19</v>
      </c>
      <c r="AK3" s="181" t="s">
        <v>20</v>
      </c>
      <c r="AL3" s="181" t="s">
        <v>96</v>
      </c>
      <c r="AM3" s="181" t="s">
        <v>19</v>
      </c>
      <c r="AN3" s="181" t="s">
        <v>20</v>
      </c>
      <c r="AO3" s="181" t="s">
        <v>96</v>
      </c>
      <c r="AP3" s="181" t="s">
        <v>19</v>
      </c>
      <c r="AQ3" s="181" t="s">
        <v>20</v>
      </c>
      <c r="AR3" s="181" t="s">
        <v>96</v>
      </c>
      <c r="AS3" s="181" t="s">
        <v>19</v>
      </c>
      <c r="AT3" s="181" t="s">
        <v>20</v>
      </c>
      <c r="AU3" s="181" t="s">
        <v>96</v>
      </c>
      <c r="AV3" s="181" t="s">
        <v>19</v>
      </c>
      <c r="AW3" s="181" t="s">
        <v>20</v>
      </c>
      <c r="AX3" s="181" t="s">
        <v>96</v>
      </c>
      <c r="AY3" s="181" t="s">
        <v>19</v>
      </c>
      <c r="AZ3" s="181" t="s">
        <v>20</v>
      </c>
      <c r="BA3" s="181" t="s">
        <v>96</v>
      </c>
      <c r="BB3" s="181" t="s">
        <v>97</v>
      </c>
      <c r="BC3" s="181" t="s">
        <v>98</v>
      </c>
      <c r="BD3" s="181" t="s">
        <v>99</v>
      </c>
      <c r="BE3" s="181" t="s">
        <v>100</v>
      </c>
      <c r="BF3" s="181" t="s">
        <v>101</v>
      </c>
      <c r="BG3" s="181" t="s">
        <v>102</v>
      </c>
      <c r="BH3" s="181" t="s">
        <v>19</v>
      </c>
      <c r="BI3" s="182" t="s">
        <v>20</v>
      </c>
      <c r="BJ3" s="182" t="s">
        <v>96</v>
      </c>
      <c r="BK3" s="182" t="s">
        <v>19</v>
      </c>
      <c r="BL3" s="182" t="s">
        <v>20</v>
      </c>
      <c r="BM3" s="182" t="s">
        <v>96</v>
      </c>
      <c r="BN3" s="182" t="s">
        <v>19</v>
      </c>
      <c r="BO3" s="182" t="s">
        <v>20</v>
      </c>
      <c r="BP3" s="182" t="s">
        <v>96</v>
      </c>
      <c r="BQ3" s="182" t="s">
        <v>19</v>
      </c>
      <c r="BR3" s="182" t="s">
        <v>20</v>
      </c>
      <c r="BS3" s="182" t="s">
        <v>96</v>
      </c>
      <c r="BT3" s="182" t="s">
        <v>19</v>
      </c>
      <c r="BU3" s="182" t="s">
        <v>20</v>
      </c>
      <c r="BV3" s="182" t="s">
        <v>96</v>
      </c>
      <c r="BW3" s="181" t="s">
        <v>19</v>
      </c>
      <c r="BX3" s="181" t="s">
        <v>20</v>
      </c>
      <c r="BY3" s="181" t="s">
        <v>96</v>
      </c>
      <c r="BZ3" s="181" t="s">
        <v>19</v>
      </c>
      <c r="CA3" s="181" t="s">
        <v>20</v>
      </c>
      <c r="CB3" s="182" t="s">
        <v>96</v>
      </c>
      <c r="CC3" s="182" t="s">
        <v>71</v>
      </c>
      <c r="CD3" s="182" t="s">
        <v>103</v>
      </c>
      <c r="CE3" s="182" t="s">
        <v>104</v>
      </c>
      <c r="CF3" s="182" t="s">
        <v>19</v>
      </c>
      <c r="CG3" s="182" t="s">
        <v>20</v>
      </c>
      <c r="CH3" s="182" t="s">
        <v>96</v>
      </c>
      <c r="CI3" s="182" t="s">
        <v>103</v>
      </c>
      <c r="CJ3" s="182" t="s">
        <v>104</v>
      </c>
      <c r="CK3" s="182" t="s">
        <v>19</v>
      </c>
      <c r="CL3" s="182" t="s">
        <v>20</v>
      </c>
      <c r="CM3" s="182" t="s">
        <v>96</v>
      </c>
      <c r="CN3" s="182" t="s">
        <v>19</v>
      </c>
      <c r="CO3" s="182" t="s">
        <v>20</v>
      </c>
      <c r="CP3" s="182" t="s">
        <v>96</v>
      </c>
      <c r="CQ3" s="182" t="s">
        <v>19</v>
      </c>
      <c r="CR3" s="182" t="s">
        <v>20</v>
      </c>
      <c r="CS3" s="182" t="s">
        <v>96</v>
      </c>
      <c r="CT3" s="182" t="s">
        <v>19</v>
      </c>
      <c r="CU3" s="182" t="s">
        <v>20</v>
      </c>
      <c r="CV3" s="182" t="s">
        <v>96</v>
      </c>
      <c r="CW3" s="181" t="s">
        <v>19</v>
      </c>
      <c r="CX3" s="181" t="s">
        <v>20</v>
      </c>
      <c r="CY3" s="181" t="s">
        <v>96</v>
      </c>
      <c r="CZ3" s="181" t="s">
        <v>105</v>
      </c>
      <c r="DA3" s="181" t="s">
        <v>106</v>
      </c>
      <c r="DB3" s="182" t="s">
        <v>107</v>
      </c>
      <c r="DC3" s="182" t="s">
        <v>108</v>
      </c>
      <c r="DD3" s="181" t="s">
        <v>109</v>
      </c>
      <c r="DE3" s="181" t="s">
        <v>110</v>
      </c>
      <c r="DF3" s="181" t="s">
        <v>19</v>
      </c>
      <c r="DG3" s="181" t="s">
        <v>20</v>
      </c>
      <c r="DH3" s="181" t="s">
        <v>96</v>
      </c>
      <c r="DI3" s="181" t="s">
        <v>105</v>
      </c>
      <c r="DJ3" s="181" t="s">
        <v>106</v>
      </c>
      <c r="DK3" s="182" t="s">
        <v>107</v>
      </c>
      <c r="DL3" s="182" t="s">
        <v>108</v>
      </c>
      <c r="DM3" s="181" t="s">
        <v>109</v>
      </c>
      <c r="DN3" s="181" t="s">
        <v>110</v>
      </c>
      <c r="DO3" s="181" t="s">
        <v>19</v>
      </c>
      <c r="DP3" s="181" t="s">
        <v>20</v>
      </c>
      <c r="DQ3" s="181" t="s">
        <v>96</v>
      </c>
      <c r="DR3" s="181" t="s">
        <v>19</v>
      </c>
      <c r="DS3" s="181" t="s">
        <v>20</v>
      </c>
      <c r="DT3" s="181" t="s">
        <v>96</v>
      </c>
    </row>
    <row r="4" spans="1:129" s="172" customFormat="1" ht="141.75">
      <c r="A4" s="183" t="s">
        <v>338</v>
      </c>
      <c r="B4" s="184" t="s">
        <v>111</v>
      </c>
      <c r="C4" s="184" t="s">
        <v>112</v>
      </c>
      <c r="D4" s="184" t="s">
        <v>113</v>
      </c>
      <c r="E4" s="184" t="s">
        <v>114</v>
      </c>
      <c r="F4" s="184" t="s">
        <v>115</v>
      </c>
      <c r="G4" s="184" t="s">
        <v>115</v>
      </c>
      <c r="H4" s="184" t="s">
        <v>115</v>
      </c>
      <c r="I4" s="184" t="s">
        <v>116</v>
      </c>
      <c r="J4" s="184" t="s">
        <v>116</v>
      </c>
      <c r="K4" s="184" t="s">
        <v>116</v>
      </c>
      <c r="L4" s="184" t="s">
        <v>117</v>
      </c>
      <c r="M4" s="184" t="s">
        <v>117</v>
      </c>
      <c r="N4" s="184" t="s">
        <v>117</v>
      </c>
      <c r="O4" s="184" t="s">
        <v>118</v>
      </c>
      <c r="P4" s="184" t="s">
        <v>118</v>
      </c>
      <c r="Q4" s="184" t="s">
        <v>118</v>
      </c>
      <c r="R4" s="184" t="s">
        <v>119</v>
      </c>
      <c r="S4" s="184" t="s">
        <v>119</v>
      </c>
      <c r="T4" s="184" t="s">
        <v>119</v>
      </c>
      <c r="U4" s="184" t="s">
        <v>120</v>
      </c>
      <c r="V4" s="184" t="s">
        <v>120</v>
      </c>
      <c r="W4" s="184" t="s">
        <v>120</v>
      </c>
      <c r="X4" s="184" t="s">
        <v>121</v>
      </c>
      <c r="Y4" s="184" t="s">
        <v>121</v>
      </c>
      <c r="Z4" s="184" t="s">
        <v>121</v>
      </c>
      <c r="AA4" s="184" t="s">
        <v>122</v>
      </c>
      <c r="AB4" s="184" t="s">
        <v>122</v>
      </c>
      <c r="AC4" s="184" t="s">
        <v>122</v>
      </c>
      <c r="AD4" s="184" t="s">
        <v>123</v>
      </c>
      <c r="AE4" s="184" t="s">
        <v>123</v>
      </c>
      <c r="AF4" s="184" t="s">
        <v>123</v>
      </c>
      <c r="AG4" s="184" t="s">
        <v>124</v>
      </c>
      <c r="AH4" s="184" t="s">
        <v>124</v>
      </c>
      <c r="AI4" s="184" t="s">
        <v>124</v>
      </c>
      <c r="AJ4" s="184" t="s">
        <v>125</v>
      </c>
      <c r="AK4" s="184" t="s">
        <v>125</v>
      </c>
      <c r="AL4" s="184" t="s">
        <v>125</v>
      </c>
      <c r="AM4" s="184" t="s">
        <v>126</v>
      </c>
      <c r="AN4" s="184" t="s">
        <v>126</v>
      </c>
      <c r="AO4" s="184" t="s">
        <v>126</v>
      </c>
      <c r="AP4" s="184" t="s">
        <v>127</v>
      </c>
      <c r="AQ4" s="184" t="s">
        <v>127</v>
      </c>
      <c r="AR4" s="184" t="s">
        <v>127</v>
      </c>
      <c r="AS4" s="184" t="s">
        <v>128</v>
      </c>
      <c r="AT4" s="184" t="s">
        <v>128</v>
      </c>
      <c r="AU4" s="184" t="s">
        <v>128</v>
      </c>
      <c r="AV4" s="184" t="s">
        <v>129</v>
      </c>
      <c r="AW4" s="184" t="s">
        <v>129</v>
      </c>
      <c r="AX4" s="184" t="s">
        <v>129</v>
      </c>
      <c r="AY4" s="184" t="s">
        <v>130</v>
      </c>
      <c r="AZ4" s="184" t="s">
        <v>130</v>
      </c>
      <c r="BA4" s="184" t="s">
        <v>130</v>
      </c>
      <c r="BB4" s="184" t="s">
        <v>131</v>
      </c>
      <c r="BC4" s="184" t="s">
        <v>131</v>
      </c>
      <c r="BD4" s="184" t="s">
        <v>131</v>
      </c>
      <c r="BE4" s="184" t="s">
        <v>131</v>
      </c>
      <c r="BF4" s="184" t="s">
        <v>131</v>
      </c>
      <c r="BG4" s="184" t="s">
        <v>131</v>
      </c>
      <c r="BH4" s="184" t="s">
        <v>131</v>
      </c>
      <c r="BI4" s="184" t="s">
        <v>131</v>
      </c>
      <c r="BJ4" s="184" t="s">
        <v>131</v>
      </c>
      <c r="BK4" s="184" t="s">
        <v>132</v>
      </c>
      <c r="BL4" s="184" t="s">
        <v>132</v>
      </c>
      <c r="BM4" s="184" t="s">
        <v>132</v>
      </c>
      <c r="BN4" s="184" t="s">
        <v>133</v>
      </c>
      <c r="BO4" s="184" t="s">
        <v>133</v>
      </c>
      <c r="BP4" s="184" t="s">
        <v>133</v>
      </c>
      <c r="BQ4" s="184" t="s">
        <v>134</v>
      </c>
      <c r="BR4" s="184" t="s">
        <v>134</v>
      </c>
      <c r="BS4" s="184" t="s">
        <v>134</v>
      </c>
      <c r="BT4" s="184" t="s">
        <v>135</v>
      </c>
      <c r="BU4" s="184" t="s">
        <v>135</v>
      </c>
      <c r="BV4" s="184" t="s">
        <v>135</v>
      </c>
      <c r="BW4" s="184" t="s">
        <v>136</v>
      </c>
      <c r="BX4" s="184" t="s">
        <v>136</v>
      </c>
      <c r="BY4" s="184" t="s">
        <v>136</v>
      </c>
      <c r="BZ4" s="184" t="s">
        <v>137</v>
      </c>
      <c r="CA4" s="184" t="s">
        <v>137</v>
      </c>
      <c r="CB4" s="184" t="s">
        <v>137</v>
      </c>
      <c r="CC4" s="184" t="s">
        <v>138</v>
      </c>
      <c r="CD4" s="184" t="s">
        <v>139</v>
      </c>
      <c r="CE4" s="184" t="s">
        <v>139</v>
      </c>
      <c r="CF4" s="184" t="s">
        <v>139</v>
      </c>
      <c r="CG4" s="184" t="s">
        <v>139</v>
      </c>
      <c r="CH4" s="184" t="s">
        <v>139</v>
      </c>
      <c r="CI4" s="184" t="s">
        <v>140</v>
      </c>
      <c r="CJ4" s="184" t="s">
        <v>140</v>
      </c>
      <c r="CK4" s="184" t="s">
        <v>140</v>
      </c>
      <c r="CL4" s="184" t="s">
        <v>140</v>
      </c>
      <c r="CM4" s="184" t="s">
        <v>140</v>
      </c>
      <c r="CN4" s="184" t="s">
        <v>141</v>
      </c>
      <c r="CO4" s="184" t="s">
        <v>141</v>
      </c>
      <c r="CP4" s="184" t="s">
        <v>141</v>
      </c>
      <c r="CQ4" s="184" t="s">
        <v>142</v>
      </c>
      <c r="CR4" s="184" t="s">
        <v>142</v>
      </c>
      <c r="CS4" s="184" t="s">
        <v>142</v>
      </c>
      <c r="CT4" s="184" t="s">
        <v>143</v>
      </c>
      <c r="CU4" s="184" t="s">
        <v>143</v>
      </c>
      <c r="CV4" s="184" t="s">
        <v>143</v>
      </c>
      <c r="CW4" s="184" t="s">
        <v>144</v>
      </c>
      <c r="CX4" s="184" t="s">
        <v>144</v>
      </c>
      <c r="CY4" s="184" t="s">
        <v>144</v>
      </c>
      <c r="CZ4" s="184" t="s">
        <v>145</v>
      </c>
      <c r="DA4" s="184" t="s">
        <v>145</v>
      </c>
      <c r="DB4" s="184" t="s">
        <v>145</v>
      </c>
      <c r="DC4" s="184" t="s">
        <v>145</v>
      </c>
      <c r="DD4" s="184" t="s">
        <v>145</v>
      </c>
      <c r="DE4" s="184" t="s">
        <v>145</v>
      </c>
      <c r="DF4" s="184" t="s">
        <v>145</v>
      </c>
      <c r="DG4" s="184" t="s">
        <v>145</v>
      </c>
      <c r="DH4" s="184" t="s">
        <v>145</v>
      </c>
      <c r="DI4" s="184" t="s">
        <v>146</v>
      </c>
      <c r="DJ4" s="184" t="s">
        <v>146</v>
      </c>
      <c r="DK4" s="184" t="s">
        <v>146</v>
      </c>
      <c r="DL4" s="184" t="s">
        <v>146</v>
      </c>
      <c r="DM4" s="184" t="s">
        <v>146</v>
      </c>
      <c r="DN4" s="184" t="s">
        <v>146</v>
      </c>
      <c r="DO4" s="184" t="s">
        <v>146</v>
      </c>
      <c r="DP4" s="184" t="s">
        <v>146</v>
      </c>
      <c r="DQ4" s="184" t="s">
        <v>146</v>
      </c>
      <c r="DR4" s="184" t="s">
        <v>147</v>
      </c>
      <c r="DS4" s="184" t="s">
        <v>147</v>
      </c>
      <c r="DT4" s="184" t="s">
        <v>147</v>
      </c>
    </row>
    <row r="5" spans="1:129" s="187" customFormat="1">
      <c r="A5" s="185" t="s">
        <v>148</v>
      </c>
      <c r="B5" s="186" t="s">
        <v>149</v>
      </c>
      <c r="C5" s="186" t="s">
        <v>150</v>
      </c>
      <c r="D5" s="186" t="s">
        <v>151</v>
      </c>
      <c r="E5" s="186" t="s">
        <v>152</v>
      </c>
      <c r="F5" s="186" t="s">
        <v>153</v>
      </c>
      <c r="G5" s="186" t="s">
        <v>154</v>
      </c>
      <c r="H5" s="186" t="s">
        <v>155</v>
      </c>
      <c r="I5" s="186" t="s">
        <v>156</v>
      </c>
      <c r="J5" s="186" t="s">
        <v>157</v>
      </c>
      <c r="K5" s="186" t="s">
        <v>158</v>
      </c>
      <c r="L5" s="186" t="s">
        <v>159</v>
      </c>
      <c r="M5" s="186" t="s">
        <v>160</v>
      </c>
      <c r="N5" s="186" t="s">
        <v>161</v>
      </c>
      <c r="O5" s="186" t="s">
        <v>162</v>
      </c>
      <c r="P5" s="186" t="s">
        <v>163</v>
      </c>
      <c r="Q5" s="186" t="s">
        <v>164</v>
      </c>
      <c r="R5" s="186" t="s">
        <v>165</v>
      </c>
      <c r="S5" s="186" t="s">
        <v>166</v>
      </c>
      <c r="T5" s="186" t="s">
        <v>167</v>
      </c>
      <c r="U5" s="186" t="s">
        <v>168</v>
      </c>
      <c r="V5" s="186" t="s">
        <v>169</v>
      </c>
      <c r="W5" s="186" t="s">
        <v>170</v>
      </c>
      <c r="X5" s="186" t="s">
        <v>171</v>
      </c>
      <c r="Y5" s="186" t="s">
        <v>172</v>
      </c>
      <c r="Z5" s="186" t="s">
        <v>173</v>
      </c>
      <c r="AA5" s="186" t="s">
        <v>174</v>
      </c>
      <c r="AB5" s="186" t="s">
        <v>175</v>
      </c>
      <c r="AC5" s="186" t="s">
        <v>176</v>
      </c>
      <c r="AD5" s="186" t="s">
        <v>177</v>
      </c>
      <c r="AE5" s="186" t="s">
        <v>178</v>
      </c>
      <c r="AF5" s="186" t="s">
        <v>179</v>
      </c>
      <c r="AG5" s="186" t="s">
        <v>180</v>
      </c>
      <c r="AH5" s="186" t="s">
        <v>181</v>
      </c>
      <c r="AI5" s="186" t="s">
        <v>182</v>
      </c>
      <c r="AJ5" s="186" t="s">
        <v>183</v>
      </c>
      <c r="AK5" s="186" t="s">
        <v>184</v>
      </c>
      <c r="AL5" s="186" t="s">
        <v>185</v>
      </c>
      <c r="AM5" s="186" t="s">
        <v>186</v>
      </c>
      <c r="AN5" s="186" t="s">
        <v>187</v>
      </c>
      <c r="AO5" s="186" t="s">
        <v>188</v>
      </c>
      <c r="AP5" s="186" t="s">
        <v>189</v>
      </c>
      <c r="AQ5" s="186" t="s">
        <v>190</v>
      </c>
      <c r="AR5" s="186" t="s">
        <v>191</v>
      </c>
      <c r="AS5" s="186" t="s">
        <v>192</v>
      </c>
      <c r="AT5" s="186" t="s">
        <v>193</v>
      </c>
      <c r="AU5" s="186" t="s">
        <v>194</v>
      </c>
      <c r="AV5" s="186" t="s">
        <v>195</v>
      </c>
      <c r="AW5" s="186" t="s">
        <v>196</v>
      </c>
      <c r="AX5" s="186" t="s">
        <v>197</v>
      </c>
      <c r="AY5" s="186" t="s">
        <v>198</v>
      </c>
      <c r="AZ5" s="186" t="s">
        <v>199</v>
      </c>
      <c r="BA5" s="186" t="s">
        <v>200</v>
      </c>
      <c r="BB5" s="186" t="s">
        <v>201</v>
      </c>
      <c r="BC5" s="186" t="s">
        <v>202</v>
      </c>
      <c r="BD5" s="186" t="s">
        <v>203</v>
      </c>
      <c r="BE5" s="186" t="s">
        <v>204</v>
      </c>
      <c r="BF5" s="186" t="s">
        <v>205</v>
      </c>
      <c r="BG5" s="186" t="s">
        <v>206</v>
      </c>
      <c r="BH5" s="186" t="s">
        <v>207</v>
      </c>
      <c r="BI5" s="186" t="s">
        <v>208</v>
      </c>
      <c r="BJ5" s="186" t="s">
        <v>209</v>
      </c>
      <c r="BK5" s="186" t="s">
        <v>210</v>
      </c>
      <c r="BL5" s="186" t="s">
        <v>211</v>
      </c>
      <c r="BM5" s="186" t="s">
        <v>212</v>
      </c>
      <c r="BN5" s="186" t="s">
        <v>213</v>
      </c>
      <c r="BO5" s="186" t="s">
        <v>214</v>
      </c>
      <c r="BP5" s="186" t="s">
        <v>215</v>
      </c>
      <c r="BQ5" s="186" t="s">
        <v>216</v>
      </c>
      <c r="BR5" s="186" t="s">
        <v>217</v>
      </c>
      <c r="BS5" s="186" t="s">
        <v>218</v>
      </c>
      <c r="BT5" s="186" t="s">
        <v>219</v>
      </c>
      <c r="BU5" s="186" t="s">
        <v>220</v>
      </c>
      <c r="BV5" s="186" t="s">
        <v>221</v>
      </c>
      <c r="BW5" s="186" t="s">
        <v>222</v>
      </c>
      <c r="BX5" s="186" t="s">
        <v>223</v>
      </c>
      <c r="BY5" s="186" t="s">
        <v>224</v>
      </c>
      <c r="BZ5" s="186" t="s">
        <v>225</v>
      </c>
      <c r="CA5" s="186" t="s">
        <v>226</v>
      </c>
      <c r="CB5" s="186" t="s">
        <v>227</v>
      </c>
      <c r="CC5" s="186" t="s">
        <v>228</v>
      </c>
      <c r="CD5" s="186" t="s">
        <v>229</v>
      </c>
      <c r="CE5" s="186" t="s">
        <v>230</v>
      </c>
      <c r="CF5" s="186" t="s">
        <v>231</v>
      </c>
      <c r="CG5" s="186" t="s">
        <v>232</v>
      </c>
      <c r="CH5" s="186" t="s">
        <v>233</v>
      </c>
      <c r="CI5" s="186" t="s">
        <v>234</v>
      </c>
      <c r="CJ5" s="186" t="s">
        <v>235</v>
      </c>
      <c r="CK5" s="186" t="s">
        <v>236</v>
      </c>
      <c r="CL5" s="186" t="s">
        <v>237</v>
      </c>
      <c r="CM5" s="186" t="s">
        <v>238</v>
      </c>
      <c r="CN5" s="186" t="s">
        <v>239</v>
      </c>
      <c r="CO5" s="186" t="s">
        <v>240</v>
      </c>
      <c r="CP5" s="186" t="s">
        <v>241</v>
      </c>
      <c r="CQ5" s="186" t="s">
        <v>242</v>
      </c>
      <c r="CR5" s="186" t="s">
        <v>243</v>
      </c>
      <c r="CS5" s="186" t="s">
        <v>244</v>
      </c>
      <c r="CT5" s="186" t="s">
        <v>245</v>
      </c>
      <c r="CU5" s="186" t="s">
        <v>246</v>
      </c>
      <c r="CV5" s="186" t="s">
        <v>247</v>
      </c>
      <c r="CW5" s="186" t="s">
        <v>248</v>
      </c>
      <c r="CX5" s="186" t="s">
        <v>249</v>
      </c>
      <c r="CY5" s="186" t="s">
        <v>250</v>
      </c>
      <c r="CZ5" s="186" t="s">
        <v>251</v>
      </c>
      <c r="DA5" s="186" t="s">
        <v>252</v>
      </c>
      <c r="DB5" s="186" t="s">
        <v>253</v>
      </c>
      <c r="DC5" s="186" t="s">
        <v>254</v>
      </c>
      <c r="DD5" s="186" t="s">
        <v>255</v>
      </c>
      <c r="DE5" s="186" t="s">
        <v>256</v>
      </c>
      <c r="DF5" s="186" t="s">
        <v>257</v>
      </c>
      <c r="DG5" s="186" t="s">
        <v>258</v>
      </c>
      <c r="DH5" s="186" t="s">
        <v>259</v>
      </c>
      <c r="DI5" s="186" t="s">
        <v>260</v>
      </c>
      <c r="DJ5" s="186" t="s">
        <v>261</v>
      </c>
      <c r="DK5" s="186" t="s">
        <v>262</v>
      </c>
      <c r="DL5" s="186" t="s">
        <v>263</v>
      </c>
      <c r="DM5" s="186" t="s">
        <v>264</v>
      </c>
      <c r="DN5" s="186" t="s">
        <v>265</v>
      </c>
      <c r="DO5" s="186" t="s">
        <v>266</v>
      </c>
      <c r="DP5" s="186" t="s">
        <v>267</v>
      </c>
      <c r="DQ5" s="186" t="s">
        <v>268</v>
      </c>
      <c r="DR5" s="186" t="s">
        <v>269</v>
      </c>
      <c r="DS5" s="186" t="s">
        <v>270</v>
      </c>
      <c r="DT5" s="186" t="s">
        <v>271</v>
      </c>
      <c r="DU5" s="172"/>
      <c r="DW5" s="188"/>
    </row>
    <row r="6" spans="1:129" ht="15.75">
      <c r="A6" s="189" t="s">
        <v>351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  <c r="CT6" s="190"/>
      <c r="CU6" s="190"/>
      <c r="CV6" s="190"/>
      <c r="CW6" s="190"/>
      <c r="CX6" s="190"/>
      <c r="CY6" s="190"/>
      <c r="CZ6" s="190"/>
      <c r="DA6" s="190"/>
      <c r="DB6" s="190"/>
      <c r="DC6" s="190"/>
      <c r="DD6" s="190"/>
      <c r="DE6" s="190"/>
      <c r="DF6" s="190"/>
      <c r="DG6" s="190"/>
      <c r="DH6" s="190"/>
      <c r="DI6" s="190"/>
      <c r="DJ6" s="190"/>
      <c r="DK6" s="190"/>
      <c r="DL6" s="190"/>
      <c r="DM6" s="190"/>
      <c r="DN6" s="190"/>
      <c r="DO6" s="190"/>
      <c r="DP6" s="190"/>
      <c r="DQ6" s="190"/>
      <c r="DR6" s="190"/>
      <c r="DS6" s="190"/>
      <c r="DT6" s="191"/>
    </row>
    <row r="7" spans="1:129">
      <c r="A7" s="189" t="s">
        <v>272</v>
      </c>
      <c r="B7" s="190">
        <v>3</v>
      </c>
      <c r="C7" s="190">
        <v>0</v>
      </c>
      <c r="D7" s="190">
        <v>3</v>
      </c>
      <c r="E7" s="190">
        <v>3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0">
        <v>0</v>
      </c>
      <c r="Q7" s="190">
        <v>0</v>
      </c>
      <c r="R7" s="190">
        <v>0</v>
      </c>
      <c r="S7" s="190">
        <v>0</v>
      </c>
      <c r="T7" s="190">
        <v>0</v>
      </c>
      <c r="U7" s="190">
        <v>0</v>
      </c>
      <c r="V7" s="190">
        <v>0</v>
      </c>
      <c r="W7" s="190">
        <v>0</v>
      </c>
      <c r="X7" s="190">
        <v>0</v>
      </c>
      <c r="Y7" s="190">
        <v>3</v>
      </c>
      <c r="Z7" s="190">
        <v>3</v>
      </c>
      <c r="AA7" s="190">
        <v>0</v>
      </c>
      <c r="AB7" s="190">
        <v>0</v>
      </c>
      <c r="AC7" s="190">
        <v>0</v>
      </c>
      <c r="AD7" s="190">
        <v>0</v>
      </c>
      <c r="AE7" s="190">
        <v>0</v>
      </c>
      <c r="AF7" s="190">
        <v>0</v>
      </c>
      <c r="AG7" s="190">
        <v>0</v>
      </c>
      <c r="AH7" s="190">
        <v>0</v>
      </c>
      <c r="AI7" s="190">
        <v>0</v>
      </c>
      <c r="AJ7" s="190">
        <v>0</v>
      </c>
      <c r="AK7" s="190">
        <v>0</v>
      </c>
      <c r="AL7" s="190">
        <v>0</v>
      </c>
      <c r="AM7" s="190">
        <v>0</v>
      </c>
      <c r="AN7" s="190">
        <v>3</v>
      </c>
      <c r="AO7" s="190">
        <v>3</v>
      </c>
      <c r="AP7" s="190">
        <v>0</v>
      </c>
      <c r="AQ7" s="190">
        <v>83</v>
      </c>
      <c r="AR7" s="190">
        <v>83</v>
      </c>
      <c r="AS7" s="190">
        <v>0</v>
      </c>
      <c r="AT7" s="190">
        <v>83</v>
      </c>
      <c r="AU7" s="190">
        <v>83</v>
      </c>
      <c r="AV7" s="190">
        <v>0</v>
      </c>
      <c r="AW7" s="190">
        <v>0</v>
      </c>
      <c r="AX7" s="190">
        <v>0</v>
      </c>
      <c r="AY7" s="190">
        <v>0</v>
      </c>
      <c r="AZ7" s="190">
        <v>5</v>
      </c>
      <c r="BA7" s="190">
        <v>5</v>
      </c>
      <c r="BB7" s="190">
        <v>0</v>
      </c>
      <c r="BC7" s="190">
        <v>0</v>
      </c>
      <c r="BD7" s="190">
        <v>0</v>
      </c>
      <c r="BE7" s="190">
        <v>3</v>
      </c>
      <c r="BF7" s="190">
        <v>0</v>
      </c>
      <c r="BG7" s="190">
        <v>0</v>
      </c>
      <c r="BH7" s="190">
        <v>0</v>
      </c>
      <c r="BI7" s="190">
        <v>3</v>
      </c>
      <c r="BJ7" s="190">
        <v>3</v>
      </c>
      <c r="BK7" s="190">
        <v>0</v>
      </c>
      <c r="BL7" s="190">
        <v>0</v>
      </c>
      <c r="BM7" s="190">
        <v>0</v>
      </c>
      <c r="BN7" s="190">
        <v>0</v>
      </c>
      <c r="BO7" s="190">
        <v>2</v>
      </c>
      <c r="BP7" s="190">
        <v>2</v>
      </c>
      <c r="BQ7" s="190">
        <v>0</v>
      </c>
      <c r="BR7" s="190">
        <v>0</v>
      </c>
      <c r="BS7" s="190">
        <v>0</v>
      </c>
      <c r="BT7" s="190">
        <v>0</v>
      </c>
      <c r="BU7" s="190">
        <v>0</v>
      </c>
      <c r="BV7" s="190">
        <v>0</v>
      </c>
      <c r="BW7" s="190">
        <v>0</v>
      </c>
      <c r="BX7" s="190">
        <v>88</v>
      </c>
      <c r="BY7" s="190">
        <v>88</v>
      </c>
      <c r="BZ7" s="190">
        <v>0</v>
      </c>
      <c r="CA7" s="190">
        <v>88</v>
      </c>
      <c r="CB7" s="190">
        <v>88</v>
      </c>
      <c r="CC7" s="190">
        <v>143</v>
      </c>
      <c r="CD7" s="190">
        <v>0</v>
      </c>
      <c r="CE7" s="190">
        <v>0</v>
      </c>
      <c r="CF7" s="190">
        <v>0</v>
      </c>
      <c r="CG7" s="190">
        <v>0</v>
      </c>
      <c r="CH7" s="190">
        <v>0</v>
      </c>
      <c r="CI7" s="190">
        <v>0</v>
      </c>
      <c r="CJ7" s="190">
        <v>0</v>
      </c>
      <c r="CK7" s="190">
        <v>0</v>
      </c>
      <c r="CL7" s="190">
        <v>0</v>
      </c>
      <c r="CM7" s="190">
        <v>0</v>
      </c>
      <c r="CN7" s="190">
        <v>0</v>
      </c>
      <c r="CO7" s="190">
        <v>3</v>
      </c>
      <c r="CP7" s="190">
        <v>3</v>
      </c>
      <c r="CQ7" s="190">
        <v>0</v>
      </c>
      <c r="CR7" s="190">
        <v>0</v>
      </c>
      <c r="CS7" s="190">
        <v>0</v>
      </c>
      <c r="CT7" s="190">
        <v>0</v>
      </c>
      <c r="CU7" s="190">
        <v>85</v>
      </c>
      <c r="CV7" s="190">
        <v>85</v>
      </c>
      <c r="CW7" s="190">
        <v>0</v>
      </c>
      <c r="CX7" s="190">
        <v>0</v>
      </c>
      <c r="CY7" s="190">
        <v>0</v>
      </c>
      <c r="CZ7" s="190">
        <v>0</v>
      </c>
      <c r="DA7" s="190">
        <v>0</v>
      </c>
      <c r="DB7" s="190">
        <v>0</v>
      </c>
      <c r="DC7" s="190">
        <v>0</v>
      </c>
      <c r="DD7" s="190">
        <v>0</v>
      </c>
      <c r="DE7" s="190">
        <v>0</v>
      </c>
      <c r="DF7" s="190">
        <v>0</v>
      </c>
      <c r="DG7" s="190">
        <v>0</v>
      </c>
      <c r="DH7" s="190">
        <v>0</v>
      </c>
      <c r="DI7" s="190">
        <v>0</v>
      </c>
      <c r="DJ7" s="190">
        <v>0</v>
      </c>
      <c r="DK7" s="190">
        <v>0</v>
      </c>
      <c r="DL7" s="190">
        <v>0</v>
      </c>
      <c r="DM7" s="190">
        <v>0</v>
      </c>
      <c r="DN7" s="190">
        <v>0</v>
      </c>
      <c r="DO7" s="190">
        <v>0</v>
      </c>
      <c r="DP7" s="190">
        <v>0</v>
      </c>
      <c r="DQ7" s="190">
        <v>0</v>
      </c>
      <c r="DR7" s="190">
        <v>0</v>
      </c>
      <c r="DS7" s="190">
        <v>0</v>
      </c>
      <c r="DT7" s="191">
        <v>0</v>
      </c>
    </row>
    <row r="8" spans="1:129">
      <c r="A8" s="189" t="s">
        <v>273</v>
      </c>
      <c r="B8" s="190">
        <v>103</v>
      </c>
      <c r="C8" s="190">
        <v>21</v>
      </c>
      <c r="D8" s="190">
        <v>112</v>
      </c>
      <c r="E8" s="190">
        <v>82</v>
      </c>
      <c r="F8" s="190">
        <v>0</v>
      </c>
      <c r="G8" s="190">
        <v>1</v>
      </c>
      <c r="H8" s="190">
        <v>1</v>
      </c>
      <c r="I8" s="190">
        <v>0</v>
      </c>
      <c r="J8" s="190">
        <v>24</v>
      </c>
      <c r="K8" s="190">
        <v>24</v>
      </c>
      <c r="L8" s="190">
        <v>0</v>
      </c>
      <c r="M8" s="190">
        <v>13</v>
      </c>
      <c r="N8" s="190">
        <v>13</v>
      </c>
      <c r="O8" s="190">
        <v>0</v>
      </c>
      <c r="P8" s="190">
        <v>11</v>
      </c>
      <c r="Q8" s="190">
        <v>11</v>
      </c>
      <c r="R8" s="190">
        <v>0</v>
      </c>
      <c r="S8" s="190">
        <v>1</v>
      </c>
      <c r="T8" s="190">
        <v>1</v>
      </c>
      <c r="U8" s="190">
        <v>0</v>
      </c>
      <c r="V8" s="190">
        <v>6</v>
      </c>
      <c r="W8" s="190">
        <v>6</v>
      </c>
      <c r="X8" s="190">
        <v>3</v>
      </c>
      <c r="Y8" s="190">
        <v>109</v>
      </c>
      <c r="Z8" s="190">
        <v>112</v>
      </c>
      <c r="AA8" s="190">
        <v>3</v>
      </c>
      <c r="AB8" s="190">
        <v>50</v>
      </c>
      <c r="AC8" s="190">
        <v>53</v>
      </c>
      <c r="AD8" s="190">
        <v>3</v>
      </c>
      <c r="AE8" s="190">
        <v>50</v>
      </c>
      <c r="AF8" s="190">
        <v>53</v>
      </c>
      <c r="AG8" s="190">
        <v>0</v>
      </c>
      <c r="AH8" s="190">
        <v>0</v>
      </c>
      <c r="AI8" s="190">
        <v>0</v>
      </c>
      <c r="AJ8" s="190">
        <v>0</v>
      </c>
      <c r="AK8" s="190">
        <v>0</v>
      </c>
      <c r="AL8" s="190">
        <v>0</v>
      </c>
      <c r="AM8" s="190">
        <v>0</v>
      </c>
      <c r="AN8" s="190">
        <v>59</v>
      </c>
      <c r="AO8" s="190">
        <v>59</v>
      </c>
      <c r="AP8" s="190">
        <v>137</v>
      </c>
      <c r="AQ8" s="190">
        <v>1490</v>
      </c>
      <c r="AR8" s="190">
        <v>1627</v>
      </c>
      <c r="AS8" s="190">
        <v>137</v>
      </c>
      <c r="AT8" s="190">
        <v>1490</v>
      </c>
      <c r="AU8" s="190">
        <v>1627</v>
      </c>
      <c r="AV8" s="190">
        <v>0</v>
      </c>
      <c r="AW8" s="190">
        <v>0</v>
      </c>
      <c r="AX8" s="190">
        <v>0</v>
      </c>
      <c r="AY8" s="190">
        <v>0</v>
      </c>
      <c r="AZ8" s="190">
        <v>131</v>
      </c>
      <c r="BA8" s="190">
        <v>131</v>
      </c>
      <c r="BB8" s="190">
        <v>3</v>
      </c>
      <c r="BC8" s="190">
        <v>0</v>
      </c>
      <c r="BD8" s="190">
        <v>0</v>
      </c>
      <c r="BE8" s="190">
        <v>79</v>
      </c>
      <c r="BF8" s="190">
        <v>0</v>
      </c>
      <c r="BG8" s="190">
        <v>0</v>
      </c>
      <c r="BH8" s="190">
        <v>3</v>
      </c>
      <c r="BI8" s="190">
        <v>79</v>
      </c>
      <c r="BJ8" s="190">
        <v>82</v>
      </c>
      <c r="BK8" s="190">
        <v>-9</v>
      </c>
      <c r="BL8" s="190">
        <v>9</v>
      </c>
      <c r="BM8" s="190">
        <v>0</v>
      </c>
      <c r="BN8" s="190">
        <v>2</v>
      </c>
      <c r="BO8" s="190">
        <v>4</v>
      </c>
      <c r="BP8" s="190">
        <v>6</v>
      </c>
      <c r="BQ8" s="190">
        <v>2</v>
      </c>
      <c r="BR8" s="190">
        <v>17</v>
      </c>
      <c r="BS8" s="190">
        <v>19</v>
      </c>
      <c r="BT8" s="190">
        <v>2</v>
      </c>
      <c r="BU8" s="190">
        <v>22</v>
      </c>
      <c r="BV8" s="190">
        <v>24</v>
      </c>
      <c r="BW8" s="190">
        <v>137</v>
      </c>
      <c r="BX8" s="190">
        <v>1621</v>
      </c>
      <c r="BY8" s="190">
        <v>1758</v>
      </c>
      <c r="BZ8" s="190">
        <v>137</v>
      </c>
      <c r="CA8" s="190">
        <v>1619</v>
      </c>
      <c r="CB8" s="190">
        <v>1756</v>
      </c>
      <c r="CC8" s="190">
        <v>3306</v>
      </c>
      <c r="CD8" s="190">
        <v>0</v>
      </c>
      <c r="CE8" s="190">
        <v>1</v>
      </c>
      <c r="CF8" s="190">
        <v>0</v>
      </c>
      <c r="CG8" s="190">
        <v>1</v>
      </c>
      <c r="CH8" s="190">
        <v>1</v>
      </c>
      <c r="CI8" s="190">
        <v>1</v>
      </c>
      <c r="CJ8" s="190">
        <v>0</v>
      </c>
      <c r="CK8" s="190">
        <v>0</v>
      </c>
      <c r="CL8" s="190">
        <v>1</v>
      </c>
      <c r="CM8" s="190">
        <v>1</v>
      </c>
      <c r="CN8" s="190">
        <v>10</v>
      </c>
      <c r="CO8" s="190">
        <v>142</v>
      </c>
      <c r="CP8" s="190">
        <v>152</v>
      </c>
      <c r="CQ8" s="190">
        <v>0</v>
      </c>
      <c r="CR8" s="190">
        <v>0</v>
      </c>
      <c r="CS8" s="190">
        <v>0</v>
      </c>
      <c r="CT8" s="190">
        <v>127</v>
      </c>
      <c r="CU8" s="190">
        <v>1479</v>
      </c>
      <c r="CV8" s="190">
        <v>1606</v>
      </c>
      <c r="CW8" s="190">
        <v>10</v>
      </c>
      <c r="CX8" s="190">
        <v>61</v>
      </c>
      <c r="CY8" s="190">
        <v>71</v>
      </c>
      <c r="CZ8" s="190">
        <v>10</v>
      </c>
      <c r="DA8" s="190">
        <v>0</v>
      </c>
      <c r="DB8" s="190">
        <v>0</v>
      </c>
      <c r="DC8" s="190">
        <v>61</v>
      </c>
      <c r="DD8" s="190">
        <v>0</v>
      </c>
      <c r="DE8" s="190">
        <v>0</v>
      </c>
      <c r="DF8" s="190">
        <v>10</v>
      </c>
      <c r="DG8" s="190">
        <v>61</v>
      </c>
      <c r="DH8" s="190">
        <v>71</v>
      </c>
      <c r="DI8" s="190">
        <v>0</v>
      </c>
      <c r="DJ8" s="190">
        <v>0</v>
      </c>
      <c r="DK8" s="190">
        <v>0</v>
      </c>
      <c r="DL8" s="190">
        <v>0</v>
      </c>
      <c r="DM8" s="190">
        <v>0</v>
      </c>
      <c r="DN8" s="190">
        <v>0</v>
      </c>
      <c r="DO8" s="190">
        <v>0</v>
      </c>
      <c r="DP8" s="190">
        <v>0</v>
      </c>
      <c r="DQ8" s="190">
        <v>0</v>
      </c>
      <c r="DR8" s="190">
        <v>0</v>
      </c>
      <c r="DS8" s="190">
        <v>0</v>
      </c>
      <c r="DT8" s="191">
        <v>0</v>
      </c>
    </row>
    <row r="9" spans="1:129">
      <c r="A9" s="189" t="s">
        <v>274</v>
      </c>
      <c r="B9" s="190">
        <v>1535</v>
      </c>
      <c r="C9" s="190">
        <v>563</v>
      </c>
      <c r="D9" s="190">
        <v>1636</v>
      </c>
      <c r="E9" s="190">
        <v>847</v>
      </c>
      <c r="F9" s="190">
        <v>4</v>
      </c>
      <c r="G9" s="190">
        <v>133</v>
      </c>
      <c r="H9" s="190">
        <v>137</v>
      </c>
      <c r="I9" s="190">
        <v>0</v>
      </c>
      <c r="J9" s="190">
        <v>686</v>
      </c>
      <c r="K9" s="190">
        <v>686</v>
      </c>
      <c r="L9" s="190">
        <v>0</v>
      </c>
      <c r="M9" s="190">
        <v>295</v>
      </c>
      <c r="N9" s="190">
        <v>295</v>
      </c>
      <c r="O9" s="190">
        <v>0</v>
      </c>
      <c r="P9" s="190">
        <v>391</v>
      </c>
      <c r="Q9" s="190">
        <v>391</v>
      </c>
      <c r="R9" s="190">
        <v>0</v>
      </c>
      <c r="S9" s="190">
        <v>40</v>
      </c>
      <c r="T9" s="190">
        <v>40</v>
      </c>
      <c r="U9" s="190">
        <v>0</v>
      </c>
      <c r="V9" s="190">
        <v>103</v>
      </c>
      <c r="W9" s="190">
        <v>103</v>
      </c>
      <c r="X9" s="190">
        <v>33</v>
      </c>
      <c r="Y9" s="190">
        <v>1602</v>
      </c>
      <c r="Z9" s="190">
        <v>1635</v>
      </c>
      <c r="AA9" s="190">
        <v>14</v>
      </c>
      <c r="AB9" s="190">
        <v>544</v>
      </c>
      <c r="AC9" s="190">
        <v>558</v>
      </c>
      <c r="AD9" s="190">
        <v>14</v>
      </c>
      <c r="AE9" s="190">
        <v>512</v>
      </c>
      <c r="AF9" s="190">
        <v>526</v>
      </c>
      <c r="AG9" s="190">
        <v>0</v>
      </c>
      <c r="AH9" s="190">
        <v>23</v>
      </c>
      <c r="AI9" s="190">
        <v>23</v>
      </c>
      <c r="AJ9" s="190">
        <v>0</v>
      </c>
      <c r="AK9" s="190">
        <v>9</v>
      </c>
      <c r="AL9" s="190">
        <v>9</v>
      </c>
      <c r="AM9" s="190">
        <v>19</v>
      </c>
      <c r="AN9" s="190">
        <v>1058</v>
      </c>
      <c r="AO9" s="190">
        <v>1077</v>
      </c>
      <c r="AP9" s="190">
        <v>1644</v>
      </c>
      <c r="AQ9" s="190">
        <v>13988</v>
      </c>
      <c r="AR9" s="190">
        <v>15632</v>
      </c>
      <c r="AS9" s="190">
        <v>1644</v>
      </c>
      <c r="AT9" s="190">
        <v>13988</v>
      </c>
      <c r="AU9" s="190">
        <v>15632</v>
      </c>
      <c r="AV9" s="190">
        <v>0</v>
      </c>
      <c r="AW9" s="190">
        <v>0</v>
      </c>
      <c r="AX9" s="190">
        <v>0</v>
      </c>
      <c r="AY9" s="190">
        <v>85</v>
      </c>
      <c r="AZ9" s="190">
        <v>1426</v>
      </c>
      <c r="BA9" s="190">
        <v>1511</v>
      </c>
      <c r="BB9" s="190">
        <v>36</v>
      </c>
      <c r="BC9" s="190">
        <v>0</v>
      </c>
      <c r="BD9" s="190">
        <v>0</v>
      </c>
      <c r="BE9" s="190">
        <v>808</v>
      </c>
      <c r="BF9" s="190">
        <v>3</v>
      </c>
      <c r="BG9" s="190">
        <v>0</v>
      </c>
      <c r="BH9" s="190">
        <v>36</v>
      </c>
      <c r="BI9" s="190">
        <v>811</v>
      </c>
      <c r="BJ9" s="190">
        <v>847</v>
      </c>
      <c r="BK9" s="190">
        <v>-17</v>
      </c>
      <c r="BL9" s="190">
        <v>17</v>
      </c>
      <c r="BM9" s="190">
        <v>0</v>
      </c>
      <c r="BN9" s="190">
        <v>4</v>
      </c>
      <c r="BO9" s="190">
        <v>38</v>
      </c>
      <c r="BP9" s="190">
        <v>42</v>
      </c>
      <c r="BQ9" s="190">
        <v>5</v>
      </c>
      <c r="BR9" s="190">
        <v>157</v>
      </c>
      <c r="BS9" s="190">
        <v>162</v>
      </c>
      <c r="BT9" s="190">
        <v>57</v>
      </c>
      <c r="BU9" s="190">
        <v>403</v>
      </c>
      <c r="BV9" s="190">
        <v>460</v>
      </c>
      <c r="BW9" s="190">
        <v>1729</v>
      </c>
      <c r="BX9" s="190">
        <v>15414</v>
      </c>
      <c r="BY9" s="190">
        <v>17143</v>
      </c>
      <c r="BZ9" s="190">
        <v>1721</v>
      </c>
      <c r="CA9" s="190">
        <v>15342</v>
      </c>
      <c r="CB9" s="190">
        <v>17063</v>
      </c>
      <c r="CC9" s="190">
        <v>32125</v>
      </c>
      <c r="CD9" s="190">
        <v>6</v>
      </c>
      <c r="CE9" s="190">
        <v>42</v>
      </c>
      <c r="CF9" s="190">
        <v>7</v>
      </c>
      <c r="CG9" s="190">
        <v>39</v>
      </c>
      <c r="CH9" s="190">
        <v>46</v>
      </c>
      <c r="CI9" s="190">
        <v>33</v>
      </c>
      <c r="CJ9" s="190">
        <v>7</v>
      </c>
      <c r="CK9" s="190">
        <v>1</v>
      </c>
      <c r="CL9" s="190">
        <v>33</v>
      </c>
      <c r="CM9" s="190">
        <v>34</v>
      </c>
      <c r="CN9" s="190">
        <v>96</v>
      </c>
      <c r="CO9" s="190">
        <v>1356</v>
      </c>
      <c r="CP9" s="190">
        <v>1452</v>
      </c>
      <c r="CQ9" s="190">
        <v>0</v>
      </c>
      <c r="CR9" s="190">
        <v>0</v>
      </c>
      <c r="CS9" s="190">
        <v>0</v>
      </c>
      <c r="CT9" s="190">
        <v>1633</v>
      </c>
      <c r="CU9" s="190">
        <v>14058</v>
      </c>
      <c r="CV9" s="190">
        <v>15691</v>
      </c>
      <c r="CW9" s="190">
        <v>0</v>
      </c>
      <c r="CX9" s="190">
        <v>36</v>
      </c>
      <c r="CY9" s="190">
        <v>36</v>
      </c>
      <c r="CZ9" s="190">
        <v>0</v>
      </c>
      <c r="DA9" s="190">
        <v>0</v>
      </c>
      <c r="DB9" s="190">
        <v>0</v>
      </c>
      <c r="DC9" s="190">
        <v>26</v>
      </c>
      <c r="DD9" s="190">
        <v>0</v>
      </c>
      <c r="DE9" s="190">
        <v>0</v>
      </c>
      <c r="DF9" s="190">
        <v>0</v>
      </c>
      <c r="DG9" s="190">
        <v>26</v>
      </c>
      <c r="DH9" s="190">
        <v>26</v>
      </c>
      <c r="DI9" s="190">
        <v>0</v>
      </c>
      <c r="DJ9" s="190">
        <v>0</v>
      </c>
      <c r="DK9" s="190">
        <v>0</v>
      </c>
      <c r="DL9" s="190">
        <v>10</v>
      </c>
      <c r="DM9" s="190">
        <v>0</v>
      </c>
      <c r="DN9" s="190">
        <v>0</v>
      </c>
      <c r="DO9" s="190">
        <v>0</v>
      </c>
      <c r="DP9" s="190">
        <v>10</v>
      </c>
      <c r="DQ9" s="190">
        <v>10</v>
      </c>
      <c r="DR9" s="190">
        <v>0</v>
      </c>
      <c r="DS9" s="190">
        <v>0</v>
      </c>
      <c r="DT9" s="191">
        <v>0</v>
      </c>
    </row>
    <row r="10" spans="1:129">
      <c r="A10" s="189" t="s">
        <v>275</v>
      </c>
      <c r="B10" s="190">
        <v>172</v>
      </c>
      <c r="C10" s="190">
        <v>30</v>
      </c>
      <c r="D10" s="190">
        <v>177</v>
      </c>
      <c r="E10" s="190">
        <v>131</v>
      </c>
      <c r="F10" s="190">
        <v>0</v>
      </c>
      <c r="G10" s="190">
        <v>1</v>
      </c>
      <c r="H10" s="190">
        <v>1</v>
      </c>
      <c r="I10" s="190">
        <v>0</v>
      </c>
      <c r="J10" s="190">
        <v>37</v>
      </c>
      <c r="K10" s="190">
        <v>37</v>
      </c>
      <c r="L10" s="190">
        <v>0</v>
      </c>
      <c r="M10" s="190">
        <v>19</v>
      </c>
      <c r="N10" s="190">
        <v>19</v>
      </c>
      <c r="O10" s="190">
        <v>0</v>
      </c>
      <c r="P10" s="190">
        <v>18</v>
      </c>
      <c r="Q10" s="190">
        <v>18</v>
      </c>
      <c r="R10" s="190">
        <v>0</v>
      </c>
      <c r="S10" s="190">
        <v>3</v>
      </c>
      <c r="T10" s="190">
        <v>3</v>
      </c>
      <c r="U10" s="190">
        <v>0</v>
      </c>
      <c r="V10" s="190">
        <v>9</v>
      </c>
      <c r="W10" s="190">
        <v>9</v>
      </c>
      <c r="X10" s="190">
        <v>4</v>
      </c>
      <c r="Y10" s="190">
        <v>173</v>
      </c>
      <c r="Z10" s="190">
        <v>177</v>
      </c>
      <c r="AA10" s="190">
        <v>3</v>
      </c>
      <c r="AB10" s="190">
        <v>81</v>
      </c>
      <c r="AC10" s="190">
        <v>84</v>
      </c>
      <c r="AD10" s="190">
        <v>3</v>
      </c>
      <c r="AE10" s="190">
        <v>74</v>
      </c>
      <c r="AF10" s="190">
        <v>77</v>
      </c>
      <c r="AG10" s="190">
        <v>0</v>
      </c>
      <c r="AH10" s="190">
        <v>3</v>
      </c>
      <c r="AI10" s="190">
        <v>3</v>
      </c>
      <c r="AJ10" s="190">
        <v>0</v>
      </c>
      <c r="AK10" s="190">
        <v>4</v>
      </c>
      <c r="AL10" s="190">
        <v>4</v>
      </c>
      <c r="AM10" s="190">
        <v>1</v>
      </c>
      <c r="AN10" s="190">
        <v>92</v>
      </c>
      <c r="AO10" s="190">
        <v>93</v>
      </c>
      <c r="AP10" s="190">
        <v>182</v>
      </c>
      <c r="AQ10" s="190">
        <v>2468</v>
      </c>
      <c r="AR10" s="190">
        <v>2650</v>
      </c>
      <c r="AS10" s="190">
        <v>182</v>
      </c>
      <c r="AT10" s="190">
        <v>2468</v>
      </c>
      <c r="AU10" s="190">
        <v>2650</v>
      </c>
      <c r="AV10" s="190">
        <v>0</v>
      </c>
      <c r="AW10" s="190">
        <v>0</v>
      </c>
      <c r="AX10" s="190">
        <v>0</v>
      </c>
      <c r="AY10" s="190">
        <v>8</v>
      </c>
      <c r="AZ10" s="190">
        <v>231</v>
      </c>
      <c r="BA10" s="190">
        <v>239</v>
      </c>
      <c r="BB10" s="190">
        <v>4</v>
      </c>
      <c r="BC10" s="190">
        <v>0</v>
      </c>
      <c r="BD10" s="190">
        <v>0</v>
      </c>
      <c r="BE10" s="190">
        <v>127</v>
      </c>
      <c r="BF10" s="190">
        <v>0</v>
      </c>
      <c r="BG10" s="190">
        <v>0</v>
      </c>
      <c r="BH10" s="190">
        <v>4</v>
      </c>
      <c r="BI10" s="190">
        <v>127</v>
      </c>
      <c r="BJ10" s="190">
        <v>131</v>
      </c>
      <c r="BK10" s="190">
        <v>-7</v>
      </c>
      <c r="BL10" s="190">
        <v>7</v>
      </c>
      <c r="BM10" s="190">
        <v>0</v>
      </c>
      <c r="BN10" s="190">
        <v>2</v>
      </c>
      <c r="BO10" s="190">
        <v>9</v>
      </c>
      <c r="BP10" s="190">
        <v>11</v>
      </c>
      <c r="BQ10" s="190">
        <v>1</v>
      </c>
      <c r="BR10" s="190">
        <v>37</v>
      </c>
      <c r="BS10" s="190">
        <v>38</v>
      </c>
      <c r="BT10" s="190">
        <v>8</v>
      </c>
      <c r="BU10" s="190">
        <v>51</v>
      </c>
      <c r="BV10" s="190">
        <v>59</v>
      </c>
      <c r="BW10" s="190">
        <v>190</v>
      </c>
      <c r="BX10" s="190">
        <v>2699</v>
      </c>
      <c r="BY10" s="190">
        <v>2889</v>
      </c>
      <c r="BZ10" s="190">
        <v>190</v>
      </c>
      <c r="CA10" s="190">
        <v>2686</v>
      </c>
      <c r="CB10" s="190">
        <v>2876</v>
      </c>
      <c r="CC10" s="190">
        <v>5237</v>
      </c>
      <c r="CD10" s="190">
        <v>2</v>
      </c>
      <c r="CE10" s="190">
        <v>10</v>
      </c>
      <c r="CF10" s="190">
        <v>0</v>
      </c>
      <c r="CG10" s="190">
        <v>9</v>
      </c>
      <c r="CH10" s="190">
        <v>9</v>
      </c>
      <c r="CI10" s="190">
        <v>6</v>
      </c>
      <c r="CJ10" s="190">
        <v>0</v>
      </c>
      <c r="CK10" s="190">
        <v>0</v>
      </c>
      <c r="CL10" s="190">
        <v>4</v>
      </c>
      <c r="CM10" s="190">
        <v>4</v>
      </c>
      <c r="CN10" s="190">
        <v>14</v>
      </c>
      <c r="CO10" s="190">
        <v>212</v>
      </c>
      <c r="CP10" s="190">
        <v>226</v>
      </c>
      <c r="CQ10" s="190">
        <v>0</v>
      </c>
      <c r="CR10" s="190">
        <v>0</v>
      </c>
      <c r="CS10" s="190">
        <v>0</v>
      </c>
      <c r="CT10" s="190">
        <v>176</v>
      </c>
      <c r="CU10" s="190">
        <v>2487</v>
      </c>
      <c r="CV10" s="190">
        <v>2663</v>
      </c>
      <c r="CW10" s="190">
        <v>16</v>
      </c>
      <c r="CX10" s="190">
        <v>128</v>
      </c>
      <c r="CY10" s="190">
        <v>144</v>
      </c>
      <c r="CZ10" s="190">
        <v>16</v>
      </c>
      <c r="DA10" s="190">
        <v>0</v>
      </c>
      <c r="DB10" s="190">
        <v>0</v>
      </c>
      <c r="DC10" s="190">
        <v>127</v>
      </c>
      <c r="DD10" s="190">
        <v>0</v>
      </c>
      <c r="DE10" s="190">
        <v>0</v>
      </c>
      <c r="DF10" s="190">
        <v>16</v>
      </c>
      <c r="DG10" s="190">
        <v>127</v>
      </c>
      <c r="DH10" s="190">
        <v>143</v>
      </c>
      <c r="DI10" s="190">
        <v>0</v>
      </c>
      <c r="DJ10" s="190">
        <v>0</v>
      </c>
      <c r="DK10" s="190">
        <v>0</v>
      </c>
      <c r="DL10" s="190">
        <v>1</v>
      </c>
      <c r="DM10" s="190">
        <v>0</v>
      </c>
      <c r="DN10" s="190">
        <v>0</v>
      </c>
      <c r="DO10" s="190">
        <v>0</v>
      </c>
      <c r="DP10" s="190">
        <v>1</v>
      </c>
      <c r="DQ10" s="190">
        <v>1</v>
      </c>
      <c r="DR10" s="190">
        <v>0</v>
      </c>
      <c r="DS10" s="190">
        <v>0</v>
      </c>
      <c r="DT10" s="191">
        <v>0</v>
      </c>
    </row>
    <row r="11" spans="1:129">
      <c r="A11" s="189" t="s">
        <v>276</v>
      </c>
      <c r="B11" s="190">
        <v>53</v>
      </c>
      <c r="C11" s="190">
        <v>9</v>
      </c>
      <c r="D11" s="190">
        <v>54</v>
      </c>
      <c r="E11" s="190">
        <v>21</v>
      </c>
      <c r="F11" s="190">
        <v>0</v>
      </c>
      <c r="G11" s="190">
        <v>5</v>
      </c>
      <c r="H11" s="190">
        <v>5</v>
      </c>
      <c r="I11" s="190">
        <v>0</v>
      </c>
      <c r="J11" s="190">
        <v>33</v>
      </c>
      <c r="K11" s="190">
        <v>33</v>
      </c>
      <c r="L11" s="190">
        <v>0</v>
      </c>
      <c r="M11" s="190">
        <v>10</v>
      </c>
      <c r="N11" s="190">
        <v>10</v>
      </c>
      <c r="O11" s="190">
        <v>0</v>
      </c>
      <c r="P11" s="190">
        <v>23</v>
      </c>
      <c r="Q11" s="190">
        <v>23</v>
      </c>
      <c r="R11" s="190">
        <v>0</v>
      </c>
      <c r="S11" s="190">
        <v>0</v>
      </c>
      <c r="T11" s="190">
        <v>0</v>
      </c>
      <c r="U11" s="190">
        <v>0</v>
      </c>
      <c r="V11" s="190">
        <v>0</v>
      </c>
      <c r="W11" s="190">
        <v>0</v>
      </c>
      <c r="X11" s="190">
        <v>1</v>
      </c>
      <c r="Y11" s="190">
        <v>53</v>
      </c>
      <c r="Z11" s="190">
        <v>54</v>
      </c>
      <c r="AA11" s="190">
        <v>0</v>
      </c>
      <c r="AB11" s="190">
        <v>13</v>
      </c>
      <c r="AC11" s="190">
        <v>13</v>
      </c>
      <c r="AD11" s="190">
        <v>0</v>
      </c>
      <c r="AE11" s="190">
        <v>12</v>
      </c>
      <c r="AF11" s="190">
        <v>12</v>
      </c>
      <c r="AG11" s="190">
        <v>0</v>
      </c>
      <c r="AH11" s="190">
        <v>1</v>
      </c>
      <c r="AI11" s="190">
        <v>1</v>
      </c>
      <c r="AJ11" s="190">
        <v>0</v>
      </c>
      <c r="AK11" s="190">
        <v>0</v>
      </c>
      <c r="AL11" s="190">
        <v>0</v>
      </c>
      <c r="AM11" s="190">
        <v>1</v>
      </c>
      <c r="AN11" s="190">
        <v>40</v>
      </c>
      <c r="AO11" s="190">
        <v>41</v>
      </c>
      <c r="AP11" s="190">
        <v>61</v>
      </c>
      <c r="AQ11" s="190">
        <v>531</v>
      </c>
      <c r="AR11" s="190">
        <v>592</v>
      </c>
      <c r="AS11" s="190">
        <v>61</v>
      </c>
      <c r="AT11" s="190">
        <v>531</v>
      </c>
      <c r="AU11" s="190">
        <v>592</v>
      </c>
      <c r="AV11" s="190">
        <v>0</v>
      </c>
      <c r="AW11" s="190">
        <v>0</v>
      </c>
      <c r="AX11" s="190">
        <v>0</v>
      </c>
      <c r="AY11" s="190">
        <v>11</v>
      </c>
      <c r="AZ11" s="190">
        <v>38</v>
      </c>
      <c r="BA11" s="190">
        <v>49</v>
      </c>
      <c r="BB11" s="190">
        <v>2</v>
      </c>
      <c r="BC11" s="190">
        <v>0</v>
      </c>
      <c r="BD11" s="190">
        <v>0</v>
      </c>
      <c r="BE11" s="190">
        <v>19</v>
      </c>
      <c r="BF11" s="190">
        <v>0</v>
      </c>
      <c r="BG11" s="190">
        <v>0</v>
      </c>
      <c r="BH11" s="190">
        <v>2</v>
      </c>
      <c r="BI11" s="190">
        <v>19</v>
      </c>
      <c r="BJ11" s="190">
        <v>21</v>
      </c>
      <c r="BK11" s="190">
        <v>2</v>
      </c>
      <c r="BL11" s="190">
        <v>-2</v>
      </c>
      <c r="BM11" s="190">
        <v>0</v>
      </c>
      <c r="BN11" s="190">
        <v>2</v>
      </c>
      <c r="BO11" s="190">
        <v>2</v>
      </c>
      <c r="BP11" s="190">
        <v>4</v>
      </c>
      <c r="BQ11" s="190">
        <v>0</v>
      </c>
      <c r="BR11" s="190">
        <v>5</v>
      </c>
      <c r="BS11" s="190">
        <v>5</v>
      </c>
      <c r="BT11" s="190">
        <v>5</v>
      </c>
      <c r="BU11" s="190">
        <v>14</v>
      </c>
      <c r="BV11" s="190">
        <v>19</v>
      </c>
      <c r="BW11" s="190">
        <v>72</v>
      </c>
      <c r="BX11" s="190">
        <v>569</v>
      </c>
      <c r="BY11" s="190">
        <v>641</v>
      </c>
      <c r="BZ11" s="190">
        <v>71</v>
      </c>
      <c r="CA11" s="190">
        <v>564</v>
      </c>
      <c r="CB11" s="190">
        <v>635</v>
      </c>
      <c r="CC11" s="190">
        <v>1454</v>
      </c>
      <c r="CD11" s="190">
        <v>0</v>
      </c>
      <c r="CE11" s="190">
        <v>4</v>
      </c>
      <c r="CF11" s="190">
        <v>1</v>
      </c>
      <c r="CG11" s="190">
        <v>3</v>
      </c>
      <c r="CH11" s="190">
        <v>4</v>
      </c>
      <c r="CI11" s="190">
        <v>1</v>
      </c>
      <c r="CJ11" s="190">
        <v>1</v>
      </c>
      <c r="CK11" s="190">
        <v>0</v>
      </c>
      <c r="CL11" s="190">
        <v>2</v>
      </c>
      <c r="CM11" s="190">
        <v>2</v>
      </c>
      <c r="CN11" s="190">
        <v>6</v>
      </c>
      <c r="CO11" s="190">
        <v>65</v>
      </c>
      <c r="CP11" s="190">
        <v>71</v>
      </c>
      <c r="CQ11" s="190">
        <v>0</v>
      </c>
      <c r="CR11" s="190">
        <v>0</v>
      </c>
      <c r="CS11" s="190">
        <v>0</v>
      </c>
      <c r="CT11" s="190">
        <v>66</v>
      </c>
      <c r="CU11" s="190">
        <v>504</v>
      </c>
      <c r="CV11" s="190">
        <v>570</v>
      </c>
      <c r="CW11" s="190">
        <v>5</v>
      </c>
      <c r="CX11" s="190">
        <v>12</v>
      </c>
      <c r="CY11" s="190">
        <v>17</v>
      </c>
      <c r="CZ11" s="190">
        <v>5</v>
      </c>
      <c r="DA11" s="190">
        <v>0</v>
      </c>
      <c r="DB11" s="190">
        <v>0</v>
      </c>
      <c r="DC11" s="190">
        <v>12</v>
      </c>
      <c r="DD11" s="190">
        <v>0</v>
      </c>
      <c r="DE11" s="190">
        <v>0</v>
      </c>
      <c r="DF11" s="190">
        <v>5</v>
      </c>
      <c r="DG11" s="190">
        <v>12</v>
      </c>
      <c r="DH11" s="190">
        <v>17</v>
      </c>
      <c r="DI11" s="190">
        <v>0</v>
      </c>
      <c r="DJ11" s="190">
        <v>0</v>
      </c>
      <c r="DK11" s="190">
        <v>0</v>
      </c>
      <c r="DL11" s="190">
        <v>0</v>
      </c>
      <c r="DM11" s="190">
        <v>0</v>
      </c>
      <c r="DN11" s="190">
        <v>0</v>
      </c>
      <c r="DO11" s="190">
        <v>0</v>
      </c>
      <c r="DP11" s="190">
        <v>0</v>
      </c>
      <c r="DQ11" s="190">
        <v>0</v>
      </c>
      <c r="DR11" s="190">
        <v>0</v>
      </c>
      <c r="DS11" s="190">
        <v>0</v>
      </c>
      <c r="DT11" s="191">
        <v>0</v>
      </c>
    </row>
    <row r="12" spans="1:129">
      <c r="A12" s="189" t="s">
        <v>277</v>
      </c>
      <c r="B12" s="190">
        <v>2117</v>
      </c>
      <c r="C12" s="190">
        <v>584</v>
      </c>
      <c r="D12" s="190">
        <v>1826</v>
      </c>
      <c r="E12" s="190">
        <v>959</v>
      </c>
      <c r="F12" s="190">
        <v>5</v>
      </c>
      <c r="G12" s="190">
        <v>47</v>
      </c>
      <c r="H12" s="190">
        <v>52</v>
      </c>
      <c r="I12" s="190">
        <v>1</v>
      </c>
      <c r="J12" s="190">
        <v>759</v>
      </c>
      <c r="K12" s="190">
        <v>760</v>
      </c>
      <c r="L12" s="190">
        <v>0</v>
      </c>
      <c r="M12" s="190">
        <v>167</v>
      </c>
      <c r="N12" s="190">
        <v>167</v>
      </c>
      <c r="O12" s="190">
        <v>1</v>
      </c>
      <c r="P12" s="190">
        <v>592</v>
      </c>
      <c r="Q12" s="190">
        <v>593</v>
      </c>
      <c r="R12" s="190">
        <v>0</v>
      </c>
      <c r="S12" s="190">
        <v>73</v>
      </c>
      <c r="T12" s="190">
        <v>73</v>
      </c>
      <c r="U12" s="190">
        <v>0</v>
      </c>
      <c r="V12" s="190">
        <v>107</v>
      </c>
      <c r="W12" s="190">
        <v>107</v>
      </c>
      <c r="X12" s="190">
        <v>35</v>
      </c>
      <c r="Y12" s="190">
        <v>1074</v>
      </c>
      <c r="Z12" s="190">
        <v>1109</v>
      </c>
      <c r="AA12" s="190">
        <v>19</v>
      </c>
      <c r="AB12" s="190">
        <v>448</v>
      </c>
      <c r="AC12" s="190">
        <v>467</v>
      </c>
      <c r="AD12" s="190">
        <v>16</v>
      </c>
      <c r="AE12" s="190">
        <v>400</v>
      </c>
      <c r="AF12" s="190">
        <v>416</v>
      </c>
      <c r="AG12" s="190">
        <v>2</v>
      </c>
      <c r="AH12" s="190">
        <v>38</v>
      </c>
      <c r="AI12" s="190">
        <v>40</v>
      </c>
      <c r="AJ12" s="190">
        <v>1</v>
      </c>
      <c r="AK12" s="190">
        <v>10</v>
      </c>
      <c r="AL12" s="190">
        <v>11</v>
      </c>
      <c r="AM12" s="190">
        <v>16</v>
      </c>
      <c r="AN12" s="190">
        <v>626</v>
      </c>
      <c r="AO12" s="190">
        <v>642</v>
      </c>
      <c r="AP12" s="190">
        <v>3838</v>
      </c>
      <c r="AQ12" s="190">
        <v>26582</v>
      </c>
      <c r="AR12" s="190">
        <v>30420</v>
      </c>
      <c r="AS12" s="190">
        <v>3815</v>
      </c>
      <c r="AT12" s="190">
        <v>26385</v>
      </c>
      <c r="AU12" s="190">
        <v>30200</v>
      </c>
      <c r="AV12" s="190">
        <v>23</v>
      </c>
      <c r="AW12" s="190">
        <v>197</v>
      </c>
      <c r="AX12" s="190">
        <v>220</v>
      </c>
      <c r="AY12" s="190">
        <v>141</v>
      </c>
      <c r="AZ12" s="190">
        <v>2492</v>
      </c>
      <c r="BA12" s="190">
        <v>2633</v>
      </c>
      <c r="BB12" s="190">
        <v>75</v>
      </c>
      <c r="BC12" s="190">
        <v>3</v>
      </c>
      <c r="BD12" s="190">
        <v>0</v>
      </c>
      <c r="BE12" s="190">
        <v>854</v>
      </c>
      <c r="BF12" s="190">
        <v>19</v>
      </c>
      <c r="BG12" s="190">
        <v>8</v>
      </c>
      <c r="BH12" s="190">
        <v>78</v>
      </c>
      <c r="BI12" s="190">
        <v>881</v>
      </c>
      <c r="BJ12" s="190">
        <v>959</v>
      </c>
      <c r="BK12" s="190">
        <v>-101</v>
      </c>
      <c r="BL12" s="190">
        <v>101</v>
      </c>
      <c r="BM12" s="190">
        <v>0</v>
      </c>
      <c r="BN12" s="190">
        <v>16</v>
      </c>
      <c r="BO12" s="190">
        <v>67</v>
      </c>
      <c r="BP12" s="190">
        <v>83</v>
      </c>
      <c r="BQ12" s="190">
        <v>12</v>
      </c>
      <c r="BR12" s="190">
        <v>20</v>
      </c>
      <c r="BS12" s="190">
        <v>32</v>
      </c>
      <c r="BT12" s="190">
        <v>136</v>
      </c>
      <c r="BU12" s="190">
        <v>1423</v>
      </c>
      <c r="BV12" s="190">
        <v>1559</v>
      </c>
      <c r="BW12" s="190">
        <v>3979</v>
      </c>
      <c r="BX12" s="190">
        <v>29074</v>
      </c>
      <c r="BY12" s="190">
        <v>33053</v>
      </c>
      <c r="BZ12" s="190">
        <v>3881</v>
      </c>
      <c r="CA12" s="190">
        <v>28565</v>
      </c>
      <c r="CB12" s="190">
        <v>32446</v>
      </c>
      <c r="CC12" s="190">
        <v>66348</v>
      </c>
      <c r="CD12" s="190">
        <v>38</v>
      </c>
      <c r="CE12" s="190">
        <v>610</v>
      </c>
      <c r="CF12" s="190">
        <v>97</v>
      </c>
      <c r="CG12" s="190">
        <v>363</v>
      </c>
      <c r="CH12" s="190">
        <v>460</v>
      </c>
      <c r="CI12" s="190">
        <v>182</v>
      </c>
      <c r="CJ12" s="190">
        <v>12</v>
      </c>
      <c r="CK12" s="190">
        <v>1</v>
      </c>
      <c r="CL12" s="190">
        <v>146</v>
      </c>
      <c r="CM12" s="190">
        <v>147</v>
      </c>
      <c r="CN12" s="190">
        <v>227</v>
      </c>
      <c r="CO12" s="190">
        <v>3066</v>
      </c>
      <c r="CP12" s="190">
        <v>3293</v>
      </c>
      <c r="CQ12" s="190">
        <v>0</v>
      </c>
      <c r="CR12" s="190">
        <v>0</v>
      </c>
      <c r="CS12" s="190">
        <v>0</v>
      </c>
      <c r="CT12" s="190">
        <v>3752</v>
      </c>
      <c r="CU12" s="190">
        <v>26008</v>
      </c>
      <c r="CV12" s="190">
        <v>29760</v>
      </c>
      <c r="CW12" s="190">
        <v>238</v>
      </c>
      <c r="CX12" s="190">
        <v>1205</v>
      </c>
      <c r="CY12" s="190">
        <v>1443</v>
      </c>
      <c r="CZ12" s="190">
        <v>226</v>
      </c>
      <c r="DA12" s="190">
        <v>10</v>
      </c>
      <c r="DB12" s="190">
        <v>0</v>
      </c>
      <c r="DC12" s="190">
        <v>1145</v>
      </c>
      <c r="DD12" s="190">
        <v>15</v>
      </c>
      <c r="DE12" s="190">
        <v>3</v>
      </c>
      <c r="DF12" s="190">
        <v>236</v>
      </c>
      <c r="DG12" s="190">
        <v>1163</v>
      </c>
      <c r="DH12" s="190">
        <v>1399</v>
      </c>
      <c r="DI12" s="190">
        <v>2</v>
      </c>
      <c r="DJ12" s="190">
        <v>0</v>
      </c>
      <c r="DK12" s="190">
        <v>0</v>
      </c>
      <c r="DL12" s="190">
        <v>39</v>
      </c>
      <c r="DM12" s="190">
        <v>3</v>
      </c>
      <c r="DN12" s="190">
        <v>0</v>
      </c>
      <c r="DO12" s="190">
        <v>2</v>
      </c>
      <c r="DP12" s="190">
        <v>42</v>
      </c>
      <c r="DQ12" s="190">
        <v>44</v>
      </c>
      <c r="DR12" s="190">
        <v>0</v>
      </c>
      <c r="DS12" s="190">
        <v>2</v>
      </c>
      <c r="DT12" s="191">
        <v>2</v>
      </c>
    </row>
    <row r="13" spans="1:129">
      <c r="A13" s="189" t="s">
        <v>278</v>
      </c>
      <c r="B13" s="190">
        <v>178</v>
      </c>
      <c r="C13" s="190">
        <v>11</v>
      </c>
      <c r="D13" s="190">
        <v>170</v>
      </c>
      <c r="E13" s="190">
        <v>93</v>
      </c>
      <c r="F13" s="190">
        <v>0</v>
      </c>
      <c r="G13" s="190">
        <v>0</v>
      </c>
      <c r="H13" s="190">
        <v>0</v>
      </c>
      <c r="I13" s="190">
        <v>0</v>
      </c>
      <c r="J13" s="190">
        <v>68</v>
      </c>
      <c r="K13" s="190">
        <v>68</v>
      </c>
      <c r="L13" s="190">
        <v>0</v>
      </c>
      <c r="M13" s="190">
        <v>30</v>
      </c>
      <c r="N13" s="190">
        <v>30</v>
      </c>
      <c r="O13" s="190">
        <v>0</v>
      </c>
      <c r="P13" s="190">
        <v>38</v>
      </c>
      <c r="Q13" s="190">
        <v>38</v>
      </c>
      <c r="R13" s="190">
        <v>0</v>
      </c>
      <c r="S13" s="190">
        <v>1</v>
      </c>
      <c r="T13" s="190">
        <v>1</v>
      </c>
      <c r="U13" s="190">
        <v>0</v>
      </c>
      <c r="V13" s="190">
        <v>9</v>
      </c>
      <c r="W13" s="190">
        <v>9</v>
      </c>
      <c r="X13" s="190">
        <v>8</v>
      </c>
      <c r="Y13" s="190">
        <v>162</v>
      </c>
      <c r="Z13" s="190">
        <v>170</v>
      </c>
      <c r="AA13" s="190">
        <v>5</v>
      </c>
      <c r="AB13" s="190">
        <v>61</v>
      </c>
      <c r="AC13" s="190">
        <v>66</v>
      </c>
      <c r="AD13" s="190">
        <v>4</v>
      </c>
      <c r="AE13" s="190">
        <v>57</v>
      </c>
      <c r="AF13" s="190">
        <v>61</v>
      </c>
      <c r="AG13" s="190">
        <v>1</v>
      </c>
      <c r="AH13" s="190">
        <v>3</v>
      </c>
      <c r="AI13" s="190">
        <v>4</v>
      </c>
      <c r="AJ13" s="190">
        <v>0</v>
      </c>
      <c r="AK13" s="190">
        <v>1</v>
      </c>
      <c r="AL13" s="190">
        <v>1</v>
      </c>
      <c r="AM13" s="190">
        <v>3</v>
      </c>
      <c r="AN13" s="190">
        <v>101</v>
      </c>
      <c r="AO13" s="190">
        <v>104</v>
      </c>
      <c r="AP13" s="190">
        <v>370</v>
      </c>
      <c r="AQ13" s="190">
        <v>2018</v>
      </c>
      <c r="AR13" s="190">
        <v>2388</v>
      </c>
      <c r="AS13" s="190">
        <v>370</v>
      </c>
      <c r="AT13" s="190">
        <v>2018</v>
      </c>
      <c r="AU13" s="190">
        <v>2388</v>
      </c>
      <c r="AV13" s="190">
        <v>0</v>
      </c>
      <c r="AW13" s="190">
        <v>0</v>
      </c>
      <c r="AX13" s="190">
        <v>0</v>
      </c>
      <c r="AY13" s="190">
        <v>3</v>
      </c>
      <c r="AZ13" s="190">
        <v>188</v>
      </c>
      <c r="BA13" s="190">
        <v>191</v>
      </c>
      <c r="BB13" s="190">
        <v>11</v>
      </c>
      <c r="BC13" s="190">
        <v>0</v>
      </c>
      <c r="BD13" s="190">
        <v>0</v>
      </c>
      <c r="BE13" s="190">
        <v>82</v>
      </c>
      <c r="BF13" s="190">
        <v>0</v>
      </c>
      <c r="BG13" s="190">
        <v>0</v>
      </c>
      <c r="BH13" s="190">
        <v>11</v>
      </c>
      <c r="BI13" s="190">
        <v>82</v>
      </c>
      <c r="BJ13" s="190">
        <v>93</v>
      </c>
      <c r="BK13" s="190">
        <v>-17</v>
      </c>
      <c r="BL13" s="190">
        <v>17</v>
      </c>
      <c r="BM13" s="190">
        <v>0</v>
      </c>
      <c r="BN13" s="190">
        <v>0</v>
      </c>
      <c r="BO13" s="190">
        <v>3</v>
      </c>
      <c r="BP13" s="190">
        <v>3</v>
      </c>
      <c r="BQ13" s="190">
        <v>2</v>
      </c>
      <c r="BR13" s="190">
        <v>9</v>
      </c>
      <c r="BS13" s="190">
        <v>11</v>
      </c>
      <c r="BT13" s="190">
        <v>7</v>
      </c>
      <c r="BU13" s="190">
        <v>77</v>
      </c>
      <c r="BV13" s="190">
        <v>84</v>
      </c>
      <c r="BW13" s="190">
        <v>373</v>
      </c>
      <c r="BX13" s="190">
        <v>2206</v>
      </c>
      <c r="BY13" s="190">
        <v>2579</v>
      </c>
      <c r="BZ13" s="190">
        <v>373</v>
      </c>
      <c r="CA13" s="190">
        <v>2204</v>
      </c>
      <c r="CB13" s="190">
        <v>2577</v>
      </c>
      <c r="CC13" s="190">
        <v>5261</v>
      </c>
      <c r="CD13" s="190">
        <v>0</v>
      </c>
      <c r="CE13" s="190">
        <v>2</v>
      </c>
      <c r="CF13" s="190">
        <v>0</v>
      </c>
      <c r="CG13" s="190">
        <v>2</v>
      </c>
      <c r="CH13" s="190">
        <v>2</v>
      </c>
      <c r="CI13" s="190">
        <v>0</v>
      </c>
      <c r="CJ13" s="190">
        <v>0</v>
      </c>
      <c r="CK13" s="190">
        <v>0</v>
      </c>
      <c r="CL13" s="190">
        <v>0</v>
      </c>
      <c r="CM13" s="190">
        <v>0</v>
      </c>
      <c r="CN13" s="190">
        <v>18</v>
      </c>
      <c r="CO13" s="190">
        <v>213</v>
      </c>
      <c r="CP13" s="190">
        <v>231</v>
      </c>
      <c r="CQ13" s="190">
        <v>0</v>
      </c>
      <c r="CR13" s="190">
        <v>0</v>
      </c>
      <c r="CS13" s="190">
        <v>0</v>
      </c>
      <c r="CT13" s="190">
        <v>355</v>
      </c>
      <c r="CU13" s="190">
        <v>1993</v>
      </c>
      <c r="CV13" s="190">
        <v>2348</v>
      </c>
      <c r="CW13" s="190">
        <v>17</v>
      </c>
      <c r="CX13" s="190">
        <v>84</v>
      </c>
      <c r="CY13" s="190">
        <v>101</v>
      </c>
      <c r="CZ13" s="190">
        <v>17</v>
      </c>
      <c r="DA13" s="190">
        <v>0</v>
      </c>
      <c r="DB13" s="190">
        <v>0</v>
      </c>
      <c r="DC13" s="190">
        <v>82</v>
      </c>
      <c r="DD13" s="190">
        <v>0</v>
      </c>
      <c r="DE13" s="190">
        <v>0</v>
      </c>
      <c r="DF13" s="190">
        <v>17</v>
      </c>
      <c r="DG13" s="190">
        <v>82</v>
      </c>
      <c r="DH13" s="190">
        <v>99</v>
      </c>
      <c r="DI13" s="190">
        <v>0</v>
      </c>
      <c r="DJ13" s="190">
        <v>0</v>
      </c>
      <c r="DK13" s="190">
        <v>0</v>
      </c>
      <c r="DL13" s="190">
        <v>2</v>
      </c>
      <c r="DM13" s="190">
        <v>0</v>
      </c>
      <c r="DN13" s="190">
        <v>0</v>
      </c>
      <c r="DO13" s="190">
        <v>0</v>
      </c>
      <c r="DP13" s="190">
        <v>2</v>
      </c>
      <c r="DQ13" s="190">
        <v>2</v>
      </c>
      <c r="DR13" s="190">
        <v>0</v>
      </c>
      <c r="DS13" s="190">
        <v>0</v>
      </c>
      <c r="DT13" s="191">
        <v>0</v>
      </c>
    </row>
    <row r="14" spans="1:129">
      <c r="A14" s="189" t="s">
        <v>279</v>
      </c>
      <c r="B14" s="190">
        <v>592</v>
      </c>
      <c r="C14" s="190">
        <v>111</v>
      </c>
      <c r="D14" s="190">
        <v>575</v>
      </c>
      <c r="E14" s="190">
        <v>343</v>
      </c>
      <c r="F14" s="190">
        <v>0</v>
      </c>
      <c r="G14" s="190">
        <v>5</v>
      </c>
      <c r="H14" s="190">
        <v>5</v>
      </c>
      <c r="I14" s="190">
        <v>0</v>
      </c>
      <c r="J14" s="190">
        <v>222</v>
      </c>
      <c r="K14" s="190">
        <v>222</v>
      </c>
      <c r="L14" s="190">
        <v>0</v>
      </c>
      <c r="M14" s="190">
        <v>71</v>
      </c>
      <c r="N14" s="190">
        <v>71</v>
      </c>
      <c r="O14" s="190">
        <v>0</v>
      </c>
      <c r="P14" s="190">
        <v>151</v>
      </c>
      <c r="Q14" s="190">
        <v>151</v>
      </c>
      <c r="R14" s="190">
        <v>0</v>
      </c>
      <c r="S14" s="190">
        <v>4</v>
      </c>
      <c r="T14" s="190">
        <v>4</v>
      </c>
      <c r="U14" s="190">
        <v>0</v>
      </c>
      <c r="V14" s="190">
        <v>10</v>
      </c>
      <c r="W14" s="190">
        <v>10</v>
      </c>
      <c r="X14" s="190">
        <v>9</v>
      </c>
      <c r="Y14" s="190">
        <v>565</v>
      </c>
      <c r="Z14" s="190">
        <v>574</v>
      </c>
      <c r="AA14" s="190">
        <v>7</v>
      </c>
      <c r="AB14" s="190">
        <v>258</v>
      </c>
      <c r="AC14" s="190">
        <v>265</v>
      </c>
      <c r="AD14" s="190">
        <v>6</v>
      </c>
      <c r="AE14" s="190">
        <v>256</v>
      </c>
      <c r="AF14" s="190">
        <v>262</v>
      </c>
      <c r="AG14" s="190">
        <v>1</v>
      </c>
      <c r="AH14" s="190">
        <v>1</v>
      </c>
      <c r="AI14" s="190">
        <v>2</v>
      </c>
      <c r="AJ14" s="190">
        <v>0</v>
      </c>
      <c r="AK14" s="190">
        <v>1</v>
      </c>
      <c r="AL14" s="190">
        <v>1</v>
      </c>
      <c r="AM14" s="190">
        <v>2</v>
      </c>
      <c r="AN14" s="190">
        <v>307</v>
      </c>
      <c r="AO14" s="190">
        <v>309</v>
      </c>
      <c r="AP14" s="190">
        <v>512</v>
      </c>
      <c r="AQ14" s="190">
        <v>6049</v>
      </c>
      <c r="AR14" s="190">
        <v>6561</v>
      </c>
      <c r="AS14" s="190">
        <v>512</v>
      </c>
      <c r="AT14" s="190">
        <v>6049</v>
      </c>
      <c r="AU14" s="190">
        <v>6561</v>
      </c>
      <c r="AV14" s="190">
        <v>0</v>
      </c>
      <c r="AW14" s="190">
        <v>0</v>
      </c>
      <c r="AX14" s="190">
        <v>0</v>
      </c>
      <c r="AY14" s="190">
        <v>20</v>
      </c>
      <c r="AZ14" s="190">
        <v>583</v>
      </c>
      <c r="BA14" s="190">
        <v>603</v>
      </c>
      <c r="BB14" s="190">
        <v>10</v>
      </c>
      <c r="BC14" s="190">
        <v>0</v>
      </c>
      <c r="BD14" s="190">
        <v>0</v>
      </c>
      <c r="BE14" s="190">
        <v>330</v>
      </c>
      <c r="BF14" s="190">
        <v>2</v>
      </c>
      <c r="BG14" s="190">
        <v>1</v>
      </c>
      <c r="BH14" s="190">
        <v>10</v>
      </c>
      <c r="BI14" s="190">
        <v>333</v>
      </c>
      <c r="BJ14" s="190">
        <v>343</v>
      </c>
      <c r="BK14" s="190">
        <v>-11</v>
      </c>
      <c r="BL14" s="190">
        <v>11</v>
      </c>
      <c r="BM14" s="190">
        <v>0</v>
      </c>
      <c r="BN14" s="190">
        <v>1</v>
      </c>
      <c r="BO14" s="190">
        <v>27</v>
      </c>
      <c r="BP14" s="190">
        <v>28</v>
      </c>
      <c r="BQ14" s="190">
        <v>4</v>
      </c>
      <c r="BR14" s="190">
        <v>63</v>
      </c>
      <c r="BS14" s="190">
        <v>67</v>
      </c>
      <c r="BT14" s="190">
        <v>16</v>
      </c>
      <c r="BU14" s="190">
        <v>149</v>
      </c>
      <c r="BV14" s="190">
        <v>165</v>
      </c>
      <c r="BW14" s="190">
        <v>532</v>
      </c>
      <c r="BX14" s="190">
        <v>6632</v>
      </c>
      <c r="BY14" s="190">
        <v>7164</v>
      </c>
      <c r="BZ14" s="190">
        <v>529</v>
      </c>
      <c r="CA14" s="190">
        <v>6593</v>
      </c>
      <c r="CB14" s="190">
        <v>7122</v>
      </c>
      <c r="CC14" s="190">
        <v>12622</v>
      </c>
      <c r="CD14" s="190">
        <v>2</v>
      </c>
      <c r="CE14" s="190">
        <v>37</v>
      </c>
      <c r="CF14" s="190">
        <v>3</v>
      </c>
      <c r="CG14" s="190">
        <v>30</v>
      </c>
      <c r="CH14" s="190">
        <v>33</v>
      </c>
      <c r="CI14" s="190">
        <v>11</v>
      </c>
      <c r="CJ14" s="190">
        <v>0</v>
      </c>
      <c r="CK14" s="190">
        <v>0</v>
      </c>
      <c r="CL14" s="190">
        <v>9</v>
      </c>
      <c r="CM14" s="190">
        <v>9</v>
      </c>
      <c r="CN14" s="190">
        <v>25</v>
      </c>
      <c r="CO14" s="190">
        <v>626</v>
      </c>
      <c r="CP14" s="190">
        <v>651</v>
      </c>
      <c r="CQ14" s="190">
        <v>0</v>
      </c>
      <c r="CR14" s="190">
        <v>0</v>
      </c>
      <c r="CS14" s="190">
        <v>0</v>
      </c>
      <c r="CT14" s="190">
        <v>507</v>
      </c>
      <c r="CU14" s="190">
        <v>6006</v>
      </c>
      <c r="CV14" s="190">
        <v>6513</v>
      </c>
      <c r="CW14" s="190">
        <v>30</v>
      </c>
      <c r="CX14" s="190">
        <v>254</v>
      </c>
      <c r="CY14" s="190">
        <v>284</v>
      </c>
      <c r="CZ14" s="190">
        <v>30</v>
      </c>
      <c r="DA14" s="190">
        <v>0</v>
      </c>
      <c r="DB14" s="190">
        <v>0</v>
      </c>
      <c r="DC14" s="190">
        <v>249</v>
      </c>
      <c r="DD14" s="190">
        <v>2</v>
      </c>
      <c r="DE14" s="190">
        <v>0</v>
      </c>
      <c r="DF14" s="190">
        <v>30</v>
      </c>
      <c r="DG14" s="190">
        <v>251</v>
      </c>
      <c r="DH14" s="190">
        <v>281</v>
      </c>
      <c r="DI14" s="190">
        <v>0</v>
      </c>
      <c r="DJ14" s="190">
        <v>0</v>
      </c>
      <c r="DK14" s="190">
        <v>0</v>
      </c>
      <c r="DL14" s="190">
        <v>3</v>
      </c>
      <c r="DM14" s="190">
        <v>0</v>
      </c>
      <c r="DN14" s="190">
        <v>0</v>
      </c>
      <c r="DO14" s="190">
        <v>0</v>
      </c>
      <c r="DP14" s="190">
        <v>3</v>
      </c>
      <c r="DQ14" s="190">
        <v>3</v>
      </c>
      <c r="DR14" s="190">
        <v>0</v>
      </c>
      <c r="DS14" s="190">
        <v>0</v>
      </c>
      <c r="DT14" s="191">
        <v>0</v>
      </c>
    </row>
    <row r="15" spans="1:129">
      <c r="A15" s="189" t="s">
        <v>280</v>
      </c>
      <c r="B15" s="190">
        <v>4483</v>
      </c>
      <c r="C15" s="190">
        <v>1679</v>
      </c>
      <c r="D15" s="190">
        <v>4207</v>
      </c>
      <c r="E15" s="190">
        <v>2936</v>
      </c>
      <c r="F15" s="190">
        <v>22</v>
      </c>
      <c r="G15" s="190">
        <v>97</v>
      </c>
      <c r="H15" s="190">
        <v>119</v>
      </c>
      <c r="I15" s="190">
        <v>1</v>
      </c>
      <c r="J15" s="190">
        <v>1177</v>
      </c>
      <c r="K15" s="190">
        <v>1178</v>
      </c>
      <c r="L15" s="190">
        <v>1</v>
      </c>
      <c r="M15" s="190">
        <v>1176</v>
      </c>
      <c r="N15" s="190">
        <v>1177</v>
      </c>
      <c r="O15" s="190">
        <v>0</v>
      </c>
      <c r="P15" s="190">
        <v>1</v>
      </c>
      <c r="Q15" s="190">
        <v>1</v>
      </c>
      <c r="R15" s="190">
        <v>0</v>
      </c>
      <c r="S15" s="190">
        <v>291</v>
      </c>
      <c r="T15" s="190">
        <v>291</v>
      </c>
      <c r="U15" s="190">
        <v>0</v>
      </c>
      <c r="V15" s="190">
        <v>93</v>
      </c>
      <c r="W15" s="190">
        <v>93</v>
      </c>
      <c r="X15" s="190">
        <v>54</v>
      </c>
      <c r="Y15" s="190">
        <v>3363</v>
      </c>
      <c r="Z15" s="190">
        <v>3417</v>
      </c>
      <c r="AA15" s="190">
        <v>30</v>
      </c>
      <c r="AB15" s="190">
        <v>1437</v>
      </c>
      <c r="AC15" s="190">
        <v>1467</v>
      </c>
      <c r="AD15" s="190">
        <v>29</v>
      </c>
      <c r="AE15" s="190">
        <v>1387</v>
      </c>
      <c r="AF15" s="190">
        <v>1416</v>
      </c>
      <c r="AG15" s="190">
        <v>1</v>
      </c>
      <c r="AH15" s="190">
        <v>40</v>
      </c>
      <c r="AI15" s="190">
        <v>41</v>
      </c>
      <c r="AJ15" s="190">
        <v>0</v>
      </c>
      <c r="AK15" s="190">
        <v>10</v>
      </c>
      <c r="AL15" s="190">
        <v>10</v>
      </c>
      <c r="AM15" s="190">
        <v>24</v>
      </c>
      <c r="AN15" s="190">
        <v>1926</v>
      </c>
      <c r="AO15" s="190">
        <v>1950</v>
      </c>
      <c r="AP15" s="190">
        <v>11840</v>
      </c>
      <c r="AQ15" s="190">
        <v>77515</v>
      </c>
      <c r="AR15" s="190">
        <v>89355</v>
      </c>
      <c r="AS15" s="190">
        <v>11399</v>
      </c>
      <c r="AT15" s="190">
        <v>74467</v>
      </c>
      <c r="AU15" s="190">
        <v>85866</v>
      </c>
      <c r="AV15" s="190">
        <v>441</v>
      </c>
      <c r="AW15" s="190">
        <v>3048</v>
      </c>
      <c r="AX15" s="190">
        <v>3489</v>
      </c>
      <c r="AY15" s="190">
        <v>190</v>
      </c>
      <c r="AZ15" s="190">
        <v>2839</v>
      </c>
      <c r="BA15" s="190">
        <v>3029</v>
      </c>
      <c r="BB15" s="190">
        <v>221</v>
      </c>
      <c r="BC15" s="190">
        <v>4</v>
      </c>
      <c r="BD15" s="190">
        <v>3</v>
      </c>
      <c r="BE15" s="190">
        <v>2657</v>
      </c>
      <c r="BF15" s="190">
        <v>27</v>
      </c>
      <c r="BG15" s="190">
        <v>24</v>
      </c>
      <c r="BH15" s="190">
        <v>228</v>
      </c>
      <c r="BI15" s="190">
        <v>2708</v>
      </c>
      <c r="BJ15" s="190">
        <v>2936</v>
      </c>
      <c r="BK15" s="190">
        <v>-51</v>
      </c>
      <c r="BL15" s="190">
        <v>51</v>
      </c>
      <c r="BM15" s="190">
        <v>0</v>
      </c>
      <c r="BN15" s="190">
        <v>9</v>
      </c>
      <c r="BO15" s="190">
        <v>40</v>
      </c>
      <c r="BP15" s="190">
        <v>49</v>
      </c>
      <c r="BQ15" s="190">
        <v>1</v>
      </c>
      <c r="BR15" s="190">
        <v>11</v>
      </c>
      <c r="BS15" s="190">
        <v>12</v>
      </c>
      <c r="BT15" s="190">
        <v>3</v>
      </c>
      <c r="BU15" s="190">
        <v>29</v>
      </c>
      <c r="BV15" s="190">
        <v>32</v>
      </c>
      <c r="BW15" s="190">
        <v>12030</v>
      </c>
      <c r="BX15" s="190">
        <v>80354</v>
      </c>
      <c r="BY15" s="190">
        <v>92384</v>
      </c>
      <c r="BZ15" s="190">
        <v>11827</v>
      </c>
      <c r="CA15" s="190">
        <v>79480</v>
      </c>
      <c r="CB15" s="190">
        <v>91307</v>
      </c>
      <c r="CC15" s="190">
        <v>213635</v>
      </c>
      <c r="CD15" s="190">
        <v>70</v>
      </c>
      <c r="CE15" s="190">
        <v>924</v>
      </c>
      <c r="CF15" s="190">
        <v>189</v>
      </c>
      <c r="CG15" s="190">
        <v>664</v>
      </c>
      <c r="CH15" s="190">
        <v>853</v>
      </c>
      <c r="CI15" s="190">
        <v>250</v>
      </c>
      <c r="CJ15" s="190">
        <v>41</v>
      </c>
      <c r="CK15" s="190">
        <v>14</v>
      </c>
      <c r="CL15" s="190">
        <v>210</v>
      </c>
      <c r="CM15" s="190">
        <v>224</v>
      </c>
      <c r="CN15" s="190">
        <v>663</v>
      </c>
      <c r="CO15" s="190">
        <v>6693</v>
      </c>
      <c r="CP15" s="190">
        <v>7356</v>
      </c>
      <c r="CQ15" s="190">
        <v>2</v>
      </c>
      <c r="CR15" s="190">
        <v>59</v>
      </c>
      <c r="CS15" s="190">
        <v>61</v>
      </c>
      <c r="CT15" s="190">
        <v>11367</v>
      </c>
      <c r="CU15" s="190">
        <v>73661</v>
      </c>
      <c r="CV15" s="190">
        <v>85028</v>
      </c>
      <c r="CW15" s="190">
        <v>949</v>
      </c>
      <c r="CX15" s="190">
        <v>5445</v>
      </c>
      <c r="CY15" s="190">
        <v>6394</v>
      </c>
      <c r="CZ15" s="190">
        <v>857</v>
      </c>
      <c r="DA15" s="190">
        <v>6</v>
      </c>
      <c r="DB15" s="190">
        <v>0</v>
      </c>
      <c r="DC15" s="190">
        <v>4346</v>
      </c>
      <c r="DD15" s="190">
        <v>76</v>
      </c>
      <c r="DE15" s="190">
        <v>11</v>
      </c>
      <c r="DF15" s="190">
        <v>863</v>
      </c>
      <c r="DG15" s="190">
        <v>4433</v>
      </c>
      <c r="DH15" s="190">
        <v>5296</v>
      </c>
      <c r="DI15" s="190">
        <v>84</v>
      </c>
      <c r="DJ15" s="190">
        <v>2</v>
      </c>
      <c r="DK15" s="190">
        <v>0</v>
      </c>
      <c r="DL15" s="190">
        <v>997</v>
      </c>
      <c r="DM15" s="190">
        <v>14</v>
      </c>
      <c r="DN15" s="190">
        <v>1</v>
      </c>
      <c r="DO15" s="190">
        <v>86</v>
      </c>
      <c r="DP15" s="190">
        <v>1012</v>
      </c>
      <c r="DQ15" s="190">
        <v>1098</v>
      </c>
      <c r="DR15" s="190">
        <v>0</v>
      </c>
      <c r="DS15" s="190">
        <v>5</v>
      </c>
      <c r="DT15" s="191">
        <v>5</v>
      </c>
    </row>
    <row r="16" spans="1:129" s="172" customFormat="1">
      <c r="A16" s="189" t="s">
        <v>281</v>
      </c>
      <c r="B16" s="190">
        <v>94</v>
      </c>
      <c r="C16" s="190">
        <v>9</v>
      </c>
      <c r="D16" s="190">
        <v>86</v>
      </c>
      <c r="E16" s="190">
        <v>53</v>
      </c>
      <c r="F16" s="190">
        <v>0</v>
      </c>
      <c r="G16" s="190">
        <v>1</v>
      </c>
      <c r="H16" s="190">
        <v>1</v>
      </c>
      <c r="I16" s="190">
        <v>0</v>
      </c>
      <c r="J16" s="190">
        <v>31</v>
      </c>
      <c r="K16" s="190">
        <v>31</v>
      </c>
      <c r="L16" s="190">
        <v>0</v>
      </c>
      <c r="M16" s="190">
        <v>5</v>
      </c>
      <c r="N16" s="190">
        <v>5</v>
      </c>
      <c r="O16" s="190">
        <v>0</v>
      </c>
      <c r="P16" s="190">
        <v>26</v>
      </c>
      <c r="Q16" s="190">
        <v>26</v>
      </c>
      <c r="R16" s="190">
        <v>0</v>
      </c>
      <c r="S16" s="190">
        <v>0</v>
      </c>
      <c r="T16" s="190">
        <v>0</v>
      </c>
      <c r="U16" s="190">
        <v>0</v>
      </c>
      <c r="V16" s="190">
        <v>2</v>
      </c>
      <c r="W16" s="190">
        <v>2</v>
      </c>
      <c r="X16" s="190">
        <v>5</v>
      </c>
      <c r="Y16" s="190">
        <v>81</v>
      </c>
      <c r="Z16" s="190">
        <v>86</v>
      </c>
      <c r="AA16" s="190">
        <v>3</v>
      </c>
      <c r="AB16" s="190">
        <v>35</v>
      </c>
      <c r="AC16" s="190">
        <v>38</v>
      </c>
      <c r="AD16" s="190">
        <v>2</v>
      </c>
      <c r="AE16" s="190">
        <v>33</v>
      </c>
      <c r="AF16" s="190">
        <v>35</v>
      </c>
      <c r="AG16" s="190">
        <v>1</v>
      </c>
      <c r="AH16" s="190">
        <v>2</v>
      </c>
      <c r="AI16" s="190">
        <v>3</v>
      </c>
      <c r="AJ16" s="190">
        <v>0</v>
      </c>
      <c r="AK16" s="190">
        <v>0</v>
      </c>
      <c r="AL16" s="190">
        <v>0</v>
      </c>
      <c r="AM16" s="190">
        <v>2</v>
      </c>
      <c r="AN16" s="190">
        <v>46</v>
      </c>
      <c r="AO16" s="190">
        <v>48</v>
      </c>
      <c r="AP16" s="190">
        <v>216</v>
      </c>
      <c r="AQ16" s="190">
        <v>1236</v>
      </c>
      <c r="AR16" s="190">
        <v>1452</v>
      </c>
      <c r="AS16" s="190">
        <v>216</v>
      </c>
      <c r="AT16" s="190">
        <v>1236</v>
      </c>
      <c r="AU16" s="190">
        <v>1452</v>
      </c>
      <c r="AV16" s="190">
        <v>0</v>
      </c>
      <c r="AW16" s="190">
        <v>0</v>
      </c>
      <c r="AX16" s="190">
        <v>0</v>
      </c>
      <c r="AY16" s="190">
        <v>1</v>
      </c>
      <c r="AZ16" s="190">
        <v>106</v>
      </c>
      <c r="BA16" s="190">
        <v>107</v>
      </c>
      <c r="BB16" s="190">
        <v>4</v>
      </c>
      <c r="BC16" s="190">
        <v>0</v>
      </c>
      <c r="BD16" s="190">
        <v>0</v>
      </c>
      <c r="BE16" s="190">
        <v>49</v>
      </c>
      <c r="BF16" s="190">
        <v>0</v>
      </c>
      <c r="BG16" s="190">
        <v>0</v>
      </c>
      <c r="BH16" s="190">
        <v>4</v>
      </c>
      <c r="BI16" s="190">
        <v>49</v>
      </c>
      <c r="BJ16" s="190">
        <v>53</v>
      </c>
      <c r="BK16" s="190">
        <v>-7</v>
      </c>
      <c r="BL16" s="190">
        <v>7</v>
      </c>
      <c r="BM16" s="190">
        <v>0</v>
      </c>
      <c r="BN16" s="190">
        <v>1</v>
      </c>
      <c r="BO16" s="190">
        <v>7</v>
      </c>
      <c r="BP16" s="190">
        <v>8</v>
      </c>
      <c r="BQ16" s="190">
        <v>0</v>
      </c>
      <c r="BR16" s="190">
        <v>11</v>
      </c>
      <c r="BS16" s="190">
        <v>11</v>
      </c>
      <c r="BT16" s="190">
        <v>3</v>
      </c>
      <c r="BU16" s="190">
        <v>32</v>
      </c>
      <c r="BV16" s="190">
        <v>35</v>
      </c>
      <c r="BW16" s="190">
        <v>217</v>
      </c>
      <c r="BX16" s="190">
        <v>1342</v>
      </c>
      <c r="BY16" s="190">
        <v>1559</v>
      </c>
      <c r="BZ16" s="190">
        <v>216</v>
      </c>
      <c r="CA16" s="190">
        <v>1331</v>
      </c>
      <c r="CB16" s="190">
        <v>1547</v>
      </c>
      <c r="CC16" s="190">
        <v>3596</v>
      </c>
      <c r="CD16" s="190">
        <v>0</v>
      </c>
      <c r="CE16" s="190">
        <v>12</v>
      </c>
      <c r="CF16" s="190">
        <v>1</v>
      </c>
      <c r="CG16" s="190">
        <v>11</v>
      </c>
      <c r="CH16" s="190">
        <v>12</v>
      </c>
      <c r="CI16" s="190">
        <v>0</v>
      </c>
      <c r="CJ16" s="190">
        <v>0</v>
      </c>
      <c r="CK16" s="190">
        <v>0</v>
      </c>
      <c r="CL16" s="190">
        <v>0</v>
      </c>
      <c r="CM16" s="190">
        <v>0</v>
      </c>
      <c r="CN16" s="190">
        <v>8</v>
      </c>
      <c r="CO16" s="190">
        <v>115</v>
      </c>
      <c r="CP16" s="190">
        <v>123</v>
      </c>
      <c r="CQ16" s="190">
        <v>0</v>
      </c>
      <c r="CR16" s="190">
        <v>0</v>
      </c>
      <c r="CS16" s="190">
        <v>0</v>
      </c>
      <c r="CT16" s="190">
        <v>209</v>
      </c>
      <c r="CU16" s="190">
        <v>1227</v>
      </c>
      <c r="CV16" s="190">
        <v>1436</v>
      </c>
      <c r="CW16" s="190">
        <v>11</v>
      </c>
      <c r="CX16" s="190">
        <v>53</v>
      </c>
      <c r="CY16" s="190">
        <v>64</v>
      </c>
      <c r="CZ16" s="190">
        <v>11</v>
      </c>
      <c r="DA16" s="190">
        <v>0</v>
      </c>
      <c r="DB16" s="190">
        <v>0</v>
      </c>
      <c r="DC16" s="190">
        <v>52</v>
      </c>
      <c r="DD16" s="190">
        <v>0</v>
      </c>
      <c r="DE16" s="190">
        <v>0</v>
      </c>
      <c r="DF16" s="190">
        <v>11</v>
      </c>
      <c r="DG16" s="190">
        <v>52</v>
      </c>
      <c r="DH16" s="190">
        <v>63</v>
      </c>
      <c r="DI16" s="190">
        <v>0</v>
      </c>
      <c r="DJ16" s="190">
        <v>0</v>
      </c>
      <c r="DK16" s="190">
        <v>0</v>
      </c>
      <c r="DL16" s="190">
        <v>1</v>
      </c>
      <c r="DM16" s="190">
        <v>0</v>
      </c>
      <c r="DN16" s="190">
        <v>0</v>
      </c>
      <c r="DO16" s="190">
        <v>0</v>
      </c>
      <c r="DP16" s="190">
        <v>1</v>
      </c>
      <c r="DQ16" s="190">
        <v>1</v>
      </c>
      <c r="DR16" s="190">
        <v>0</v>
      </c>
      <c r="DS16" s="190">
        <v>0</v>
      </c>
      <c r="DT16" s="191">
        <v>0</v>
      </c>
      <c r="DV16" s="192"/>
      <c r="DW16" s="193"/>
      <c r="DX16" s="192"/>
      <c r="DY16" s="192"/>
    </row>
    <row r="17" spans="1:129" s="172" customFormat="1">
      <c r="A17" s="189" t="s">
        <v>282</v>
      </c>
      <c r="B17" s="190">
        <v>1222</v>
      </c>
      <c r="C17" s="190">
        <v>252</v>
      </c>
      <c r="D17" s="190">
        <v>1364</v>
      </c>
      <c r="E17" s="190">
        <v>726</v>
      </c>
      <c r="F17" s="190">
        <v>0</v>
      </c>
      <c r="G17" s="190">
        <v>28</v>
      </c>
      <c r="H17" s="190">
        <v>28</v>
      </c>
      <c r="I17" s="190">
        <v>0</v>
      </c>
      <c r="J17" s="190">
        <v>593</v>
      </c>
      <c r="K17" s="190">
        <v>593</v>
      </c>
      <c r="L17" s="190">
        <v>0</v>
      </c>
      <c r="M17" s="190">
        <v>215</v>
      </c>
      <c r="N17" s="190">
        <v>215</v>
      </c>
      <c r="O17" s="190">
        <v>0</v>
      </c>
      <c r="P17" s="190">
        <v>378</v>
      </c>
      <c r="Q17" s="190">
        <v>378</v>
      </c>
      <c r="R17" s="190">
        <v>0</v>
      </c>
      <c r="S17" s="190">
        <v>14</v>
      </c>
      <c r="T17" s="190">
        <v>14</v>
      </c>
      <c r="U17" s="190">
        <v>0</v>
      </c>
      <c r="V17" s="190">
        <v>45</v>
      </c>
      <c r="W17" s="190">
        <v>45</v>
      </c>
      <c r="X17" s="190">
        <v>12</v>
      </c>
      <c r="Y17" s="190">
        <v>1352</v>
      </c>
      <c r="Z17" s="190">
        <v>1364</v>
      </c>
      <c r="AA17" s="190">
        <v>9</v>
      </c>
      <c r="AB17" s="190">
        <v>458</v>
      </c>
      <c r="AC17" s="190">
        <v>467</v>
      </c>
      <c r="AD17" s="190">
        <v>9</v>
      </c>
      <c r="AE17" s="190">
        <v>441</v>
      </c>
      <c r="AF17" s="190">
        <v>450</v>
      </c>
      <c r="AG17" s="190">
        <v>0</v>
      </c>
      <c r="AH17" s="190">
        <v>13</v>
      </c>
      <c r="AI17" s="190">
        <v>13</v>
      </c>
      <c r="AJ17" s="190">
        <v>0</v>
      </c>
      <c r="AK17" s="190">
        <v>4</v>
      </c>
      <c r="AL17" s="190">
        <v>4</v>
      </c>
      <c r="AM17" s="190">
        <v>3</v>
      </c>
      <c r="AN17" s="190">
        <v>894</v>
      </c>
      <c r="AO17" s="190">
        <v>897</v>
      </c>
      <c r="AP17" s="190">
        <v>876</v>
      </c>
      <c r="AQ17" s="190">
        <v>10495</v>
      </c>
      <c r="AR17" s="190">
        <v>11371</v>
      </c>
      <c r="AS17" s="190">
        <v>876</v>
      </c>
      <c r="AT17" s="190">
        <v>10496</v>
      </c>
      <c r="AU17" s="190">
        <v>11372</v>
      </c>
      <c r="AV17" s="190">
        <v>0</v>
      </c>
      <c r="AW17" s="190">
        <v>-1</v>
      </c>
      <c r="AX17" s="190">
        <v>-1</v>
      </c>
      <c r="AY17" s="190">
        <v>9</v>
      </c>
      <c r="AZ17" s="190">
        <v>1363</v>
      </c>
      <c r="BA17" s="190">
        <v>1372</v>
      </c>
      <c r="BB17" s="190">
        <v>10</v>
      </c>
      <c r="BC17" s="190">
        <v>0</v>
      </c>
      <c r="BD17" s="190">
        <v>0</v>
      </c>
      <c r="BE17" s="190">
        <v>714</v>
      </c>
      <c r="BF17" s="190">
        <v>1</v>
      </c>
      <c r="BG17" s="190">
        <v>1</v>
      </c>
      <c r="BH17" s="190">
        <v>10</v>
      </c>
      <c r="BI17" s="190">
        <v>716</v>
      </c>
      <c r="BJ17" s="190">
        <v>726</v>
      </c>
      <c r="BK17" s="190">
        <v>-24</v>
      </c>
      <c r="BL17" s="190">
        <v>24</v>
      </c>
      <c r="BM17" s="190">
        <v>0</v>
      </c>
      <c r="BN17" s="190">
        <v>5</v>
      </c>
      <c r="BO17" s="190">
        <v>21</v>
      </c>
      <c r="BP17" s="190">
        <v>26</v>
      </c>
      <c r="BQ17" s="190">
        <v>0</v>
      </c>
      <c r="BR17" s="190">
        <v>85</v>
      </c>
      <c r="BS17" s="190">
        <v>85</v>
      </c>
      <c r="BT17" s="190">
        <v>18</v>
      </c>
      <c r="BU17" s="190">
        <v>517</v>
      </c>
      <c r="BV17" s="190">
        <v>535</v>
      </c>
      <c r="BW17" s="190">
        <v>885</v>
      </c>
      <c r="BX17" s="190">
        <v>11858</v>
      </c>
      <c r="BY17" s="190">
        <v>12743</v>
      </c>
      <c r="BZ17" s="190">
        <v>885</v>
      </c>
      <c r="CA17" s="190">
        <v>11824</v>
      </c>
      <c r="CB17" s="190">
        <v>12709</v>
      </c>
      <c r="CC17" s="190">
        <v>21380</v>
      </c>
      <c r="CD17" s="190">
        <v>7</v>
      </c>
      <c r="CE17" s="190">
        <v>23</v>
      </c>
      <c r="CF17" s="190">
        <v>0</v>
      </c>
      <c r="CG17" s="190">
        <v>27</v>
      </c>
      <c r="CH17" s="190">
        <v>27</v>
      </c>
      <c r="CI17" s="190">
        <v>8</v>
      </c>
      <c r="CJ17" s="190">
        <v>1</v>
      </c>
      <c r="CK17" s="190">
        <v>0</v>
      </c>
      <c r="CL17" s="190">
        <v>7</v>
      </c>
      <c r="CM17" s="190">
        <v>7</v>
      </c>
      <c r="CN17" s="190">
        <v>38</v>
      </c>
      <c r="CO17" s="190">
        <v>1141</v>
      </c>
      <c r="CP17" s="190">
        <v>1179</v>
      </c>
      <c r="CQ17" s="190">
        <v>0</v>
      </c>
      <c r="CR17" s="190">
        <v>0</v>
      </c>
      <c r="CS17" s="190">
        <v>0</v>
      </c>
      <c r="CT17" s="190">
        <v>847</v>
      </c>
      <c r="CU17" s="190">
        <v>10717</v>
      </c>
      <c r="CV17" s="190">
        <v>11564</v>
      </c>
      <c r="CW17" s="190">
        <v>38</v>
      </c>
      <c r="CX17" s="190">
        <v>384</v>
      </c>
      <c r="CY17" s="190">
        <v>422</v>
      </c>
      <c r="CZ17" s="190">
        <v>38</v>
      </c>
      <c r="DA17" s="190">
        <v>0</v>
      </c>
      <c r="DB17" s="190">
        <v>0</v>
      </c>
      <c r="DC17" s="190">
        <v>379</v>
      </c>
      <c r="DD17" s="190">
        <v>0</v>
      </c>
      <c r="DE17" s="190">
        <v>0</v>
      </c>
      <c r="DF17" s="190">
        <v>38</v>
      </c>
      <c r="DG17" s="190">
        <v>379</v>
      </c>
      <c r="DH17" s="190">
        <v>417</v>
      </c>
      <c r="DI17" s="190">
        <v>0</v>
      </c>
      <c r="DJ17" s="190">
        <v>0</v>
      </c>
      <c r="DK17" s="190">
        <v>0</v>
      </c>
      <c r="DL17" s="190">
        <v>5</v>
      </c>
      <c r="DM17" s="190">
        <v>0</v>
      </c>
      <c r="DN17" s="190">
        <v>0</v>
      </c>
      <c r="DO17" s="190">
        <v>0</v>
      </c>
      <c r="DP17" s="190">
        <v>5</v>
      </c>
      <c r="DQ17" s="190">
        <v>5</v>
      </c>
      <c r="DR17" s="190">
        <v>0</v>
      </c>
      <c r="DS17" s="190">
        <v>0</v>
      </c>
      <c r="DT17" s="191">
        <v>0</v>
      </c>
      <c r="DV17" s="192"/>
      <c r="DW17" s="193"/>
      <c r="DX17" s="192"/>
      <c r="DY17" s="192"/>
    </row>
    <row r="18" spans="1:129" s="172" customFormat="1">
      <c r="A18" s="189" t="s">
        <v>283</v>
      </c>
      <c r="B18" s="190">
        <v>1043</v>
      </c>
      <c r="C18" s="190">
        <v>130</v>
      </c>
      <c r="D18" s="190">
        <v>1105</v>
      </c>
      <c r="E18" s="190">
        <v>716</v>
      </c>
      <c r="F18" s="190">
        <v>2</v>
      </c>
      <c r="G18" s="190">
        <v>12</v>
      </c>
      <c r="H18" s="190">
        <v>14</v>
      </c>
      <c r="I18" s="190">
        <v>0</v>
      </c>
      <c r="J18" s="190">
        <v>343</v>
      </c>
      <c r="K18" s="190">
        <v>343</v>
      </c>
      <c r="L18" s="190">
        <v>0</v>
      </c>
      <c r="M18" s="190">
        <v>180</v>
      </c>
      <c r="N18" s="190">
        <v>180</v>
      </c>
      <c r="O18" s="190">
        <v>0</v>
      </c>
      <c r="P18" s="190">
        <v>163</v>
      </c>
      <c r="Q18" s="190">
        <v>163</v>
      </c>
      <c r="R18" s="190">
        <v>0</v>
      </c>
      <c r="S18" s="190">
        <v>7</v>
      </c>
      <c r="T18" s="190">
        <v>7</v>
      </c>
      <c r="U18" s="190">
        <v>0</v>
      </c>
      <c r="V18" s="190">
        <v>46</v>
      </c>
      <c r="W18" s="190">
        <v>46</v>
      </c>
      <c r="X18" s="190">
        <v>43</v>
      </c>
      <c r="Y18" s="190">
        <v>1061</v>
      </c>
      <c r="Z18" s="190">
        <v>1104</v>
      </c>
      <c r="AA18" s="190">
        <v>24</v>
      </c>
      <c r="AB18" s="190">
        <v>399</v>
      </c>
      <c r="AC18" s="190">
        <v>423</v>
      </c>
      <c r="AD18" s="190">
        <v>23</v>
      </c>
      <c r="AE18" s="190">
        <v>369</v>
      </c>
      <c r="AF18" s="190">
        <v>392</v>
      </c>
      <c r="AG18" s="190">
        <v>1</v>
      </c>
      <c r="AH18" s="190">
        <v>16</v>
      </c>
      <c r="AI18" s="190">
        <v>17</v>
      </c>
      <c r="AJ18" s="190">
        <v>0</v>
      </c>
      <c r="AK18" s="190">
        <v>14</v>
      </c>
      <c r="AL18" s="190">
        <v>14</v>
      </c>
      <c r="AM18" s="190">
        <v>19</v>
      </c>
      <c r="AN18" s="190">
        <v>662</v>
      </c>
      <c r="AO18" s="190">
        <v>681</v>
      </c>
      <c r="AP18" s="190">
        <v>2228</v>
      </c>
      <c r="AQ18" s="190">
        <v>14528</v>
      </c>
      <c r="AR18" s="190">
        <v>16756</v>
      </c>
      <c r="AS18" s="190">
        <v>2228</v>
      </c>
      <c r="AT18" s="190">
        <v>14528</v>
      </c>
      <c r="AU18" s="190">
        <v>16756</v>
      </c>
      <c r="AV18" s="190">
        <v>0</v>
      </c>
      <c r="AW18" s="190">
        <v>0</v>
      </c>
      <c r="AX18" s="190">
        <v>0</v>
      </c>
      <c r="AY18" s="190">
        <v>118</v>
      </c>
      <c r="AZ18" s="190">
        <v>1042</v>
      </c>
      <c r="BA18" s="190">
        <v>1160</v>
      </c>
      <c r="BB18" s="190">
        <v>52</v>
      </c>
      <c r="BC18" s="190">
        <v>3</v>
      </c>
      <c r="BD18" s="190">
        <v>0</v>
      </c>
      <c r="BE18" s="190">
        <v>625</v>
      </c>
      <c r="BF18" s="190">
        <v>29</v>
      </c>
      <c r="BG18" s="190">
        <v>7</v>
      </c>
      <c r="BH18" s="190">
        <v>55</v>
      </c>
      <c r="BI18" s="190">
        <v>661</v>
      </c>
      <c r="BJ18" s="190">
        <v>716</v>
      </c>
      <c r="BK18" s="190">
        <v>16</v>
      </c>
      <c r="BL18" s="190">
        <v>-16</v>
      </c>
      <c r="BM18" s="190">
        <v>0</v>
      </c>
      <c r="BN18" s="190">
        <v>2</v>
      </c>
      <c r="BO18" s="190">
        <v>17</v>
      </c>
      <c r="BP18" s="190">
        <v>19</v>
      </c>
      <c r="BQ18" s="190">
        <v>6</v>
      </c>
      <c r="BR18" s="190">
        <v>133</v>
      </c>
      <c r="BS18" s="190">
        <v>139</v>
      </c>
      <c r="BT18" s="190">
        <v>39</v>
      </c>
      <c r="BU18" s="190">
        <v>247</v>
      </c>
      <c r="BV18" s="190">
        <v>286</v>
      </c>
      <c r="BW18" s="190">
        <v>2346</v>
      </c>
      <c r="BX18" s="190">
        <v>15570</v>
      </c>
      <c r="BY18" s="190">
        <v>17916</v>
      </c>
      <c r="BZ18" s="190">
        <v>2314</v>
      </c>
      <c r="CA18" s="190">
        <v>15180</v>
      </c>
      <c r="CB18" s="190">
        <v>17494</v>
      </c>
      <c r="CC18" s="190">
        <v>43009</v>
      </c>
      <c r="CD18" s="190">
        <v>34</v>
      </c>
      <c r="CE18" s="190">
        <v>366</v>
      </c>
      <c r="CF18" s="190">
        <v>28</v>
      </c>
      <c r="CG18" s="190">
        <v>335</v>
      </c>
      <c r="CH18" s="190">
        <v>363</v>
      </c>
      <c r="CI18" s="190">
        <v>59</v>
      </c>
      <c r="CJ18" s="190">
        <v>9</v>
      </c>
      <c r="CK18" s="190">
        <v>4</v>
      </c>
      <c r="CL18" s="190">
        <v>55</v>
      </c>
      <c r="CM18" s="190">
        <v>59</v>
      </c>
      <c r="CN18" s="190">
        <v>91</v>
      </c>
      <c r="CO18" s="190">
        <v>1018</v>
      </c>
      <c r="CP18" s="190">
        <v>1109</v>
      </c>
      <c r="CQ18" s="190">
        <v>0</v>
      </c>
      <c r="CR18" s="190">
        <v>0</v>
      </c>
      <c r="CS18" s="190">
        <v>0</v>
      </c>
      <c r="CT18" s="190">
        <v>2255</v>
      </c>
      <c r="CU18" s="190">
        <v>14552</v>
      </c>
      <c r="CV18" s="190">
        <v>16807</v>
      </c>
      <c r="CW18" s="190">
        <v>117</v>
      </c>
      <c r="CX18" s="190">
        <v>620</v>
      </c>
      <c r="CY18" s="190">
        <v>737</v>
      </c>
      <c r="CZ18" s="190">
        <v>116</v>
      </c>
      <c r="DA18" s="190">
        <v>1</v>
      </c>
      <c r="DB18" s="190">
        <v>0</v>
      </c>
      <c r="DC18" s="190">
        <v>601</v>
      </c>
      <c r="DD18" s="190">
        <v>12</v>
      </c>
      <c r="DE18" s="190">
        <v>1</v>
      </c>
      <c r="DF18" s="190">
        <v>117</v>
      </c>
      <c r="DG18" s="190">
        <v>614</v>
      </c>
      <c r="DH18" s="190">
        <v>731</v>
      </c>
      <c r="DI18" s="190">
        <v>0</v>
      </c>
      <c r="DJ18" s="190">
        <v>0</v>
      </c>
      <c r="DK18" s="190">
        <v>0</v>
      </c>
      <c r="DL18" s="190">
        <v>6</v>
      </c>
      <c r="DM18" s="190">
        <v>0</v>
      </c>
      <c r="DN18" s="190">
        <v>0</v>
      </c>
      <c r="DO18" s="190">
        <v>0</v>
      </c>
      <c r="DP18" s="190">
        <v>6</v>
      </c>
      <c r="DQ18" s="190">
        <v>6</v>
      </c>
      <c r="DR18" s="190">
        <v>0</v>
      </c>
      <c r="DS18" s="190">
        <v>0</v>
      </c>
      <c r="DT18" s="191">
        <v>0</v>
      </c>
      <c r="DV18" s="192"/>
      <c r="DW18" s="193"/>
      <c r="DX18" s="192"/>
      <c r="DY18" s="192"/>
    </row>
    <row r="19" spans="1:129" s="172" customFormat="1">
      <c r="A19" s="189" t="s">
        <v>284</v>
      </c>
      <c r="B19" s="190">
        <v>78</v>
      </c>
      <c r="C19" s="190">
        <v>4</v>
      </c>
      <c r="D19" s="190">
        <v>81</v>
      </c>
      <c r="E19" s="190">
        <v>52</v>
      </c>
      <c r="F19" s="190">
        <v>0</v>
      </c>
      <c r="G19" s="190">
        <v>0</v>
      </c>
      <c r="H19" s="190">
        <v>0</v>
      </c>
      <c r="I19" s="190">
        <v>0</v>
      </c>
      <c r="J19" s="190">
        <v>23</v>
      </c>
      <c r="K19" s="190">
        <v>23</v>
      </c>
      <c r="L19" s="190">
        <v>0</v>
      </c>
      <c r="M19" s="190">
        <v>13</v>
      </c>
      <c r="N19" s="190">
        <v>13</v>
      </c>
      <c r="O19" s="190">
        <v>0</v>
      </c>
      <c r="P19" s="190">
        <v>10</v>
      </c>
      <c r="Q19" s="190">
        <v>10</v>
      </c>
      <c r="R19" s="190">
        <v>0</v>
      </c>
      <c r="S19" s="190">
        <v>0</v>
      </c>
      <c r="T19" s="190">
        <v>0</v>
      </c>
      <c r="U19" s="190">
        <v>0</v>
      </c>
      <c r="V19" s="190">
        <v>6</v>
      </c>
      <c r="W19" s="190">
        <v>6</v>
      </c>
      <c r="X19" s="190">
        <v>1</v>
      </c>
      <c r="Y19" s="190">
        <v>80</v>
      </c>
      <c r="Z19" s="190">
        <v>81</v>
      </c>
      <c r="AA19" s="190">
        <v>1</v>
      </c>
      <c r="AB19" s="190">
        <v>27</v>
      </c>
      <c r="AC19" s="190">
        <v>28</v>
      </c>
      <c r="AD19" s="190">
        <v>1</v>
      </c>
      <c r="AE19" s="190">
        <v>24</v>
      </c>
      <c r="AF19" s="190">
        <v>25</v>
      </c>
      <c r="AG19" s="190">
        <v>0</v>
      </c>
      <c r="AH19" s="190">
        <v>2</v>
      </c>
      <c r="AI19" s="190">
        <v>2</v>
      </c>
      <c r="AJ19" s="190">
        <v>0</v>
      </c>
      <c r="AK19" s="190">
        <v>1</v>
      </c>
      <c r="AL19" s="190">
        <v>1</v>
      </c>
      <c r="AM19" s="190">
        <v>0</v>
      </c>
      <c r="AN19" s="190">
        <v>53</v>
      </c>
      <c r="AO19" s="190">
        <v>53</v>
      </c>
      <c r="AP19" s="190">
        <v>91</v>
      </c>
      <c r="AQ19" s="190">
        <v>881</v>
      </c>
      <c r="AR19" s="190">
        <v>972</v>
      </c>
      <c r="AS19" s="190">
        <v>91</v>
      </c>
      <c r="AT19" s="190">
        <v>881</v>
      </c>
      <c r="AU19" s="190">
        <v>972</v>
      </c>
      <c r="AV19" s="190">
        <v>0</v>
      </c>
      <c r="AW19" s="190">
        <v>0</v>
      </c>
      <c r="AX19" s="190">
        <v>0</v>
      </c>
      <c r="AY19" s="190">
        <v>2</v>
      </c>
      <c r="AZ19" s="190">
        <v>65</v>
      </c>
      <c r="BA19" s="190">
        <v>67</v>
      </c>
      <c r="BB19" s="190">
        <v>1</v>
      </c>
      <c r="BC19" s="190">
        <v>0</v>
      </c>
      <c r="BD19" s="190">
        <v>0</v>
      </c>
      <c r="BE19" s="190">
        <v>51</v>
      </c>
      <c r="BF19" s="190">
        <v>0</v>
      </c>
      <c r="BG19" s="190">
        <v>0</v>
      </c>
      <c r="BH19" s="190">
        <v>1</v>
      </c>
      <c r="BI19" s="190">
        <v>51</v>
      </c>
      <c r="BJ19" s="190">
        <v>52</v>
      </c>
      <c r="BK19" s="190">
        <v>1</v>
      </c>
      <c r="BL19" s="190">
        <v>-1</v>
      </c>
      <c r="BM19" s="190">
        <v>0</v>
      </c>
      <c r="BN19" s="190">
        <v>0</v>
      </c>
      <c r="BO19" s="190">
        <v>2</v>
      </c>
      <c r="BP19" s="190">
        <v>2</v>
      </c>
      <c r="BQ19" s="190">
        <v>0</v>
      </c>
      <c r="BR19" s="190">
        <v>7</v>
      </c>
      <c r="BS19" s="190">
        <v>7</v>
      </c>
      <c r="BT19" s="190">
        <v>0</v>
      </c>
      <c r="BU19" s="190">
        <v>6</v>
      </c>
      <c r="BV19" s="190">
        <v>6</v>
      </c>
      <c r="BW19" s="190">
        <v>93</v>
      </c>
      <c r="BX19" s="190">
        <v>946</v>
      </c>
      <c r="BY19" s="190">
        <v>1039</v>
      </c>
      <c r="BZ19" s="190">
        <v>92</v>
      </c>
      <c r="CA19" s="190">
        <v>939</v>
      </c>
      <c r="CB19" s="190">
        <v>1031</v>
      </c>
      <c r="CC19" s="190">
        <v>1959</v>
      </c>
      <c r="CD19" s="190">
        <v>1</v>
      </c>
      <c r="CE19" s="190">
        <v>6</v>
      </c>
      <c r="CF19" s="190">
        <v>1</v>
      </c>
      <c r="CG19" s="190">
        <v>5</v>
      </c>
      <c r="CH19" s="190">
        <v>6</v>
      </c>
      <c r="CI19" s="190">
        <v>2</v>
      </c>
      <c r="CJ19" s="190">
        <v>0</v>
      </c>
      <c r="CK19" s="190">
        <v>0</v>
      </c>
      <c r="CL19" s="190">
        <v>2</v>
      </c>
      <c r="CM19" s="190">
        <v>2</v>
      </c>
      <c r="CN19" s="190">
        <v>12</v>
      </c>
      <c r="CO19" s="190">
        <v>75</v>
      </c>
      <c r="CP19" s="190">
        <v>87</v>
      </c>
      <c r="CQ19" s="190">
        <v>0</v>
      </c>
      <c r="CR19" s="190">
        <v>0</v>
      </c>
      <c r="CS19" s="190">
        <v>0</v>
      </c>
      <c r="CT19" s="190">
        <v>81</v>
      </c>
      <c r="CU19" s="190">
        <v>871</v>
      </c>
      <c r="CV19" s="190">
        <v>952</v>
      </c>
      <c r="CW19" s="190">
        <v>3</v>
      </c>
      <c r="CX19" s="190">
        <v>43</v>
      </c>
      <c r="CY19" s="190">
        <v>46</v>
      </c>
      <c r="CZ19" s="190">
        <v>3</v>
      </c>
      <c r="DA19" s="190">
        <v>0</v>
      </c>
      <c r="DB19" s="190">
        <v>0</v>
      </c>
      <c r="DC19" s="190">
        <v>43</v>
      </c>
      <c r="DD19" s="190">
        <v>0</v>
      </c>
      <c r="DE19" s="190">
        <v>0</v>
      </c>
      <c r="DF19" s="190">
        <v>3</v>
      </c>
      <c r="DG19" s="190">
        <v>43</v>
      </c>
      <c r="DH19" s="190">
        <v>46</v>
      </c>
      <c r="DI19" s="190">
        <v>0</v>
      </c>
      <c r="DJ19" s="190">
        <v>0</v>
      </c>
      <c r="DK19" s="190">
        <v>0</v>
      </c>
      <c r="DL19" s="190">
        <v>0</v>
      </c>
      <c r="DM19" s="190">
        <v>0</v>
      </c>
      <c r="DN19" s="190">
        <v>0</v>
      </c>
      <c r="DO19" s="190">
        <v>0</v>
      </c>
      <c r="DP19" s="190">
        <v>0</v>
      </c>
      <c r="DQ19" s="190">
        <v>0</v>
      </c>
      <c r="DR19" s="190">
        <v>0</v>
      </c>
      <c r="DS19" s="190">
        <v>0</v>
      </c>
      <c r="DT19" s="191">
        <v>0</v>
      </c>
      <c r="DV19" s="192"/>
      <c r="DW19" s="193"/>
      <c r="DX19" s="192"/>
      <c r="DY19" s="192"/>
    </row>
    <row r="20" spans="1:129" s="172" customFormat="1">
      <c r="A20" s="189" t="s">
        <v>285</v>
      </c>
      <c r="B20" s="190">
        <v>5832</v>
      </c>
      <c r="C20" s="190">
        <v>1487</v>
      </c>
      <c r="D20" s="190">
        <v>5674</v>
      </c>
      <c r="E20" s="190">
        <v>3590</v>
      </c>
      <c r="F20" s="190">
        <v>4</v>
      </c>
      <c r="G20" s="190">
        <v>41</v>
      </c>
      <c r="H20" s="190">
        <v>45</v>
      </c>
      <c r="I20" s="190">
        <v>3</v>
      </c>
      <c r="J20" s="190">
        <v>1835</v>
      </c>
      <c r="K20" s="190">
        <v>1838</v>
      </c>
      <c r="L20" s="190">
        <v>3</v>
      </c>
      <c r="M20" s="190">
        <v>909</v>
      </c>
      <c r="N20" s="190">
        <v>912</v>
      </c>
      <c r="O20" s="190">
        <v>0</v>
      </c>
      <c r="P20" s="190">
        <v>926</v>
      </c>
      <c r="Q20" s="190">
        <v>926</v>
      </c>
      <c r="R20" s="190">
        <v>0</v>
      </c>
      <c r="S20" s="190">
        <v>31</v>
      </c>
      <c r="T20" s="190">
        <v>31</v>
      </c>
      <c r="U20" s="190">
        <v>0</v>
      </c>
      <c r="V20" s="190">
        <v>246</v>
      </c>
      <c r="W20" s="190">
        <v>246</v>
      </c>
      <c r="X20" s="190">
        <v>186</v>
      </c>
      <c r="Y20" s="190">
        <v>5487</v>
      </c>
      <c r="Z20" s="190">
        <v>5673</v>
      </c>
      <c r="AA20" s="190">
        <v>126</v>
      </c>
      <c r="AB20" s="190">
        <v>2176</v>
      </c>
      <c r="AC20" s="190">
        <v>2302</v>
      </c>
      <c r="AD20" s="190">
        <v>117</v>
      </c>
      <c r="AE20" s="190">
        <v>2005</v>
      </c>
      <c r="AF20" s="190">
        <v>2122</v>
      </c>
      <c r="AG20" s="190">
        <v>6</v>
      </c>
      <c r="AH20" s="190">
        <v>119</v>
      </c>
      <c r="AI20" s="190">
        <v>125</v>
      </c>
      <c r="AJ20" s="190">
        <v>3</v>
      </c>
      <c r="AK20" s="190">
        <v>52</v>
      </c>
      <c r="AL20" s="190">
        <v>55</v>
      </c>
      <c r="AM20" s="190">
        <v>60</v>
      </c>
      <c r="AN20" s="190">
        <v>3311</v>
      </c>
      <c r="AO20" s="190">
        <v>3371</v>
      </c>
      <c r="AP20" s="190">
        <v>9626</v>
      </c>
      <c r="AQ20" s="190">
        <v>56177</v>
      </c>
      <c r="AR20" s="190">
        <v>65803</v>
      </c>
      <c r="AS20" s="190">
        <v>9626</v>
      </c>
      <c r="AT20" s="190">
        <v>56178</v>
      </c>
      <c r="AU20" s="190">
        <v>65804</v>
      </c>
      <c r="AV20" s="190">
        <v>0</v>
      </c>
      <c r="AW20" s="190">
        <v>-1</v>
      </c>
      <c r="AX20" s="190">
        <v>-1</v>
      </c>
      <c r="AY20" s="190">
        <v>280</v>
      </c>
      <c r="AZ20" s="190">
        <v>5122</v>
      </c>
      <c r="BA20" s="190">
        <v>5402</v>
      </c>
      <c r="BB20" s="190">
        <v>235</v>
      </c>
      <c r="BC20" s="190">
        <v>1</v>
      </c>
      <c r="BD20" s="190">
        <v>0</v>
      </c>
      <c r="BE20" s="190">
        <v>3272</v>
      </c>
      <c r="BF20" s="190">
        <v>60</v>
      </c>
      <c r="BG20" s="190">
        <v>22</v>
      </c>
      <c r="BH20" s="190">
        <v>236</v>
      </c>
      <c r="BI20" s="190">
        <v>3354</v>
      </c>
      <c r="BJ20" s="190">
        <v>3590</v>
      </c>
      <c r="BK20" s="190">
        <v>-158</v>
      </c>
      <c r="BL20" s="190">
        <v>158</v>
      </c>
      <c r="BM20" s="190">
        <v>0</v>
      </c>
      <c r="BN20" s="190">
        <v>18</v>
      </c>
      <c r="BO20" s="190">
        <v>84</v>
      </c>
      <c r="BP20" s="190">
        <v>102</v>
      </c>
      <c r="BQ20" s="190">
        <v>63</v>
      </c>
      <c r="BR20" s="190">
        <v>516</v>
      </c>
      <c r="BS20" s="190">
        <v>579</v>
      </c>
      <c r="BT20" s="190">
        <v>121</v>
      </c>
      <c r="BU20" s="190">
        <v>1010</v>
      </c>
      <c r="BV20" s="190">
        <v>1131</v>
      </c>
      <c r="BW20" s="190">
        <v>9906</v>
      </c>
      <c r="BX20" s="190">
        <v>61299</v>
      </c>
      <c r="BY20" s="190">
        <v>71205</v>
      </c>
      <c r="BZ20" s="190">
        <v>9847</v>
      </c>
      <c r="CA20" s="190">
        <v>60300</v>
      </c>
      <c r="CB20" s="190">
        <v>70147</v>
      </c>
      <c r="CC20" s="190">
        <v>163677</v>
      </c>
      <c r="CD20" s="190">
        <v>46</v>
      </c>
      <c r="CE20" s="190">
        <v>834</v>
      </c>
      <c r="CF20" s="190">
        <v>59</v>
      </c>
      <c r="CG20" s="190">
        <v>743</v>
      </c>
      <c r="CH20" s="190">
        <v>802</v>
      </c>
      <c r="CI20" s="190">
        <v>319</v>
      </c>
      <c r="CJ20" s="190">
        <v>23</v>
      </c>
      <c r="CK20" s="190">
        <v>0</v>
      </c>
      <c r="CL20" s="190">
        <v>256</v>
      </c>
      <c r="CM20" s="190">
        <v>256</v>
      </c>
      <c r="CN20" s="190">
        <v>405</v>
      </c>
      <c r="CO20" s="190">
        <v>5536</v>
      </c>
      <c r="CP20" s="190">
        <v>5941</v>
      </c>
      <c r="CQ20" s="190">
        <v>2</v>
      </c>
      <c r="CR20" s="190">
        <v>2</v>
      </c>
      <c r="CS20" s="190">
        <v>4</v>
      </c>
      <c r="CT20" s="190">
        <v>9501</v>
      </c>
      <c r="CU20" s="190">
        <v>55763</v>
      </c>
      <c r="CV20" s="190">
        <v>65264</v>
      </c>
      <c r="CW20" s="190">
        <v>615</v>
      </c>
      <c r="CX20" s="190">
        <v>2163</v>
      </c>
      <c r="CY20" s="190">
        <v>2778</v>
      </c>
      <c r="CZ20" s="190">
        <v>606</v>
      </c>
      <c r="DA20" s="190">
        <v>7</v>
      </c>
      <c r="DB20" s="190">
        <v>0</v>
      </c>
      <c r="DC20" s="190">
        <v>2026</v>
      </c>
      <c r="DD20" s="190">
        <v>34</v>
      </c>
      <c r="DE20" s="190">
        <v>7</v>
      </c>
      <c r="DF20" s="190">
        <v>613</v>
      </c>
      <c r="DG20" s="190">
        <v>2067</v>
      </c>
      <c r="DH20" s="190">
        <v>2680</v>
      </c>
      <c r="DI20" s="190">
        <v>2</v>
      </c>
      <c r="DJ20" s="190">
        <v>0</v>
      </c>
      <c r="DK20" s="190">
        <v>0</v>
      </c>
      <c r="DL20" s="190">
        <v>94</v>
      </c>
      <c r="DM20" s="190">
        <v>2</v>
      </c>
      <c r="DN20" s="190">
        <v>0</v>
      </c>
      <c r="DO20" s="190">
        <v>2</v>
      </c>
      <c r="DP20" s="190">
        <v>96</v>
      </c>
      <c r="DQ20" s="190">
        <v>98</v>
      </c>
      <c r="DR20" s="190">
        <v>0</v>
      </c>
      <c r="DS20" s="190">
        <v>0</v>
      </c>
      <c r="DT20" s="191">
        <v>0</v>
      </c>
      <c r="DV20" s="192"/>
      <c r="DW20" s="193"/>
      <c r="DX20" s="192"/>
      <c r="DY20" s="192"/>
    </row>
    <row r="21" spans="1:129" s="172" customFormat="1">
      <c r="A21" s="189" t="s">
        <v>286</v>
      </c>
      <c r="B21" s="190">
        <v>854</v>
      </c>
      <c r="C21" s="190">
        <v>116</v>
      </c>
      <c r="D21" s="190">
        <v>837</v>
      </c>
      <c r="E21" s="190">
        <v>620</v>
      </c>
      <c r="F21" s="190">
        <v>0</v>
      </c>
      <c r="G21" s="190">
        <v>2</v>
      </c>
      <c r="H21" s="190">
        <v>2</v>
      </c>
      <c r="I21" s="190">
        <v>0</v>
      </c>
      <c r="J21" s="190">
        <v>190</v>
      </c>
      <c r="K21" s="190">
        <v>190</v>
      </c>
      <c r="L21" s="190">
        <v>0</v>
      </c>
      <c r="M21" s="190">
        <v>110</v>
      </c>
      <c r="N21" s="190">
        <v>110</v>
      </c>
      <c r="O21" s="190">
        <v>0</v>
      </c>
      <c r="P21" s="190">
        <v>80</v>
      </c>
      <c r="Q21" s="190">
        <v>80</v>
      </c>
      <c r="R21" s="190">
        <v>0</v>
      </c>
      <c r="S21" s="190">
        <v>2</v>
      </c>
      <c r="T21" s="190">
        <v>2</v>
      </c>
      <c r="U21" s="190">
        <v>0</v>
      </c>
      <c r="V21" s="190">
        <v>27</v>
      </c>
      <c r="W21" s="190">
        <v>27</v>
      </c>
      <c r="X21" s="190">
        <v>40</v>
      </c>
      <c r="Y21" s="190">
        <v>797</v>
      </c>
      <c r="Z21" s="190">
        <v>837</v>
      </c>
      <c r="AA21" s="190">
        <v>27</v>
      </c>
      <c r="AB21" s="190">
        <v>381</v>
      </c>
      <c r="AC21" s="190">
        <v>408</v>
      </c>
      <c r="AD21" s="190">
        <v>27</v>
      </c>
      <c r="AE21" s="190">
        <v>370</v>
      </c>
      <c r="AF21" s="190">
        <v>397</v>
      </c>
      <c r="AG21" s="190">
        <v>0</v>
      </c>
      <c r="AH21" s="190">
        <v>10</v>
      </c>
      <c r="AI21" s="190">
        <v>10</v>
      </c>
      <c r="AJ21" s="190">
        <v>0</v>
      </c>
      <c r="AK21" s="190">
        <v>1</v>
      </c>
      <c r="AL21" s="190">
        <v>1</v>
      </c>
      <c r="AM21" s="190">
        <v>13</v>
      </c>
      <c r="AN21" s="190">
        <v>416</v>
      </c>
      <c r="AO21" s="190">
        <v>429</v>
      </c>
      <c r="AP21" s="190">
        <v>1379</v>
      </c>
      <c r="AQ21" s="190">
        <v>8589</v>
      </c>
      <c r="AR21" s="190">
        <v>9968</v>
      </c>
      <c r="AS21" s="190">
        <v>1379</v>
      </c>
      <c r="AT21" s="190">
        <v>8589</v>
      </c>
      <c r="AU21" s="190">
        <v>9968</v>
      </c>
      <c r="AV21" s="190">
        <v>0</v>
      </c>
      <c r="AW21" s="190">
        <v>0</v>
      </c>
      <c r="AX21" s="190">
        <v>0</v>
      </c>
      <c r="AY21" s="190">
        <v>83</v>
      </c>
      <c r="AZ21" s="190">
        <v>817</v>
      </c>
      <c r="BA21" s="190">
        <v>900</v>
      </c>
      <c r="BB21" s="190">
        <v>43</v>
      </c>
      <c r="BC21" s="190">
        <v>0</v>
      </c>
      <c r="BD21" s="190">
        <v>0</v>
      </c>
      <c r="BE21" s="190">
        <v>565</v>
      </c>
      <c r="BF21" s="190">
        <v>9</v>
      </c>
      <c r="BG21" s="190">
        <v>3</v>
      </c>
      <c r="BH21" s="190">
        <v>43</v>
      </c>
      <c r="BI21" s="190">
        <v>577</v>
      </c>
      <c r="BJ21" s="190">
        <v>620</v>
      </c>
      <c r="BK21" s="190">
        <v>7</v>
      </c>
      <c r="BL21" s="190">
        <v>-7</v>
      </c>
      <c r="BM21" s="190">
        <v>0</v>
      </c>
      <c r="BN21" s="190">
        <v>6</v>
      </c>
      <c r="BO21" s="190">
        <v>16</v>
      </c>
      <c r="BP21" s="190">
        <v>22</v>
      </c>
      <c r="BQ21" s="190">
        <v>5</v>
      </c>
      <c r="BR21" s="190">
        <v>92</v>
      </c>
      <c r="BS21" s="190">
        <v>97</v>
      </c>
      <c r="BT21" s="190">
        <v>22</v>
      </c>
      <c r="BU21" s="190">
        <v>139</v>
      </c>
      <c r="BV21" s="190">
        <v>161</v>
      </c>
      <c r="BW21" s="190">
        <v>1462</v>
      </c>
      <c r="BX21" s="190">
        <v>9406</v>
      </c>
      <c r="BY21" s="190">
        <v>10868</v>
      </c>
      <c r="BZ21" s="190">
        <v>1441</v>
      </c>
      <c r="CA21" s="190">
        <v>9274</v>
      </c>
      <c r="CB21" s="190">
        <v>10715</v>
      </c>
      <c r="CC21" s="190">
        <v>24431</v>
      </c>
      <c r="CD21" s="190">
        <v>10</v>
      </c>
      <c r="CE21" s="190">
        <v>125</v>
      </c>
      <c r="CF21" s="190">
        <v>18</v>
      </c>
      <c r="CG21" s="190">
        <v>112</v>
      </c>
      <c r="CH21" s="190">
        <v>130</v>
      </c>
      <c r="CI21" s="190">
        <v>26</v>
      </c>
      <c r="CJ21" s="190">
        <v>0</v>
      </c>
      <c r="CK21" s="190">
        <v>3</v>
      </c>
      <c r="CL21" s="190">
        <v>20</v>
      </c>
      <c r="CM21" s="190">
        <v>23</v>
      </c>
      <c r="CN21" s="190">
        <v>75</v>
      </c>
      <c r="CO21" s="190">
        <v>808</v>
      </c>
      <c r="CP21" s="190">
        <v>883</v>
      </c>
      <c r="CQ21" s="190">
        <v>0</v>
      </c>
      <c r="CR21" s="190">
        <v>0</v>
      </c>
      <c r="CS21" s="190">
        <v>0</v>
      </c>
      <c r="CT21" s="190">
        <v>1387</v>
      </c>
      <c r="CU21" s="190">
        <v>8598</v>
      </c>
      <c r="CV21" s="190">
        <v>9985</v>
      </c>
      <c r="CW21" s="190">
        <v>82</v>
      </c>
      <c r="CX21" s="190">
        <v>363</v>
      </c>
      <c r="CY21" s="190">
        <v>445</v>
      </c>
      <c r="CZ21" s="190">
        <v>82</v>
      </c>
      <c r="DA21" s="190">
        <v>0</v>
      </c>
      <c r="DB21" s="190">
        <v>0</v>
      </c>
      <c r="DC21" s="190">
        <v>348</v>
      </c>
      <c r="DD21" s="190">
        <v>3</v>
      </c>
      <c r="DE21" s="190">
        <v>2</v>
      </c>
      <c r="DF21" s="190">
        <v>82</v>
      </c>
      <c r="DG21" s="190">
        <v>353</v>
      </c>
      <c r="DH21" s="190">
        <v>435</v>
      </c>
      <c r="DI21" s="190">
        <v>0</v>
      </c>
      <c r="DJ21" s="190">
        <v>0</v>
      </c>
      <c r="DK21" s="190">
        <v>0</v>
      </c>
      <c r="DL21" s="190">
        <v>10</v>
      </c>
      <c r="DM21" s="190">
        <v>0</v>
      </c>
      <c r="DN21" s="190">
        <v>0</v>
      </c>
      <c r="DO21" s="190">
        <v>0</v>
      </c>
      <c r="DP21" s="190">
        <v>10</v>
      </c>
      <c r="DQ21" s="190">
        <v>10</v>
      </c>
      <c r="DR21" s="190">
        <v>0</v>
      </c>
      <c r="DS21" s="190">
        <v>0</v>
      </c>
      <c r="DT21" s="191">
        <v>0</v>
      </c>
      <c r="DV21" s="192"/>
      <c r="DW21" s="193"/>
      <c r="DX21" s="192"/>
      <c r="DY21" s="192"/>
    </row>
    <row r="22" spans="1:129" s="172" customFormat="1">
      <c r="A22" s="189" t="s">
        <v>287</v>
      </c>
      <c r="B22" s="190">
        <v>374</v>
      </c>
      <c r="C22" s="190">
        <v>57</v>
      </c>
      <c r="D22" s="190">
        <v>381</v>
      </c>
      <c r="E22" s="190">
        <v>273</v>
      </c>
      <c r="F22" s="190">
        <v>1</v>
      </c>
      <c r="G22" s="190">
        <v>22</v>
      </c>
      <c r="H22" s="190">
        <v>23</v>
      </c>
      <c r="I22" s="190">
        <v>0</v>
      </c>
      <c r="J22" s="190">
        <v>90</v>
      </c>
      <c r="K22" s="190">
        <v>90</v>
      </c>
      <c r="L22" s="190">
        <v>0</v>
      </c>
      <c r="M22" s="190">
        <v>24</v>
      </c>
      <c r="N22" s="190">
        <v>24</v>
      </c>
      <c r="O22" s="190">
        <v>0</v>
      </c>
      <c r="P22" s="190">
        <v>66</v>
      </c>
      <c r="Q22" s="190">
        <v>66</v>
      </c>
      <c r="R22" s="190">
        <v>0</v>
      </c>
      <c r="S22" s="190">
        <v>2</v>
      </c>
      <c r="T22" s="190">
        <v>2</v>
      </c>
      <c r="U22" s="190">
        <v>0</v>
      </c>
      <c r="V22" s="190">
        <v>18</v>
      </c>
      <c r="W22" s="190">
        <v>18</v>
      </c>
      <c r="X22" s="190">
        <v>9</v>
      </c>
      <c r="Y22" s="190">
        <v>372</v>
      </c>
      <c r="Z22" s="190">
        <v>381</v>
      </c>
      <c r="AA22" s="190">
        <v>3</v>
      </c>
      <c r="AB22" s="190">
        <v>164</v>
      </c>
      <c r="AC22" s="190">
        <v>167</v>
      </c>
      <c r="AD22" s="190">
        <v>2</v>
      </c>
      <c r="AE22" s="190">
        <v>156</v>
      </c>
      <c r="AF22" s="190">
        <v>158</v>
      </c>
      <c r="AG22" s="190">
        <v>0</v>
      </c>
      <c r="AH22" s="190">
        <v>6</v>
      </c>
      <c r="AI22" s="190">
        <v>6</v>
      </c>
      <c r="AJ22" s="190">
        <v>1</v>
      </c>
      <c r="AK22" s="190">
        <v>2</v>
      </c>
      <c r="AL22" s="190">
        <v>3</v>
      </c>
      <c r="AM22" s="190">
        <v>6</v>
      </c>
      <c r="AN22" s="190">
        <v>208</v>
      </c>
      <c r="AO22" s="190">
        <v>214</v>
      </c>
      <c r="AP22" s="190">
        <v>563</v>
      </c>
      <c r="AQ22" s="190">
        <v>5557</v>
      </c>
      <c r="AR22" s="190">
        <v>6120</v>
      </c>
      <c r="AS22" s="190">
        <v>563</v>
      </c>
      <c r="AT22" s="190">
        <v>5558</v>
      </c>
      <c r="AU22" s="190">
        <v>6121</v>
      </c>
      <c r="AV22" s="190">
        <v>0</v>
      </c>
      <c r="AW22" s="190">
        <v>-1</v>
      </c>
      <c r="AX22" s="190">
        <v>-1</v>
      </c>
      <c r="AY22" s="190">
        <v>19</v>
      </c>
      <c r="AZ22" s="190">
        <v>498</v>
      </c>
      <c r="BA22" s="190">
        <v>517</v>
      </c>
      <c r="BB22" s="190">
        <v>12</v>
      </c>
      <c r="BC22" s="190">
        <v>0</v>
      </c>
      <c r="BD22" s="190">
        <v>0</v>
      </c>
      <c r="BE22" s="190">
        <v>259</v>
      </c>
      <c r="BF22" s="190">
        <v>2</v>
      </c>
      <c r="BG22" s="190">
        <v>0</v>
      </c>
      <c r="BH22" s="190">
        <v>12</v>
      </c>
      <c r="BI22" s="190">
        <v>261</v>
      </c>
      <c r="BJ22" s="190">
        <v>273</v>
      </c>
      <c r="BK22" s="190">
        <v>-16</v>
      </c>
      <c r="BL22" s="190">
        <v>16</v>
      </c>
      <c r="BM22" s="190">
        <v>0</v>
      </c>
      <c r="BN22" s="190">
        <v>2</v>
      </c>
      <c r="BO22" s="190">
        <v>21</v>
      </c>
      <c r="BP22" s="190">
        <v>23</v>
      </c>
      <c r="BQ22" s="190">
        <v>2</v>
      </c>
      <c r="BR22" s="190">
        <v>16</v>
      </c>
      <c r="BS22" s="190">
        <v>18</v>
      </c>
      <c r="BT22" s="190">
        <v>19</v>
      </c>
      <c r="BU22" s="190">
        <v>184</v>
      </c>
      <c r="BV22" s="190">
        <v>203</v>
      </c>
      <c r="BW22" s="190">
        <v>582</v>
      </c>
      <c r="BX22" s="190">
        <v>6055</v>
      </c>
      <c r="BY22" s="190">
        <v>6637</v>
      </c>
      <c r="BZ22" s="190">
        <v>580</v>
      </c>
      <c r="CA22" s="190">
        <v>6026</v>
      </c>
      <c r="CB22" s="190">
        <v>6606</v>
      </c>
      <c r="CC22" s="190">
        <v>12398</v>
      </c>
      <c r="CD22" s="190">
        <v>3</v>
      </c>
      <c r="CE22" s="190">
        <v>25</v>
      </c>
      <c r="CF22" s="190">
        <v>2</v>
      </c>
      <c r="CG22" s="190">
        <v>23</v>
      </c>
      <c r="CH22" s="190">
        <v>25</v>
      </c>
      <c r="CI22" s="190">
        <v>8</v>
      </c>
      <c r="CJ22" s="190">
        <v>0</v>
      </c>
      <c r="CK22" s="190">
        <v>0</v>
      </c>
      <c r="CL22" s="190">
        <v>6</v>
      </c>
      <c r="CM22" s="190">
        <v>6</v>
      </c>
      <c r="CN22" s="190">
        <v>35</v>
      </c>
      <c r="CO22" s="190">
        <v>532</v>
      </c>
      <c r="CP22" s="190">
        <v>567</v>
      </c>
      <c r="CQ22" s="190">
        <v>0</v>
      </c>
      <c r="CR22" s="190">
        <v>0</v>
      </c>
      <c r="CS22" s="190">
        <v>0</v>
      </c>
      <c r="CT22" s="190">
        <v>547</v>
      </c>
      <c r="CU22" s="190">
        <v>5523</v>
      </c>
      <c r="CV22" s="190">
        <v>6070</v>
      </c>
      <c r="CW22" s="190">
        <v>40</v>
      </c>
      <c r="CX22" s="190">
        <v>258</v>
      </c>
      <c r="CY22" s="190">
        <v>298</v>
      </c>
      <c r="CZ22" s="190">
        <v>40</v>
      </c>
      <c r="DA22" s="190">
        <v>0</v>
      </c>
      <c r="DB22" s="190">
        <v>0</v>
      </c>
      <c r="DC22" s="190">
        <v>255</v>
      </c>
      <c r="DD22" s="190">
        <v>1</v>
      </c>
      <c r="DE22" s="190">
        <v>0</v>
      </c>
      <c r="DF22" s="190">
        <v>40</v>
      </c>
      <c r="DG22" s="190">
        <v>256</v>
      </c>
      <c r="DH22" s="190">
        <v>296</v>
      </c>
      <c r="DI22" s="190">
        <v>0</v>
      </c>
      <c r="DJ22" s="190">
        <v>0</v>
      </c>
      <c r="DK22" s="190">
        <v>0</v>
      </c>
      <c r="DL22" s="190">
        <v>2</v>
      </c>
      <c r="DM22" s="190">
        <v>0</v>
      </c>
      <c r="DN22" s="190">
        <v>0</v>
      </c>
      <c r="DO22" s="190">
        <v>0</v>
      </c>
      <c r="DP22" s="190">
        <v>2</v>
      </c>
      <c r="DQ22" s="190">
        <v>2</v>
      </c>
      <c r="DR22" s="190">
        <v>0</v>
      </c>
      <c r="DS22" s="190">
        <v>0</v>
      </c>
      <c r="DT22" s="191">
        <v>0</v>
      </c>
      <c r="DV22" s="192"/>
      <c r="DW22" s="193"/>
      <c r="DX22" s="192"/>
      <c r="DY22" s="192"/>
    </row>
    <row r="23" spans="1:129" s="172" customFormat="1">
      <c r="A23" s="189" t="s">
        <v>288</v>
      </c>
      <c r="B23" s="190">
        <v>112</v>
      </c>
      <c r="C23" s="190">
        <v>15</v>
      </c>
      <c r="D23" s="190">
        <v>107</v>
      </c>
      <c r="E23" s="190">
        <v>81</v>
      </c>
      <c r="F23" s="190">
        <v>1</v>
      </c>
      <c r="G23" s="190">
        <v>9</v>
      </c>
      <c r="H23" s="190">
        <v>10</v>
      </c>
      <c r="I23" s="190">
        <v>0</v>
      </c>
      <c r="J23" s="190">
        <v>26</v>
      </c>
      <c r="K23" s="190">
        <v>26</v>
      </c>
      <c r="L23" s="190">
        <v>0</v>
      </c>
      <c r="M23" s="190">
        <v>10</v>
      </c>
      <c r="N23" s="190">
        <v>10</v>
      </c>
      <c r="O23" s="190">
        <v>0</v>
      </c>
      <c r="P23" s="190">
        <v>16</v>
      </c>
      <c r="Q23" s="190">
        <v>16</v>
      </c>
      <c r="R23" s="190">
        <v>0</v>
      </c>
      <c r="S23" s="190">
        <v>1</v>
      </c>
      <c r="T23" s="190">
        <v>1</v>
      </c>
      <c r="U23" s="190">
        <v>0</v>
      </c>
      <c r="V23" s="190">
        <v>0</v>
      </c>
      <c r="W23" s="190">
        <v>0</v>
      </c>
      <c r="X23" s="190">
        <v>2</v>
      </c>
      <c r="Y23" s="190">
        <v>105</v>
      </c>
      <c r="Z23" s="190">
        <v>107</v>
      </c>
      <c r="AA23" s="190">
        <v>0</v>
      </c>
      <c r="AB23" s="190">
        <v>56</v>
      </c>
      <c r="AC23" s="190">
        <v>56</v>
      </c>
      <c r="AD23" s="190">
        <v>0</v>
      </c>
      <c r="AE23" s="190">
        <v>48</v>
      </c>
      <c r="AF23" s="190">
        <v>48</v>
      </c>
      <c r="AG23" s="190">
        <v>0</v>
      </c>
      <c r="AH23" s="190">
        <v>5</v>
      </c>
      <c r="AI23" s="190">
        <v>5</v>
      </c>
      <c r="AJ23" s="190">
        <v>0</v>
      </c>
      <c r="AK23" s="190">
        <v>3</v>
      </c>
      <c r="AL23" s="190">
        <v>3</v>
      </c>
      <c r="AM23" s="190">
        <v>2</v>
      </c>
      <c r="AN23" s="190">
        <v>49</v>
      </c>
      <c r="AO23" s="190">
        <v>51</v>
      </c>
      <c r="AP23" s="190">
        <v>209</v>
      </c>
      <c r="AQ23" s="190">
        <v>1228</v>
      </c>
      <c r="AR23" s="190">
        <v>1437</v>
      </c>
      <c r="AS23" s="190">
        <v>209</v>
      </c>
      <c r="AT23" s="190">
        <v>1228</v>
      </c>
      <c r="AU23" s="190">
        <v>1437</v>
      </c>
      <c r="AV23" s="190">
        <v>0</v>
      </c>
      <c r="AW23" s="190">
        <v>0</v>
      </c>
      <c r="AX23" s="190">
        <v>0</v>
      </c>
      <c r="AY23" s="190">
        <v>17</v>
      </c>
      <c r="AZ23" s="190">
        <v>147</v>
      </c>
      <c r="BA23" s="190">
        <v>164</v>
      </c>
      <c r="BB23" s="190">
        <v>4</v>
      </c>
      <c r="BC23" s="190">
        <v>0</v>
      </c>
      <c r="BD23" s="190">
        <v>0</v>
      </c>
      <c r="BE23" s="190">
        <v>77</v>
      </c>
      <c r="BF23" s="190">
        <v>0</v>
      </c>
      <c r="BG23" s="190">
        <v>0</v>
      </c>
      <c r="BH23" s="190">
        <v>4</v>
      </c>
      <c r="BI23" s="190">
        <v>77</v>
      </c>
      <c r="BJ23" s="190">
        <v>81</v>
      </c>
      <c r="BK23" s="190">
        <v>-2</v>
      </c>
      <c r="BL23" s="190">
        <v>2</v>
      </c>
      <c r="BM23" s="190">
        <v>0</v>
      </c>
      <c r="BN23" s="190">
        <v>0</v>
      </c>
      <c r="BO23" s="190">
        <v>1</v>
      </c>
      <c r="BP23" s="190">
        <v>1</v>
      </c>
      <c r="BQ23" s="190">
        <v>3</v>
      </c>
      <c r="BR23" s="190">
        <v>37</v>
      </c>
      <c r="BS23" s="190">
        <v>40</v>
      </c>
      <c r="BT23" s="190">
        <v>12</v>
      </c>
      <c r="BU23" s="190">
        <v>30</v>
      </c>
      <c r="BV23" s="190">
        <v>42</v>
      </c>
      <c r="BW23" s="190">
        <v>226</v>
      </c>
      <c r="BX23" s="190">
        <v>1375</v>
      </c>
      <c r="BY23" s="190">
        <v>1601</v>
      </c>
      <c r="BZ23" s="190">
        <v>226</v>
      </c>
      <c r="CA23" s="190">
        <v>1372</v>
      </c>
      <c r="CB23" s="190">
        <v>1598</v>
      </c>
      <c r="CC23" s="190">
        <v>3148</v>
      </c>
      <c r="CD23" s="190">
        <v>0</v>
      </c>
      <c r="CE23" s="190">
        <v>4</v>
      </c>
      <c r="CF23" s="190">
        <v>0</v>
      </c>
      <c r="CG23" s="190">
        <v>3</v>
      </c>
      <c r="CH23" s="190">
        <v>3</v>
      </c>
      <c r="CI23" s="190">
        <v>0</v>
      </c>
      <c r="CJ23" s="190">
        <v>0</v>
      </c>
      <c r="CK23" s="190">
        <v>0</v>
      </c>
      <c r="CL23" s="190">
        <v>0</v>
      </c>
      <c r="CM23" s="190">
        <v>0</v>
      </c>
      <c r="CN23" s="190">
        <v>18</v>
      </c>
      <c r="CO23" s="190">
        <v>148</v>
      </c>
      <c r="CP23" s="190">
        <v>166</v>
      </c>
      <c r="CQ23" s="190">
        <v>0</v>
      </c>
      <c r="CR23" s="190">
        <v>0</v>
      </c>
      <c r="CS23" s="190">
        <v>0</v>
      </c>
      <c r="CT23" s="190">
        <v>208</v>
      </c>
      <c r="CU23" s="190">
        <v>1227</v>
      </c>
      <c r="CV23" s="190">
        <v>1435</v>
      </c>
      <c r="CW23" s="190">
        <v>9</v>
      </c>
      <c r="CX23" s="190">
        <v>61</v>
      </c>
      <c r="CY23" s="190">
        <v>70</v>
      </c>
      <c r="CZ23" s="190">
        <v>9</v>
      </c>
      <c r="DA23" s="190">
        <v>0</v>
      </c>
      <c r="DB23" s="190">
        <v>0</v>
      </c>
      <c r="DC23" s="190">
        <v>60</v>
      </c>
      <c r="DD23" s="190">
        <v>0</v>
      </c>
      <c r="DE23" s="190">
        <v>0</v>
      </c>
      <c r="DF23" s="190">
        <v>9</v>
      </c>
      <c r="DG23" s="190">
        <v>60</v>
      </c>
      <c r="DH23" s="190">
        <v>69</v>
      </c>
      <c r="DI23" s="190">
        <v>0</v>
      </c>
      <c r="DJ23" s="190">
        <v>0</v>
      </c>
      <c r="DK23" s="190">
        <v>0</v>
      </c>
      <c r="DL23" s="190">
        <v>1</v>
      </c>
      <c r="DM23" s="190">
        <v>0</v>
      </c>
      <c r="DN23" s="190">
        <v>0</v>
      </c>
      <c r="DO23" s="190">
        <v>0</v>
      </c>
      <c r="DP23" s="190">
        <v>1</v>
      </c>
      <c r="DQ23" s="190">
        <v>1</v>
      </c>
      <c r="DR23" s="190">
        <v>0</v>
      </c>
      <c r="DS23" s="190">
        <v>0</v>
      </c>
      <c r="DT23" s="191">
        <v>0</v>
      </c>
      <c r="DV23" s="192"/>
      <c r="DW23" s="193"/>
      <c r="DX23" s="192"/>
      <c r="DY23" s="192"/>
    </row>
    <row r="24" spans="1:129" s="172" customFormat="1">
      <c r="A24" s="189" t="s">
        <v>289</v>
      </c>
      <c r="B24" s="190">
        <v>31440</v>
      </c>
      <c r="C24" s="190">
        <v>5176</v>
      </c>
      <c r="D24" s="190">
        <v>35139</v>
      </c>
      <c r="E24" s="190">
        <v>26553</v>
      </c>
      <c r="F24" s="190">
        <v>110</v>
      </c>
      <c r="G24" s="190">
        <v>573</v>
      </c>
      <c r="H24" s="190">
        <v>683</v>
      </c>
      <c r="I24" s="190">
        <v>16</v>
      </c>
      <c r="J24" s="190">
        <v>7368</v>
      </c>
      <c r="K24" s="190">
        <v>7384</v>
      </c>
      <c r="L24" s="190">
        <v>2</v>
      </c>
      <c r="M24" s="190">
        <v>2762</v>
      </c>
      <c r="N24" s="190">
        <v>2764</v>
      </c>
      <c r="O24" s="190">
        <v>14</v>
      </c>
      <c r="P24" s="190">
        <v>4606</v>
      </c>
      <c r="Q24" s="190">
        <v>4620</v>
      </c>
      <c r="R24" s="190">
        <v>6</v>
      </c>
      <c r="S24" s="190">
        <v>227</v>
      </c>
      <c r="T24" s="190">
        <v>233</v>
      </c>
      <c r="U24" s="190">
        <v>0</v>
      </c>
      <c r="V24" s="190">
        <v>1202</v>
      </c>
      <c r="W24" s="190">
        <v>1202</v>
      </c>
      <c r="X24" s="190">
        <v>2541</v>
      </c>
      <c r="Y24" s="190">
        <v>29927</v>
      </c>
      <c r="Z24" s="190">
        <v>32468</v>
      </c>
      <c r="AA24" s="190">
        <v>1721</v>
      </c>
      <c r="AB24" s="190">
        <v>14148</v>
      </c>
      <c r="AC24" s="190">
        <v>15869</v>
      </c>
      <c r="AD24" s="190">
        <v>1297</v>
      </c>
      <c r="AE24" s="190">
        <v>12433</v>
      </c>
      <c r="AF24" s="190">
        <v>13730</v>
      </c>
      <c r="AG24" s="190">
        <v>136</v>
      </c>
      <c r="AH24" s="190">
        <v>545</v>
      </c>
      <c r="AI24" s="190">
        <v>681</v>
      </c>
      <c r="AJ24" s="190">
        <v>288</v>
      </c>
      <c r="AK24" s="190">
        <v>1170</v>
      </c>
      <c r="AL24" s="190">
        <v>1458</v>
      </c>
      <c r="AM24" s="190">
        <v>820</v>
      </c>
      <c r="AN24" s="190">
        <v>15779</v>
      </c>
      <c r="AO24" s="190">
        <v>16599</v>
      </c>
      <c r="AP24" s="190">
        <v>83315</v>
      </c>
      <c r="AQ24" s="190">
        <v>437388</v>
      </c>
      <c r="AR24" s="190">
        <v>520703</v>
      </c>
      <c r="AS24" s="190">
        <v>83266</v>
      </c>
      <c r="AT24" s="190">
        <v>436937</v>
      </c>
      <c r="AU24" s="190">
        <v>520203</v>
      </c>
      <c r="AV24" s="190">
        <v>49</v>
      </c>
      <c r="AW24" s="190">
        <v>451</v>
      </c>
      <c r="AX24" s="190">
        <v>500</v>
      </c>
      <c r="AY24" s="190">
        <v>9480</v>
      </c>
      <c r="AZ24" s="190">
        <v>35791</v>
      </c>
      <c r="BA24" s="190">
        <v>45271</v>
      </c>
      <c r="BB24" s="190">
        <v>2758</v>
      </c>
      <c r="BC24" s="190">
        <v>65</v>
      </c>
      <c r="BD24" s="190">
        <v>19</v>
      </c>
      <c r="BE24" s="190">
        <v>23189</v>
      </c>
      <c r="BF24" s="190">
        <v>285</v>
      </c>
      <c r="BG24" s="190">
        <v>237</v>
      </c>
      <c r="BH24" s="190">
        <v>2842</v>
      </c>
      <c r="BI24" s="190">
        <v>23711</v>
      </c>
      <c r="BJ24" s="190">
        <v>26553</v>
      </c>
      <c r="BK24" s="190">
        <v>3218</v>
      </c>
      <c r="BL24" s="190">
        <v>-3218</v>
      </c>
      <c r="BM24" s="190">
        <v>0</v>
      </c>
      <c r="BN24" s="190">
        <v>62</v>
      </c>
      <c r="BO24" s="190">
        <v>199</v>
      </c>
      <c r="BP24" s="190">
        <v>261</v>
      </c>
      <c r="BQ24" s="190">
        <v>295</v>
      </c>
      <c r="BR24" s="190">
        <v>1763</v>
      </c>
      <c r="BS24" s="190">
        <v>2058</v>
      </c>
      <c r="BT24" s="190">
        <v>3063</v>
      </c>
      <c r="BU24" s="190">
        <v>13336</v>
      </c>
      <c r="BV24" s="190">
        <v>16399</v>
      </c>
      <c r="BW24" s="190">
        <v>92795</v>
      </c>
      <c r="BX24" s="190">
        <v>473179</v>
      </c>
      <c r="BY24" s="190">
        <v>565974</v>
      </c>
      <c r="BZ24" s="190">
        <v>90224</v>
      </c>
      <c r="CA24" s="190">
        <v>464566</v>
      </c>
      <c r="CB24" s="190">
        <v>554790</v>
      </c>
      <c r="CC24" s="190">
        <v>1119533</v>
      </c>
      <c r="CD24" s="190">
        <v>652</v>
      </c>
      <c r="CE24" s="190">
        <v>9075</v>
      </c>
      <c r="CF24" s="190">
        <v>2326</v>
      </c>
      <c r="CG24" s="190">
        <v>5333</v>
      </c>
      <c r="CH24" s="190">
        <v>7659</v>
      </c>
      <c r="CI24" s="190">
        <v>3935</v>
      </c>
      <c r="CJ24" s="190">
        <v>549</v>
      </c>
      <c r="CK24" s="190">
        <v>245</v>
      </c>
      <c r="CL24" s="190">
        <v>3280</v>
      </c>
      <c r="CM24" s="190">
        <v>3525</v>
      </c>
      <c r="CN24" s="190">
        <v>3749</v>
      </c>
      <c r="CO24" s="190">
        <v>25060</v>
      </c>
      <c r="CP24" s="190">
        <v>28809</v>
      </c>
      <c r="CQ24" s="190">
        <v>53</v>
      </c>
      <c r="CR24" s="190">
        <v>168</v>
      </c>
      <c r="CS24" s="190">
        <v>221</v>
      </c>
      <c r="CT24" s="190">
        <v>89046</v>
      </c>
      <c r="CU24" s="190">
        <v>448119</v>
      </c>
      <c r="CV24" s="190">
        <v>537165</v>
      </c>
      <c r="CW24" s="190">
        <v>5315</v>
      </c>
      <c r="CX24" s="190">
        <v>15386</v>
      </c>
      <c r="CY24" s="190">
        <v>20701</v>
      </c>
      <c r="CZ24" s="190">
        <v>5147</v>
      </c>
      <c r="DA24" s="190">
        <v>144</v>
      </c>
      <c r="DB24" s="190">
        <v>3</v>
      </c>
      <c r="DC24" s="190">
        <v>14965</v>
      </c>
      <c r="DD24" s="190">
        <v>240</v>
      </c>
      <c r="DE24" s="190">
        <v>61</v>
      </c>
      <c r="DF24" s="190">
        <v>5294</v>
      </c>
      <c r="DG24" s="190">
        <v>15266</v>
      </c>
      <c r="DH24" s="190">
        <v>20560</v>
      </c>
      <c r="DI24" s="190">
        <v>21</v>
      </c>
      <c r="DJ24" s="190">
        <v>0</v>
      </c>
      <c r="DK24" s="190">
        <v>0</v>
      </c>
      <c r="DL24" s="190">
        <v>112</v>
      </c>
      <c r="DM24" s="190">
        <v>7</v>
      </c>
      <c r="DN24" s="190">
        <v>1</v>
      </c>
      <c r="DO24" s="190">
        <v>21</v>
      </c>
      <c r="DP24" s="190">
        <v>120</v>
      </c>
      <c r="DQ24" s="190">
        <v>141</v>
      </c>
      <c r="DR24" s="190">
        <v>0</v>
      </c>
      <c r="DS24" s="190">
        <v>0</v>
      </c>
      <c r="DT24" s="191">
        <v>0</v>
      </c>
      <c r="DV24" s="192"/>
      <c r="DW24" s="193"/>
      <c r="DX24" s="192"/>
      <c r="DY24" s="192"/>
    </row>
    <row r="25" spans="1:129" s="172" customFormat="1">
      <c r="A25" s="189" t="s">
        <v>290</v>
      </c>
      <c r="B25" s="190">
        <v>767</v>
      </c>
      <c r="C25" s="190">
        <v>94</v>
      </c>
      <c r="D25" s="190">
        <v>762</v>
      </c>
      <c r="E25" s="190">
        <v>500</v>
      </c>
      <c r="F25" s="190">
        <v>0</v>
      </c>
      <c r="G25" s="190">
        <v>10</v>
      </c>
      <c r="H25" s="190">
        <v>10</v>
      </c>
      <c r="I25" s="190">
        <v>1</v>
      </c>
      <c r="J25" s="190">
        <v>231</v>
      </c>
      <c r="K25" s="190">
        <v>232</v>
      </c>
      <c r="L25" s="190">
        <v>1</v>
      </c>
      <c r="M25" s="190">
        <v>93</v>
      </c>
      <c r="N25" s="190">
        <v>94</v>
      </c>
      <c r="O25" s="190">
        <v>0</v>
      </c>
      <c r="P25" s="190">
        <v>138</v>
      </c>
      <c r="Q25" s="190">
        <v>138</v>
      </c>
      <c r="R25" s="190">
        <v>0</v>
      </c>
      <c r="S25" s="190">
        <v>3</v>
      </c>
      <c r="T25" s="190">
        <v>3</v>
      </c>
      <c r="U25" s="190">
        <v>0</v>
      </c>
      <c r="V25" s="190">
        <v>30</v>
      </c>
      <c r="W25" s="190">
        <v>30</v>
      </c>
      <c r="X25" s="190">
        <v>31</v>
      </c>
      <c r="Y25" s="190">
        <v>731</v>
      </c>
      <c r="Z25" s="190">
        <v>762</v>
      </c>
      <c r="AA25" s="190">
        <v>14</v>
      </c>
      <c r="AB25" s="190">
        <v>303</v>
      </c>
      <c r="AC25" s="190">
        <v>317</v>
      </c>
      <c r="AD25" s="190">
        <v>14</v>
      </c>
      <c r="AE25" s="190">
        <v>289</v>
      </c>
      <c r="AF25" s="190">
        <v>303</v>
      </c>
      <c r="AG25" s="190">
        <v>0</v>
      </c>
      <c r="AH25" s="190">
        <v>11</v>
      </c>
      <c r="AI25" s="190">
        <v>11</v>
      </c>
      <c r="AJ25" s="190">
        <v>0</v>
      </c>
      <c r="AK25" s="190">
        <v>3</v>
      </c>
      <c r="AL25" s="190">
        <v>3</v>
      </c>
      <c r="AM25" s="190">
        <v>17</v>
      </c>
      <c r="AN25" s="190">
        <v>428</v>
      </c>
      <c r="AO25" s="190">
        <v>445</v>
      </c>
      <c r="AP25" s="190">
        <v>1574</v>
      </c>
      <c r="AQ25" s="190">
        <v>9361</v>
      </c>
      <c r="AR25" s="190">
        <v>10935</v>
      </c>
      <c r="AS25" s="190">
        <v>1574</v>
      </c>
      <c r="AT25" s="190">
        <v>9362</v>
      </c>
      <c r="AU25" s="190">
        <v>10936</v>
      </c>
      <c r="AV25" s="190">
        <v>0</v>
      </c>
      <c r="AW25" s="190">
        <v>-1</v>
      </c>
      <c r="AX25" s="190">
        <v>-1</v>
      </c>
      <c r="AY25" s="190">
        <v>38</v>
      </c>
      <c r="AZ25" s="190">
        <v>918</v>
      </c>
      <c r="BA25" s="190">
        <v>956</v>
      </c>
      <c r="BB25" s="190">
        <v>35</v>
      </c>
      <c r="BC25" s="190">
        <v>0</v>
      </c>
      <c r="BD25" s="190">
        <v>0</v>
      </c>
      <c r="BE25" s="190">
        <v>462</v>
      </c>
      <c r="BF25" s="190">
        <v>3</v>
      </c>
      <c r="BG25" s="190">
        <v>0</v>
      </c>
      <c r="BH25" s="190">
        <v>35</v>
      </c>
      <c r="BI25" s="190">
        <v>465</v>
      </c>
      <c r="BJ25" s="190">
        <v>500</v>
      </c>
      <c r="BK25" s="190">
        <v>-38</v>
      </c>
      <c r="BL25" s="190">
        <v>38</v>
      </c>
      <c r="BM25" s="190">
        <v>0</v>
      </c>
      <c r="BN25" s="190">
        <v>6</v>
      </c>
      <c r="BO25" s="190">
        <v>19</v>
      </c>
      <c r="BP25" s="190">
        <v>25</v>
      </c>
      <c r="BQ25" s="190">
        <v>8</v>
      </c>
      <c r="BR25" s="190">
        <v>96</v>
      </c>
      <c r="BS25" s="190">
        <v>104</v>
      </c>
      <c r="BT25" s="190">
        <v>27</v>
      </c>
      <c r="BU25" s="190">
        <v>300</v>
      </c>
      <c r="BV25" s="190">
        <v>327</v>
      </c>
      <c r="BW25" s="190">
        <v>1612</v>
      </c>
      <c r="BX25" s="190">
        <v>10279</v>
      </c>
      <c r="BY25" s="190">
        <v>11891</v>
      </c>
      <c r="BZ25" s="190">
        <v>1601</v>
      </c>
      <c r="CA25" s="190">
        <v>10220</v>
      </c>
      <c r="CB25" s="190">
        <v>11821</v>
      </c>
      <c r="CC25" s="190">
        <v>28782</v>
      </c>
      <c r="CD25" s="190">
        <v>1</v>
      </c>
      <c r="CE25" s="190">
        <v>66</v>
      </c>
      <c r="CF25" s="190">
        <v>10</v>
      </c>
      <c r="CG25" s="190">
        <v>54</v>
      </c>
      <c r="CH25" s="190">
        <v>64</v>
      </c>
      <c r="CI25" s="190">
        <v>6</v>
      </c>
      <c r="CJ25" s="190">
        <v>2</v>
      </c>
      <c r="CK25" s="190">
        <v>1</v>
      </c>
      <c r="CL25" s="190">
        <v>5</v>
      </c>
      <c r="CM25" s="190">
        <v>6</v>
      </c>
      <c r="CN25" s="190">
        <v>80</v>
      </c>
      <c r="CO25" s="190">
        <v>875</v>
      </c>
      <c r="CP25" s="190">
        <v>955</v>
      </c>
      <c r="CQ25" s="190">
        <v>0</v>
      </c>
      <c r="CR25" s="190">
        <v>0</v>
      </c>
      <c r="CS25" s="190">
        <v>0</v>
      </c>
      <c r="CT25" s="190">
        <v>1532</v>
      </c>
      <c r="CU25" s="190">
        <v>9404</v>
      </c>
      <c r="CV25" s="190">
        <v>10936</v>
      </c>
      <c r="CW25" s="190">
        <v>134</v>
      </c>
      <c r="CX25" s="190">
        <v>527</v>
      </c>
      <c r="CY25" s="190">
        <v>661</v>
      </c>
      <c r="CZ25" s="190">
        <v>132</v>
      </c>
      <c r="DA25" s="190">
        <v>2</v>
      </c>
      <c r="DB25" s="190">
        <v>0</v>
      </c>
      <c r="DC25" s="190">
        <v>520</v>
      </c>
      <c r="DD25" s="190">
        <v>4</v>
      </c>
      <c r="DE25" s="190">
        <v>0</v>
      </c>
      <c r="DF25" s="190">
        <v>134</v>
      </c>
      <c r="DG25" s="190">
        <v>524</v>
      </c>
      <c r="DH25" s="190">
        <v>658</v>
      </c>
      <c r="DI25" s="190">
        <v>0</v>
      </c>
      <c r="DJ25" s="190">
        <v>0</v>
      </c>
      <c r="DK25" s="190">
        <v>0</v>
      </c>
      <c r="DL25" s="190">
        <v>3</v>
      </c>
      <c r="DM25" s="190">
        <v>0</v>
      </c>
      <c r="DN25" s="190">
        <v>0</v>
      </c>
      <c r="DO25" s="190">
        <v>0</v>
      </c>
      <c r="DP25" s="190">
        <v>3</v>
      </c>
      <c r="DQ25" s="190">
        <v>3</v>
      </c>
      <c r="DR25" s="190">
        <v>0</v>
      </c>
      <c r="DS25" s="190">
        <v>0</v>
      </c>
      <c r="DT25" s="191">
        <v>0</v>
      </c>
      <c r="DV25" s="192"/>
      <c r="DW25" s="193"/>
      <c r="DX25" s="192"/>
      <c r="DY25" s="192"/>
    </row>
    <row r="26" spans="1:129" s="172" customFormat="1">
      <c r="A26" s="189" t="s">
        <v>291</v>
      </c>
      <c r="B26" s="190">
        <v>511</v>
      </c>
      <c r="C26" s="190">
        <v>129</v>
      </c>
      <c r="D26" s="190">
        <v>508</v>
      </c>
      <c r="E26" s="190">
        <v>332</v>
      </c>
      <c r="F26" s="190">
        <v>0</v>
      </c>
      <c r="G26" s="190">
        <v>6</v>
      </c>
      <c r="H26" s="190">
        <v>6</v>
      </c>
      <c r="I26" s="190">
        <v>0</v>
      </c>
      <c r="J26" s="190">
        <v>149</v>
      </c>
      <c r="K26" s="190">
        <v>149</v>
      </c>
      <c r="L26" s="190">
        <v>0</v>
      </c>
      <c r="M26" s="190">
        <v>60</v>
      </c>
      <c r="N26" s="190">
        <v>60</v>
      </c>
      <c r="O26" s="190">
        <v>0</v>
      </c>
      <c r="P26" s="190">
        <v>89</v>
      </c>
      <c r="Q26" s="190">
        <v>89</v>
      </c>
      <c r="R26" s="190">
        <v>0</v>
      </c>
      <c r="S26" s="190">
        <v>2</v>
      </c>
      <c r="T26" s="190">
        <v>2</v>
      </c>
      <c r="U26" s="190">
        <v>0</v>
      </c>
      <c r="V26" s="190">
        <v>27</v>
      </c>
      <c r="W26" s="190">
        <v>27</v>
      </c>
      <c r="X26" s="190">
        <v>13</v>
      </c>
      <c r="Y26" s="190">
        <v>494</v>
      </c>
      <c r="Z26" s="190">
        <v>507</v>
      </c>
      <c r="AA26" s="190">
        <v>9</v>
      </c>
      <c r="AB26" s="190">
        <v>215</v>
      </c>
      <c r="AC26" s="190">
        <v>224</v>
      </c>
      <c r="AD26" s="190">
        <v>8</v>
      </c>
      <c r="AE26" s="190">
        <v>205</v>
      </c>
      <c r="AF26" s="190">
        <v>213</v>
      </c>
      <c r="AG26" s="190">
        <v>1</v>
      </c>
      <c r="AH26" s="190">
        <v>5</v>
      </c>
      <c r="AI26" s="190">
        <v>6</v>
      </c>
      <c r="AJ26" s="190">
        <v>0</v>
      </c>
      <c r="AK26" s="190">
        <v>5</v>
      </c>
      <c r="AL26" s="190">
        <v>5</v>
      </c>
      <c r="AM26" s="190">
        <v>4</v>
      </c>
      <c r="AN26" s="190">
        <v>279</v>
      </c>
      <c r="AO26" s="190">
        <v>283</v>
      </c>
      <c r="AP26" s="190">
        <v>544</v>
      </c>
      <c r="AQ26" s="190">
        <v>5211</v>
      </c>
      <c r="AR26" s="190">
        <v>5755</v>
      </c>
      <c r="AS26" s="190">
        <v>544</v>
      </c>
      <c r="AT26" s="190">
        <v>5211</v>
      </c>
      <c r="AU26" s="190">
        <v>5755</v>
      </c>
      <c r="AV26" s="190">
        <v>0</v>
      </c>
      <c r="AW26" s="190">
        <v>0</v>
      </c>
      <c r="AX26" s="190">
        <v>0</v>
      </c>
      <c r="AY26" s="190">
        <v>12</v>
      </c>
      <c r="AZ26" s="190">
        <v>527</v>
      </c>
      <c r="BA26" s="190">
        <v>539</v>
      </c>
      <c r="BB26" s="190">
        <v>13</v>
      </c>
      <c r="BC26" s="190">
        <v>0</v>
      </c>
      <c r="BD26" s="190">
        <v>0</v>
      </c>
      <c r="BE26" s="190">
        <v>308</v>
      </c>
      <c r="BF26" s="190">
        <v>8</v>
      </c>
      <c r="BG26" s="190">
        <v>3</v>
      </c>
      <c r="BH26" s="190">
        <v>13</v>
      </c>
      <c r="BI26" s="190">
        <v>319</v>
      </c>
      <c r="BJ26" s="190">
        <v>332</v>
      </c>
      <c r="BK26" s="190">
        <v>-17</v>
      </c>
      <c r="BL26" s="190">
        <v>17</v>
      </c>
      <c r="BM26" s="190">
        <v>0</v>
      </c>
      <c r="BN26" s="190">
        <v>1</v>
      </c>
      <c r="BO26" s="190">
        <v>11</v>
      </c>
      <c r="BP26" s="190">
        <v>12</v>
      </c>
      <c r="BQ26" s="190">
        <v>1</v>
      </c>
      <c r="BR26" s="190">
        <v>38</v>
      </c>
      <c r="BS26" s="190">
        <v>39</v>
      </c>
      <c r="BT26" s="190">
        <v>14</v>
      </c>
      <c r="BU26" s="190">
        <v>142</v>
      </c>
      <c r="BV26" s="190">
        <v>156</v>
      </c>
      <c r="BW26" s="190">
        <v>556</v>
      </c>
      <c r="BX26" s="190">
        <v>5738</v>
      </c>
      <c r="BY26" s="190">
        <v>6294</v>
      </c>
      <c r="BZ26" s="190">
        <v>521</v>
      </c>
      <c r="CA26" s="190">
        <v>5456</v>
      </c>
      <c r="CB26" s="190">
        <v>5977</v>
      </c>
      <c r="CC26" s="190">
        <v>9973</v>
      </c>
      <c r="CD26" s="190">
        <v>7</v>
      </c>
      <c r="CE26" s="190">
        <v>298</v>
      </c>
      <c r="CF26" s="190">
        <v>32</v>
      </c>
      <c r="CG26" s="190">
        <v>218</v>
      </c>
      <c r="CH26" s="190">
        <v>250</v>
      </c>
      <c r="CI26" s="190">
        <v>63</v>
      </c>
      <c r="CJ26" s="190">
        <v>18</v>
      </c>
      <c r="CK26" s="190">
        <v>3</v>
      </c>
      <c r="CL26" s="190">
        <v>64</v>
      </c>
      <c r="CM26" s="190">
        <v>67</v>
      </c>
      <c r="CN26" s="190">
        <v>24</v>
      </c>
      <c r="CO26" s="190">
        <v>516</v>
      </c>
      <c r="CP26" s="190">
        <v>540</v>
      </c>
      <c r="CQ26" s="190">
        <v>0</v>
      </c>
      <c r="CR26" s="190">
        <v>0</v>
      </c>
      <c r="CS26" s="190">
        <v>0</v>
      </c>
      <c r="CT26" s="190">
        <v>532</v>
      </c>
      <c r="CU26" s="190">
        <v>5222</v>
      </c>
      <c r="CV26" s="190">
        <v>5754</v>
      </c>
      <c r="CW26" s="190">
        <v>36</v>
      </c>
      <c r="CX26" s="190">
        <v>207</v>
      </c>
      <c r="CY26" s="190">
        <v>243</v>
      </c>
      <c r="CZ26" s="190">
        <v>35</v>
      </c>
      <c r="DA26" s="190">
        <v>1</v>
      </c>
      <c r="DB26" s="190">
        <v>0</v>
      </c>
      <c r="DC26" s="190">
        <v>193</v>
      </c>
      <c r="DD26" s="190">
        <v>9</v>
      </c>
      <c r="DE26" s="190">
        <v>2</v>
      </c>
      <c r="DF26" s="190">
        <v>36</v>
      </c>
      <c r="DG26" s="190">
        <v>204</v>
      </c>
      <c r="DH26" s="190">
        <v>240</v>
      </c>
      <c r="DI26" s="190">
        <v>0</v>
      </c>
      <c r="DJ26" s="190">
        <v>0</v>
      </c>
      <c r="DK26" s="190">
        <v>0</v>
      </c>
      <c r="DL26" s="190">
        <v>3</v>
      </c>
      <c r="DM26" s="190">
        <v>0</v>
      </c>
      <c r="DN26" s="190">
        <v>0</v>
      </c>
      <c r="DO26" s="190">
        <v>0</v>
      </c>
      <c r="DP26" s="190">
        <v>3</v>
      </c>
      <c r="DQ26" s="190">
        <v>3</v>
      </c>
      <c r="DR26" s="190">
        <v>0</v>
      </c>
      <c r="DS26" s="190">
        <v>0</v>
      </c>
      <c r="DT26" s="191">
        <v>0</v>
      </c>
      <c r="DV26" s="192"/>
      <c r="DW26" s="193"/>
      <c r="DX26" s="192"/>
      <c r="DY26" s="192"/>
    </row>
    <row r="27" spans="1:129" s="172" customFormat="1">
      <c r="A27" s="189" t="s">
        <v>292</v>
      </c>
      <c r="B27" s="190">
        <v>58</v>
      </c>
      <c r="C27" s="190">
        <v>9</v>
      </c>
      <c r="D27" s="190">
        <v>55</v>
      </c>
      <c r="E27" s="190">
        <v>35</v>
      </c>
      <c r="F27" s="190">
        <v>0</v>
      </c>
      <c r="G27" s="190">
        <v>1</v>
      </c>
      <c r="H27" s="190">
        <v>1</v>
      </c>
      <c r="I27" s="190">
        <v>0</v>
      </c>
      <c r="J27" s="190">
        <v>16</v>
      </c>
      <c r="K27" s="190">
        <v>16</v>
      </c>
      <c r="L27" s="190">
        <v>0</v>
      </c>
      <c r="M27" s="190">
        <v>9</v>
      </c>
      <c r="N27" s="190">
        <v>9</v>
      </c>
      <c r="O27" s="190">
        <v>0</v>
      </c>
      <c r="P27" s="190">
        <v>7</v>
      </c>
      <c r="Q27" s="190">
        <v>7</v>
      </c>
      <c r="R27" s="190">
        <v>0</v>
      </c>
      <c r="S27" s="190">
        <v>1</v>
      </c>
      <c r="T27" s="190">
        <v>1</v>
      </c>
      <c r="U27" s="190">
        <v>0</v>
      </c>
      <c r="V27" s="190">
        <v>4</v>
      </c>
      <c r="W27" s="190">
        <v>4</v>
      </c>
      <c r="X27" s="190">
        <v>1</v>
      </c>
      <c r="Y27" s="190">
        <v>54</v>
      </c>
      <c r="Z27" s="190">
        <v>55</v>
      </c>
      <c r="AA27" s="190">
        <v>1</v>
      </c>
      <c r="AB27" s="190">
        <v>22</v>
      </c>
      <c r="AC27" s="190">
        <v>23</v>
      </c>
      <c r="AD27" s="190">
        <v>1</v>
      </c>
      <c r="AE27" s="190">
        <v>18</v>
      </c>
      <c r="AF27" s="190">
        <v>19</v>
      </c>
      <c r="AG27" s="190">
        <v>0</v>
      </c>
      <c r="AH27" s="190">
        <v>4</v>
      </c>
      <c r="AI27" s="190">
        <v>4</v>
      </c>
      <c r="AJ27" s="190">
        <v>0</v>
      </c>
      <c r="AK27" s="190">
        <v>0</v>
      </c>
      <c r="AL27" s="190">
        <v>0</v>
      </c>
      <c r="AM27" s="190">
        <v>0</v>
      </c>
      <c r="AN27" s="190">
        <v>32</v>
      </c>
      <c r="AO27" s="190">
        <v>32</v>
      </c>
      <c r="AP27" s="190">
        <v>90</v>
      </c>
      <c r="AQ27" s="190">
        <v>896</v>
      </c>
      <c r="AR27" s="190">
        <v>986</v>
      </c>
      <c r="AS27" s="190">
        <v>90</v>
      </c>
      <c r="AT27" s="190">
        <v>896</v>
      </c>
      <c r="AU27" s="190">
        <v>986</v>
      </c>
      <c r="AV27" s="190">
        <v>0</v>
      </c>
      <c r="AW27" s="190">
        <v>0</v>
      </c>
      <c r="AX27" s="190">
        <v>0</v>
      </c>
      <c r="AY27" s="190">
        <v>2</v>
      </c>
      <c r="AZ27" s="190">
        <v>66</v>
      </c>
      <c r="BA27" s="190">
        <v>68</v>
      </c>
      <c r="BB27" s="190">
        <v>3</v>
      </c>
      <c r="BC27" s="190">
        <v>0</v>
      </c>
      <c r="BD27" s="190">
        <v>0</v>
      </c>
      <c r="BE27" s="190">
        <v>30</v>
      </c>
      <c r="BF27" s="190">
        <v>2</v>
      </c>
      <c r="BG27" s="190">
        <v>0</v>
      </c>
      <c r="BH27" s="190">
        <v>3</v>
      </c>
      <c r="BI27" s="190">
        <v>32</v>
      </c>
      <c r="BJ27" s="190">
        <v>35</v>
      </c>
      <c r="BK27" s="190">
        <v>-3</v>
      </c>
      <c r="BL27" s="190">
        <v>3</v>
      </c>
      <c r="BM27" s="190">
        <v>0</v>
      </c>
      <c r="BN27" s="190">
        <v>0</v>
      </c>
      <c r="BO27" s="190">
        <v>8</v>
      </c>
      <c r="BP27" s="190">
        <v>8</v>
      </c>
      <c r="BQ27" s="190">
        <v>0</v>
      </c>
      <c r="BR27" s="190">
        <v>6</v>
      </c>
      <c r="BS27" s="190">
        <v>6</v>
      </c>
      <c r="BT27" s="190">
        <v>2</v>
      </c>
      <c r="BU27" s="190">
        <v>17</v>
      </c>
      <c r="BV27" s="190">
        <v>19</v>
      </c>
      <c r="BW27" s="190">
        <v>92</v>
      </c>
      <c r="BX27" s="190">
        <v>962</v>
      </c>
      <c r="BY27" s="190">
        <v>1054</v>
      </c>
      <c r="BZ27" s="190">
        <v>92</v>
      </c>
      <c r="CA27" s="190">
        <v>957</v>
      </c>
      <c r="CB27" s="190">
        <v>1049</v>
      </c>
      <c r="CC27" s="190">
        <v>1954</v>
      </c>
      <c r="CD27" s="190">
        <v>1</v>
      </c>
      <c r="CE27" s="190">
        <v>2</v>
      </c>
      <c r="CF27" s="190">
        <v>0</v>
      </c>
      <c r="CG27" s="190">
        <v>3</v>
      </c>
      <c r="CH27" s="190">
        <v>3</v>
      </c>
      <c r="CI27" s="190">
        <v>2</v>
      </c>
      <c r="CJ27" s="190">
        <v>0</v>
      </c>
      <c r="CK27" s="190">
        <v>0</v>
      </c>
      <c r="CL27" s="190">
        <v>2</v>
      </c>
      <c r="CM27" s="190">
        <v>2</v>
      </c>
      <c r="CN27" s="190">
        <v>2</v>
      </c>
      <c r="CO27" s="190">
        <v>80</v>
      </c>
      <c r="CP27" s="190">
        <v>82</v>
      </c>
      <c r="CQ27" s="190">
        <v>0</v>
      </c>
      <c r="CR27" s="190">
        <v>0</v>
      </c>
      <c r="CS27" s="190">
        <v>0</v>
      </c>
      <c r="CT27" s="190">
        <v>90</v>
      </c>
      <c r="CU27" s="190">
        <v>882</v>
      </c>
      <c r="CV27" s="190">
        <v>972</v>
      </c>
      <c r="CW27" s="190">
        <v>7</v>
      </c>
      <c r="CX27" s="190">
        <v>35</v>
      </c>
      <c r="CY27" s="190">
        <v>42</v>
      </c>
      <c r="CZ27" s="190">
        <v>7</v>
      </c>
      <c r="DA27" s="190">
        <v>0</v>
      </c>
      <c r="DB27" s="190">
        <v>0</v>
      </c>
      <c r="DC27" s="190">
        <v>35</v>
      </c>
      <c r="DD27" s="190">
        <v>0</v>
      </c>
      <c r="DE27" s="190">
        <v>0</v>
      </c>
      <c r="DF27" s="190">
        <v>7</v>
      </c>
      <c r="DG27" s="190">
        <v>35</v>
      </c>
      <c r="DH27" s="190">
        <v>42</v>
      </c>
      <c r="DI27" s="190">
        <v>0</v>
      </c>
      <c r="DJ27" s="190">
        <v>0</v>
      </c>
      <c r="DK27" s="190">
        <v>0</v>
      </c>
      <c r="DL27" s="190">
        <v>0</v>
      </c>
      <c r="DM27" s="190">
        <v>0</v>
      </c>
      <c r="DN27" s="190">
        <v>0</v>
      </c>
      <c r="DO27" s="190">
        <v>0</v>
      </c>
      <c r="DP27" s="190">
        <v>0</v>
      </c>
      <c r="DQ27" s="190">
        <v>0</v>
      </c>
      <c r="DR27" s="190">
        <v>0</v>
      </c>
      <c r="DS27" s="190">
        <v>0</v>
      </c>
      <c r="DT27" s="191">
        <v>0</v>
      </c>
      <c r="DV27" s="192"/>
      <c r="DW27" s="193"/>
      <c r="DX27" s="192"/>
      <c r="DY27" s="192"/>
    </row>
    <row r="28" spans="1:129" s="172" customFormat="1">
      <c r="A28" s="189" t="s">
        <v>293</v>
      </c>
      <c r="B28" s="190">
        <v>447</v>
      </c>
      <c r="C28" s="190">
        <v>44</v>
      </c>
      <c r="D28" s="190">
        <v>463</v>
      </c>
      <c r="E28" s="190">
        <v>352</v>
      </c>
      <c r="F28" s="190">
        <v>1</v>
      </c>
      <c r="G28" s="190">
        <v>24</v>
      </c>
      <c r="H28" s="190">
        <v>25</v>
      </c>
      <c r="I28" s="190">
        <v>1</v>
      </c>
      <c r="J28" s="190">
        <v>103</v>
      </c>
      <c r="K28" s="190">
        <v>104</v>
      </c>
      <c r="L28" s="190">
        <v>1</v>
      </c>
      <c r="M28" s="190">
        <v>41</v>
      </c>
      <c r="N28" s="190">
        <v>42</v>
      </c>
      <c r="O28" s="190">
        <v>0</v>
      </c>
      <c r="P28" s="190">
        <v>62</v>
      </c>
      <c r="Q28" s="190">
        <v>62</v>
      </c>
      <c r="R28" s="190">
        <v>0</v>
      </c>
      <c r="S28" s="190">
        <v>7</v>
      </c>
      <c r="T28" s="190">
        <v>7</v>
      </c>
      <c r="U28" s="190">
        <v>0</v>
      </c>
      <c r="V28" s="190">
        <v>7</v>
      </c>
      <c r="W28" s="190">
        <v>7</v>
      </c>
      <c r="X28" s="190">
        <v>20</v>
      </c>
      <c r="Y28" s="190">
        <v>443</v>
      </c>
      <c r="Z28" s="190">
        <v>463</v>
      </c>
      <c r="AA28" s="190">
        <v>11</v>
      </c>
      <c r="AB28" s="190">
        <v>236</v>
      </c>
      <c r="AC28" s="190">
        <v>247</v>
      </c>
      <c r="AD28" s="190">
        <v>11</v>
      </c>
      <c r="AE28" s="190">
        <v>224</v>
      </c>
      <c r="AF28" s="190">
        <v>235</v>
      </c>
      <c r="AG28" s="190">
        <v>0</v>
      </c>
      <c r="AH28" s="190">
        <v>5</v>
      </c>
      <c r="AI28" s="190">
        <v>5</v>
      </c>
      <c r="AJ28" s="190">
        <v>0</v>
      </c>
      <c r="AK28" s="190">
        <v>7</v>
      </c>
      <c r="AL28" s="190">
        <v>7</v>
      </c>
      <c r="AM28" s="190">
        <v>9</v>
      </c>
      <c r="AN28" s="190">
        <v>207</v>
      </c>
      <c r="AO28" s="190">
        <v>216</v>
      </c>
      <c r="AP28" s="190">
        <v>550</v>
      </c>
      <c r="AQ28" s="190">
        <v>5565</v>
      </c>
      <c r="AR28" s="190">
        <v>6115</v>
      </c>
      <c r="AS28" s="190">
        <v>550</v>
      </c>
      <c r="AT28" s="190">
        <v>5565</v>
      </c>
      <c r="AU28" s="190">
        <v>6115</v>
      </c>
      <c r="AV28" s="190">
        <v>0</v>
      </c>
      <c r="AW28" s="190">
        <v>0</v>
      </c>
      <c r="AX28" s="190">
        <v>0</v>
      </c>
      <c r="AY28" s="190">
        <v>43</v>
      </c>
      <c r="AZ28" s="190">
        <v>514</v>
      </c>
      <c r="BA28" s="190">
        <v>557</v>
      </c>
      <c r="BB28" s="190">
        <v>18</v>
      </c>
      <c r="BC28" s="190">
        <v>0</v>
      </c>
      <c r="BD28" s="190">
        <v>1</v>
      </c>
      <c r="BE28" s="190">
        <v>331</v>
      </c>
      <c r="BF28" s="190">
        <v>1</v>
      </c>
      <c r="BG28" s="190">
        <v>1</v>
      </c>
      <c r="BH28" s="190">
        <v>19</v>
      </c>
      <c r="BI28" s="190">
        <v>333</v>
      </c>
      <c r="BJ28" s="190">
        <v>352</v>
      </c>
      <c r="BK28" s="190">
        <v>-3</v>
      </c>
      <c r="BL28" s="190">
        <v>3</v>
      </c>
      <c r="BM28" s="190">
        <v>0</v>
      </c>
      <c r="BN28" s="190">
        <v>3</v>
      </c>
      <c r="BO28" s="190">
        <v>9</v>
      </c>
      <c r="BP28" s="190">
        <v>12</v>
      </c>
      <c r="BQ28" s="190">
        <v>7</v>
      </c>
      <c r="BR28" s="190">
        <v>51</v>
      </c>
      <c r="BS28" s="190">
        <v>58</v>
      </c>
      <c r="BT28" s="190">
        <v>17</v>
      </c>
      <c r="BU28" s="190">
        <v>118</v>
      </c>
      <c r="BV28" s="190">
        <v>135</v>
      </c>
      <c r="BW28" s="190">
        <v>593</v>
      </c>
      <c r="BX28" s="190">
        <v>6079</v>
      </c>
      <c r="BY28" s="190">
        <v>6672</v>
      </c>
      <c r="BZ28" s="190">
        <v>586</v>
      </c>
      <c r="CA28" s="190">
        <v>6035</v>
      </c>
      <c r="CB28" s="190">
        <v>6621</v>
      </c>
      <c r="CC28" s="190">
        <v>12364</v>
      </c>
      <c r="CD28" s="190">
        <v>2</v>
      </c>
      <c r="CE28" s="190">
        <v>39</v>
      </c>
      <c r="CF28" s="190">
        <v>6</v>
      </c>
      <c r="CG28" s="190">
        <v>34</v>
      </c>
      <c r="CH28" s="190">
        <v>40</v>
      </c>
      <c r="CI28" s="190">
        <v>11</v>
      </c>
      <c r="CJ28" s="190">
        <v>2</v>
      </c>
      <c r="CK28" s="190">
        <v>1</v>
      </c>
      <c r="CL28" s="190">
        <v>10</v>
      </c>
      <c r="CM28" s="190">
        <v>11</v>
      </c>
      <c r="CN28" s="190">
        <v>40</v>
      </c>
      <c r="CO28" s="190">
        <v>597</v>
      </c>
      <c r="CP28" s="190">
        <v>637</v>
      </c>
      <c r="CQ28" s="190">
        <v>0</v>
      </c>
      <c r="CR28" s="190">
        <v>0</v>
      </c>
      <c r="CS28" s="190">
        <v>0</v>
      </c>
      <c r="CT28" s="190">
        <v>553</v>
      </c>
      <c r="CU28" s="190">
        <v>5482</v>
      </c>
      <c r="CV28" s="190">
        <v>6035</v>
      </c>
      <c r="CW28" s="190">
        <v>34</v>
      </c>
      <c r="CX28" s="190">
        <v>176</v>
      </c>
      <c r="CY28" s="190">
        <v>210</v>
      </c>
      <c r="CZ28" s="190">
        <v>34</v>
      </c>
      <c r="DA28" s="190">
        <v>0</v>
      </c>
      <c r="DB28" s="190">
        <v>0</v>
      </c>
      <c r="DC28" s="190">
        <v>175</v>
      </c>
      <c r="DD28" s="190">
        <v>0</v>
      </c>
      <c r="DE28" s="190">
        <v>0</v>
      </c>
      <c r="DF28" s="190">
        <v>34</v>
      </c>
      <c r="DG28" s="190">
        <v>175</v>
      </c>
      <c r="DH28" s="190">
        <v>209</v>
      </c>
      <c r="DI28" s="190">
        <v>0</v>
      </c>
      <c r="DJ28" s="190">
        <v>0</v>
      </c>
      <c r="DK28" s="190">
        <v>0</v>
      </c>
      <c r="DL28" s="190">
        <v>1</v>
      </c>
      <c r="DM28" s="190">
        <v>0</v>
      </c>
      <c r="DN28" s="190">
        <v>0</v>
      </c>
      <c r="DO28" s="190">
        <v>0</v>
      </c>
      <c r="DP28" s="190">
        <v>1</v>
      </c>
      <c r="DQ28" s="190">
        <v>1</v>
      </c>
      <c r="DR28" s="190">
        <v>0</v>
      </c>
      <c r="DS28" s="190">
        <v>0</v>
      </c>
      <c r="DT28" s="191">
        <v>0</v>
      </c>
      <c r="DV28" s="192"/>
      <c r="DW28" s="193"/>
      <c r="DX28" s="192"/>
      <c r="DY28" s="192"/>
    </row>
    <row r="29" spans="1:129" s="172" customFormat="1">
      <c r="A29" s="189" t="s">
        <v>294</v>
      </c>
      <c r="B29" s="190">
        <v>1542</v>
      </c>
      <c r="C29" s="190">
        <v>275</v>
      </c>
      <c r="D29" s="190">
        <v>1432</v>
      </c>
      <c r="E29" s="190">
        <v>795</v>
      </c>
      <c r="F29" s="190">
        <v>8</v>
      </c>
      <c r="G29" s="190">
        <v>30</v>
      </c>
      <c r="H29" s="190">
        <v>38</v>
      </c>
      <c r="I29" s="190">
        <v>0</v>
      </c>
      <c r="J29" s="190">
        <v>499</v>
      </c>
      <c r="K29" s="190">
        <v>499</v>
      </c>
      <c r="L29" s="190">
        <v>0</v>
      </c>
      <c r="M29" s="190">
        <v>232</v>
      </c>
      <c r="N29" s="190">
        <v>232</v>
      </c>
      <c r="O29" s="190">
        <v>0</v>
      </c>
      <c r="P29" s="190">
        <v>267</v>
      </c>
      <c r="Q29" s="190">
        <v>267</v>
      </c>
      <c r="R29" s="190">
        <v>0</v>
      </c>
      <c r="S29" s="190">
        <v>17</v>
      </c>
      <c r="T29" s="190">
        <v>17</v>
      </c>
      <c r="U29" s="190">
        <v>0</v>
      </c>
      <c r="V29" s="190">
        <v>138</v>
      </c>
      <c r="W29" s="190">
        <v>138</v>
      </c>
      <c r="X29" s="190">
        <v>59</v>
      </c>
      <c r="Y29" s="190">
        <v>1372</v>
      </c>
      <c r="Z29" s="190">
        <v>1431</v>
      </c>
      <c r="AA29" s="190">
        <v>37</v>
      </c>
      <c r="AB29" s="190">
        <v>518</v>
      </c>
      <c r="AC29" s="190">
        <v>555</v>
      </c>
      <c r="AD29" s="190">
        <v>34</v>
      </c>
      <c r="AE29" s="190">
        <v>498</v>
      </c>
      <c r="AF29" s="190">
        <v>532</v>
      </c>
      <c r="AG29" s="190">
        <v>2</v>
      </c>
      <c r="AH29" s="190">
        <v>11</v>
      </c>
      <c r="AI29" s="190">
        <v>13</v>
      </c>
      <c r="AJ29" s="190">
        <v>1</v>
      </c>
      <c r="AK29" s="190">
        <v>9</v>
      </c>
      <c r="AL29" s="190">
        <v>10</v>
      </c>
      <c r="AM29" s="190">
        <v>22</v>
      </c>
      <c r="AN29" s="190">
        <v>854</v>
      </c>
      <c r="AO29" s="190">
        <v>876</v>
      </c>
      <c r="AP29" s="190">
        <v>3580</v>
      </c>
      <c r="AQ29" s="190">
        <v>18994</v>
      </c>
      <c r="AR29" s="190">
        <v>22574</v>
      </c>
      <c r="AS29" s="190">
        <v>3580</v>
      </c>
      <c r="AT29" s="190">
        <v>18994</v>
      </c>
      <c r="AU29" s="190">
        <v>22574</v>
      </c>
      <c r="AV29" s="190">
        <v>0</v>
      </c>
      <c r="AW29" s="190">
        <v>0</v>
      </c>
      <c r="AX29" s="190">
        <v>0</v>
      </c>
      <c r="AY29" s="190">
        <v>88</v>
      </c>
      <c r="AZ29" s="190">
        <v>1502</v>
      </c>
      <c r="BA29" s="190">
        <v>1590</v>
      </c>
      <c r="BB29" s="190">
        <v>62</v>
      </c>
      <c r="BC29" s="190">
        <v>0</v>
      </c>
      <c r="BD29" s="190">
        <v>1</v>
      </c>
      <c r="BE29" s="190">
        <v>728</v>
      </c>
      <c r="BF29" s="190">
        <v>2</v>
      </c>
      <c r="BG29" s="190">
        <v>2</v>
      </c>
      <c r="BH29" s="190">
        <v>63</v>
      </c>
      <c r="BI29" s="190">
        <v>732</v>
      </c>
      <c r="BJ29" s="190">
        <v>795</v>
      </c>
      <c r="BK29" s="190">
        <v>-82</v>
      </c>
      <c r="BL29" s="190">
        <v>82</v>
      </c>
      <c r="BM29" s="190">
        <v>0</v>
      </c>
      <c r="BN29" s="190">
        <v>16</v>
      </c>
      <c r="BO29" s="190">
        <v>46</v>
      </c>
      <c r="BP29" s="190">
        <v>62</v>
      </c>
      <c r="BQ29" s="190">
        <v>20</v>
      </c>
      <c r="BR29" s="190">
        <v>205</v>
      </c>
      <c r="BS29" s="190">
        <v>225</v>
      </c>
      <c r="BT29" s="190">
        <v>71</v>
      </c>
      <c r="BU29" s="190">
        <v>437</v>
      </c>
      <c r="BV29" s="190">
        <v>508</v>
      </c>
      <c r="BW29" s="190">
        <v>3668</v>
      </c>
      <c r="BX29" s="190">
        <v>20496</v>
      </c>
      <c r="BY29" s="190">
        <v>24164</v>
      </c>
      <c r="BZ29" s="190">
        <v>3648</v>
      </c>
      <c r="CA29" s="190">
        <v>20408</v>
      </c>
      <c r="CB29" s="190">
        <v>24056</v>
      </c>
      <c r="CC29" s="190">
        <v>55505</v>
      </c>
      <c r="CD29" s="190">
        <v>4</v>
      </c>
      <c r="CE29" s="190">
        <v>101</v>
      </c>
      <c r="CF29" s="190">
        <v>19</v>
      </c>
      <c r="CG29" s="190">
        <v>76</v>
      </c>
      <c r="CH29" s="190">
        <v>95</v>
      </c>
      <c r="CI29" s="190">
        <v>13</v>
      </c>
      <c r="CJ29" s="190">
        <v>2</v>
      </c>
      <c r="CK29" s="190">
        <v>1</v>
      </c>
      <c r="CL29" s="190">
        <v>12</v>
      </c>
      <c r="CM29" s="190">
        <v>13</v>
      </c>
      <c r="CN29" s="190">
        <v>174</v>
      </c>
      <c r="CO29" s="190">
        <v>1823</v>
      </c>
      <c r="CP29" s="190">
        <v>1997</v>
      </c>
      <c r="CQ29" s="190">
        <v>0</v>
      </c>
      <c r="CR29" s="190">
        <v>0</v>
      </c>
      <c r="CS29" s="190">
        <v>0</v>
      </c>
      <c r="CT29" s="190">
        <v>3494</v>
      </c>
      <c r="CU29" s="190">
        <v>18673</v>
      </c>
      <c r="CV29" s="190">
        <v>22167</v>
      </c>
      <c r="CW29" s="190">
        <v>190</v>
      </c>
      <c r="CX29" s="190">
        <v>830</v>
      </c>
      <c r="CY29" s="190">
        <v>1020</v>
      </c>
      <c r="CZ29" s="190">
        <v>188</v>
      </c>
      <c r="DA29" s="190">
        <v>2</v>
      </c>
      <c r="DB29" s="190">
        <v>0</v>
      </c>
      <c r="DC29" s="190">
        <v>811</v>
      </c>
      <c r="DD29" s="190">
        <v>5</v>
      </c>
      <c r="DE29" s="190">
        <v>0</v>
      </c>
      <c r="DF29" s="190">
        <v>190</v>
      </c>
      <c r="DG29" s="190">
        <v>816</v>
      </c>
      <c r="DH29" s="190">
        <v>1006</v>
      </c>
      <c r="DI29" s="190">
        <v>0</v>
      </c>
      <c r="DJ29" s="190">
        <v>0</v>
      </c>
      <c r="DK29" s="190">
        <v>0</v>
      </c>
      <c r="DL29" s="190">
        <v>14</v>
      </c>
      <c r="DM29" s="190">
        <v>0</v>
      </c>
      <c r="DN29" s="190">
        <v>0</v>
      </c>
      <c r="DO29" s="190">
        <v>0</v>
      </c>
      <c r="DP29" s="190">
        <v>14</v>
      </c>
      <c r="DQ29" s="190">
        <v>14</v>
      </c>
      <c r="DR29" s="190">
        <v>0</v>
      </c>
      <c r="DS29" s="190">
        <v>0</v>
      </c>
      <c r="DT29" s="191">
        <v>0</v>
      </c>
      <c r="DV29" s="192"/>
      <c r="DW29" s="193"/>
      <c r="DX29" s="192"/>
      <c r="DY29" s="192"/>
    </row>
    <row r="30" spans="1:129" s="172" customFormat="1">
      <c r="A30" s="189" t="s">
        <v>295</v>
      </c>
      <c r="B30" s="190">
        <v>50</v>
      </c>
      <c r="C30" s="190">
        <v>7</v>
      </c>
      <c r="D30" s="190">
        <v>53</v>
      </c>
      <c r="E30" s="190">
        <v>34</v>
      </c>
      <c r="F30" s="190">
        <v>1</v>
      </c>
      <c r="G30" s="190">
        <v>0</v>
      </c>
      <c r="H30" s="190">
        <v>1</v>
      </c>
      <c r="I30" s="190">
        <v>0</v>
      </c>
      <c r="J30" s="190">
        <v>18</v>
      </c>
      <c r="K30" s="190">
        <v>18</v>
      </c>
      <c r="L30" s="190">
        <v>0</v>
      </c>
      <c r="M30" s="190">
        <v>5</v>
      </c>
      <c r="N30" s="190">
        <v>5</v>
      </c>
      <c r="O30" s="190">
        <v>0</v>
      </c>
      <c r="P30" s="190">
        <v>13</v>
      </c>
      <c r="Q30" s="190">
        <v>13</v>
      </c>
      <c r="R30" s="190">
        <v>0</v>
      </c>
      <c r="S30" s="190">
        <v>0</v>
      </c>
      <c r="T30" s="190">
        <v>0</v>
      </c>
      <c r="U30" s="190">
        <v>0</v>
      </c>
      <c r="V30" s="190">
        <v>1</v>
      </c>
      <c r="W30" s="190">
        <v>1</v>
      </c>
      <c r="X30" s="190">
        <v>1</v>
      </c>
      <c r="Y30" s="190">
        <v>52</v>
      </c>
      <c r="Z30" s="190">
        <v>53</v>
      </c>
      <c r="AA30" s="190">
        <v>0</v>
      </c>
      <c r="AB30" s="190">
        <v>28</v>
      </c>
      <c r="AC30" s="190">
        <v>28</v>
      </c>
      <c r="AD30" s="190">
        <v>0</v>
      </c>
      <c r="AE30" s="190">
        <v>25</v>
      </c>
      <c r="AF30" s="190">
        <v>25</v>
      </c>
      <c r="AG30" s="190">
        <v>0</v>
      </c>
      <c r="AH30" s="190">
        <v>2</v>
      </c>
      <c r="AI30" s="190">
        <v>2</v>
      </c>
      <c r="AJ30" s="190">
        <v>0</v>
      </c>
      <c r="AK30" s="190">
        <v>1</v>
      </c>
      <c r="AL30" s="190">
        <v>1</v>
      </c>
      <c r="AM30" s="190">
        <v>1</v>
      </c>
      <c r="AN30" s="190">
        <v>24</v>
      </c>
      <c r="AO30" s="190">
        <v>25</v>
      </c>
      <c r="AP30" s="190">
        <v>60</v>
      </c>
      <c r="AQ30" s="190">
        <v>419</v>
      </c>
      <c r="AR30" s="190">
        <v>479</v>
      </c>
      <c r="AS30" s="190">
        <v>60</v>
      </c>
      <c r="AT30" s="190">
        <v>419</v>
      </c>
      <c r="AU30" s="190">
        <v>479</v>
      </c>
      <c r="AV30" s="190">
        <v>0</v>
      </c>
      <c r="AW30" s="190">
        <v>0</v>
      </c>
      <c r="AX30" s="190">
        <v>0</v>
      </c>
      <c r="AY30" s="190">
        <v>11</v>
      </c>
      <c r="AZ30" s="190">
        <v>55</v>
      </c>
      <c r="BA30" s="190">
        <v>66</v>
      </c>
      <c r="BB30" s="190">
        <v>1</v>
      </c>
      <c r="BC30" s="190">
        <v>0</v>
      </c>
      <c r="BD30" s="190">
        <v>0</v>
      </c>
      <c r="BE30" s="190">
        <v>33</v>
      </c>
      <c r="BF30" s="190">
        <v>0</v>
      </c>
      <c r="BG30" s="190">
        <v>0</v>
      </c>
      <c r="BH30" s="190">
        <v>1</v>
      </c>
      <c r="BI30" s="190">
        <v>33</v>
      </c>
      <c r="BJ30" s="190">
        <v>34</v>
      </c>
      <c r="BK30" s="190">
        <v>7</v>
      </c>
      <c r="BL30" s="190">
        <v>-7</v>
      </c>
      <c r="BM30" s="190">
        <v>0</v>
      </c>
      <c r="BN30" s="190">
        <v>0</v>
      </c>
      <c r="BO30" s="190">
        <v>8</v>
      </c>
      <c r="BP30" s="190">
        <v>8</v>
      </c>
      <c r="BQ30" s="190">
        <v>2</v>
      </c>
      <c r="BR30" s="190">
        <v>2</v>
      </c>
      <c r="BS30" s="190">
        <v>4</v>
      </c>
      <c r="BT30" s="190">
        <v>1</v>
      </c>
      <c r="BU30" s="190">
        <v>19</v>
      </c>
      <c r="BV30" s="190">
        <v>20</v>
      </c>
      <c r="BW30" s="190">
        <v>71</v>
      </c>
      <c r="BX30" s="190">
        <v>474</v>
      </c>
      <c r="BY30" s="190">
        <v>545</v>
      </c>
      <c r="BZ30" s="190">
        <v>70</v>
      </c>
      <c r="CA30" s="190">
        <v>473</v>
      </c>
      <c r="CB30" s="190">
        <v>543</v>
      </c>
      <c r="CC30" s="190">
        <v>1122</v>
      </c>
      <c r="CD30" s="190">
        <v>0</v>
      </c>
      <c r="CE30" s="190">
        <v>2</v>
      </c>
      <c r="CF30" s="190">
        <v>1</v>
      </c>
      <c r="CG30" s="190">
        <v>1</v>
      </c>
      <c r="CH30" s="190">
        <v>2</v>
      </c>
      <c r="CI30" s="190">
        <v>0</v>
      </c>
      <c r="CJ30" s="190">
        <v>0</v>
      </c>
      <c r="CK30" s="190">
        <v>0</v>
      </c>
      <c r="CL30" s="190">
        <v>0</v>
      </c>
      <c r="CM30" s="190">
        <v>0</v>
      </c>
      <c r="CN30" s="190">
        <v>7</v>
      </c>
      <c r="CO30" s="190">
        <v>38</v>
      </c>
      <c r="CP30" s="190">
        <v>45</v>
      </c>
      <c r="CQ30" s="190">
        <v>0</v>
      </c>
      <c r="CR30" s="190">
        <v>0</v>
      </c>
      <c r="CS30" s="190">
        <v>0</v>
      </c>
      <c r="CT30" s="190">
        <v>64</v>
      </c>
      <c r="CU30" s="190">
        <v>436</v>
      </c>
      <c r="CV30" s="190">
        <v>500</v>
      </c>
      <c r="CW30" s="190">
        <v>3</v>
      </c>
      <c r="CX30" s="190">
        <v>18</v>
      </c>
      <c r="CY30" s="190">
        <v>21</v>
      </c>
      <c r="CZ30" s="190">
        <v>3</v>
      </c>
      <c r="DA30" s="190">
        <v>0</v>
      </c>
      <c r="DB30" s="190">
        <v>0</v>
      </c>
      <c r="DC30" s="190">
        <v>18</v>
      </c>
      <c r="DD30" s="190">
        <v>0</v>
      </c>
      <c r="DE30" s="190">
        <v>0</v>
      </c>
      <c r="DF30" s="190">
        <v>3</v>
      </c>
      <c r="DG30" s="190">
        <v>18</v>
      </c>
      <c r="DH30" s="190">
        <v>21</v>
      </c>
      <c r="DI30" s="190">
        <v>0</v>
      </c>
      <c r="DJ30" s="190">
        <v>0</v>
      </c>
      <c r="DK30" s="190">
        <v>0</v>
      </c>
      <c r="DL30" s="190">
        <v>0</v>
      </c>
      <c r="DM30" s="190">
        <v>0</v>
      </c>
      <c r="DN30" s="190">
        <v>0</v>
      </c>
      <c r="DO30" s="190">
        <v>0</v>
      </c>
      <c r="DP30" s="190">
        <v>0</v>
      </c>
      <c r="DQ30" s="190">
        <v>0</v>
      </c>
      <c r="DR30" s="190">
        <v>0</v>
      </c>
      <c r="DS30" s="190">
        <v>0</v>
      </c>
      <c r="DT30" s="191">
        <v>0</v>
      </c>
      <c r="DV30" s="192"/>
      <c r="DW30" s="193"/>
      <c r="DX30" s="192"/>
      <c r="DY30" s="192"/>
    </row>
    <row r="31" spans="1:129" s="172" customFormat="1">
      <c r="A31" s="189" t="s">
        <v>296</v>
      </c>
      <c r="B31" s="190">
        <v>62</v>
      </c>
      <c r="C31" s="190">
        <v>19</v>
      </c>
      <c r="D31" s="190">
        <v>65</v>
      </c>
      <c r="E31" s="190">
        <v>53</v>
      </c>
      <c r="F31" s="190">
        <v>0</v>
      </c>
      <c r="G31" s="190">
        <v>1</v>
      </c>
      <c r="H31" s="190">
        <v>1</v>
      </c>
      <c r="I31" s="190">
        <v>0</v>
      </c>
      <c r="J31" s="190">
        <v>8</v>
      </c>
      <c r="K31" s="190">
        <v>8</v>
      </c>
      <c r="L31" s="190">
        <v>0</v>
      </c>
      <c r="M31" s="190">
        <v>2</v>
      </c>
      <c r="N31" s="190">
        <v>2</v>
      </c>
      <c r="O31" s="190">
        <v>0</v>
      </c>
      <c r="P31" s="190">
        <v>6</v>
      </c>
      <c r="Q31" s="190">
        <v>6</v>
      </c>
      <c r="R31" s="190">
        <v>0</v>
      </c>
      <c r="S31" s="190">
        <v>1</v>
      </c>
      <c r="T31" s="190">
        <v>1</v>
      </c>
      <c r="U31" s="190">
        <v>0</v>
      </c>
      <c r="V31" s="190">
        <v>4</v>
      </c>
      <c r="W31" s="190">
        <v>4</v>
      </c>
      <c r="X31" s="190">
        <v>0</v>
      </c>
      <c r="Y31" s="190">
        <v>65</v>
      </c>
      <c r="Z31" s="190">
        <v>65</v>
      </c>
      <c r="AA31" s="190">
        <v>0</v>
      </c>
      <c r="AB31" s="190">
        <v>34</v>
      </c>
      <c r="AC31" s="190">
        <v>34</v>
      </c>
      <c r="AD31" s="190">
        <v>0</v>
      </c>
      <c r="AE31" s="190">
        <v>34</v>
      </c>
      <c r="AF31" s="190">
        <v>34</v>
      </c>
      <c r="AG31" s="190">
        <v>0</v>
      </c>
      <c r="AH31" s="190">
        <v>0</v>
      </c>
      <c r="AI31" s="190">
        <v>0</v>
      </c>
      <c r="AJ31" s="190">
        <v>0</v>
      </c>
      <c r="AK31" s="190">
        <v>0</v>
      </c>
      <c r="AL31" s="190">
        <v>0</v>
      </c>
      <c r="AM31" s="190">
        <v>0</v>
      </c>
      <c r="AN31" s="190">
        <v>31</v>
      </c>
      <c r="AO31" s="190">
        <v>31</v>
      </c>
      <c r="AP31" s="190">
        <v>13</v>
      </c>
      <c r="AQ31" s="190">
        <v>395</v>
      </c>
      <c r="AR31" s="190">
        <v>408</v>
      </c>
      <c r="AS31" s="190">
        <v>13</v>
      </c>
      <c r="AT31" s="190">
        <v>395</v>
      </c>
      <c r="AU31" s="190">
        <v>408</v>
      </c>
      <c r="AV31" s="190">
        <v>0</v>
      </c>
      <c r="AW31" s="190">
        <v>0</v>
      </c>
      <c r="AX31" s="190">
        <v>0</v>
      </c>
      <c r="AY31" s="190">
        <v>1</v>
      </c>
      <c r="AZ31" s="190">
        <v>72</v>
      </c>
      <c r="BA31" s="190">
        <v>73</v>
      </c>
      <c r="BB31" s="190">
        <v>0</v>
      </c>
      <c r="BC31" s="190">
        <v>0</v>
      </c>
      <c r="BD31" s="190">
        <v>0</v>
      </c>
      <c r="BE31" s="190">
        <v>53</v>
      </c>
      <c r="BF31" s="190">
        <v>0</v>
      </c>
      <c r="BG31" s="190">
        <v>0</v>
      </c>
      <c r="BH31" s="190">
        <v>0</v>
      </c>
      <c r="BI31" s="190">
        <v>53</v>
      </c>
      <c r="BJ31" s="190">
        <v>53</v>
      </c>
      <c r="BK31" s="190">
        <v>-1</v>
      </c>
      <c r="BL31" s="190">
        <v>1</v>
      </c>
      <c r="BM31" s="190">
        <v>0</v>
      </c>
      <c r="BN31" s="190">
        <v>0</v>
      </c>
      <c r="BO31" s="190">
        <v>3</v>
      </c>
      <c r="BP31" s="190">
        <v>3</v>
      </c>
      <c r="BQ31" s="190">
        <v>0</v>
      </c>
      <c r="BR31" s="190">
        <v>5</v>
      </c>
      <c r="BS31" s="190">
        <v>5</v>
      </c>
      <c r="BT31" s="190">
        <v>2</v>
      </c>
      <c r="BU31" s="190">
        <v>10</v>
      </c>
      <c r="BV31" s="190">
        <v>12</v>
      </c>
      <c r="BW31" s="190">
        <v>14</v>
      </c>
      <c r="BX31" s="190">
        <v>467</v>
      </c>
      <c r="BY31" s="190">
        <v>481</v>
      </c>
      <c r="BZ31" s="190">
        <v>14</v>
      </c>
      <c r="CA31" s="190">
        <v>463</v>
      </c>
      <c r="CB31" s="190">
        <v>477</v>
      </c>
      <c r="CC31" s="190">
        <v>822</v>
      </c>
      <c r="CD31" s="190">
        <v>0</v>
      </c>
      <c r="CE31" s="190">
        <v>4</v>
      </c>
      <c r="CF31" s="190">
        <v>0</v>
      </c>
      <c r="CG31" s="190">
        <v>4</v>
      </c>
      <c r="CH31" s="190">
        <v>4</v>
      </c>
      <c r="CI31" s="190">
        <v>0</v>
      </c>
      <c r="CJ31" s="190">
        <v>0</v>
      </c>
      <c r="CK31" s="190">
        <v>0</v>
      </c>
      <c r="CL31" s="190">
        <v>0</v>
      </c>
      <c r="CM31" s="190">
        <v>0</v>
      </c>
      <c r="CN31" s="190">
        <v>0</v>
      </c>
      <c r="CO31" s="190">
        <v>68</v>
      </c>
      <c r="CP31" s="190">
        <v>68</v>
      </c>
      <c r="CQ31" s="190">
        <v>0</v>
      </c>
      <c r="CR31" s="190">
        <v>0</v>
      </c>
      <c r="CS31" s="190">
        <v>0</v>
      </c>
      <c r="CT31" s="190">
        <v>14</v>
      </c>
      <c r="CU31" s="190">
        <v>399</v>
      </c>
      <c r="CV31" s="190">
        <v>413</v>
      </c>
      <c r="CW31" s="190">
        <v>2</v>
      </c>
      <c r="CX31" s="190">
        <v>16</v>
      </c>
      <c r="CY31" s="190">
        <v>18</v>
      </c>
      <c r="CZ31" s="190">
        <v>2</v>
      </c>
      <c r="DA31" s="190">
        <v>0</v>
      </c>
      <c r="DB31" s="190">
        <v>0</v>
      </c>
      <c r="DC31" s="190">
        <v>16</v>
      </c>
      <c r="DD31" s="190">
        <v>0</v>
      </c>
      <c r="DE31" s="190">
        <v>0</v>
      </c>
      <c r="DF31" s="190">
        <v>2</v>
      </c>
      <c r="DG31" s="190">
        <v>16</v>
      </c>
      <c r="DH31" s="190">
        <v>18</v>
      </c>
      <c r="DI31" s="190">
        <v>0</v>
      </c>
      <c r="DJ31" s="190">
        <v>0</v>
      </c>
      <c r="DK31" s="190">
        <v>0</v>
      </c>
      <c r="DL31" s="190">
        <v>0</v>
      </c>
      <c r="DM31" s="190">
        <v>0</v>
      </c>
      <c r="DN31" s="190">
        <v>0</v>
      </c>
      <c r="DO31" s="190">
        <v>0</v>
      </c>
      <c r="DP31" s="190">
        <v>0</v>
      </c>
      <c r="DQ31" s="190">
        <v>0</v>
      </c>
      <c r="DR31" s="190">
        <v>0</v>
      </c>
      <c r="DS31" s="190">
        <v>0</v>
      </c>
      <c r="DT31" s="191">
        <v>0</v>
      </c>
      <c r="DV31" s="192"/>
      <c r="DW31" s="193"/>
      <c r="DX31" s="192"/>
      <c r="DY31" s="192"/>
    </row>
    <row r="32" spans="1:129" s="172" customFormat="1">
      <c r="A32" s="189" t="s">
        <v>297</v>
      </c>
      <c r="B32" s="190">
        <v>2340</v>
      </c>
      <c r="C32" s="190">
        <v>409</v>
      </c>
      <c r="D32" s="190">
        <v>2095</v>
      </c>
      <c r="E32" s="190">
        <v>1282</v>
      </c>
      <c r="F32" s="190">
        <v>0</v>
      </c>
      <c r="G32" s="190">
        <v>45</v>
      </c>
      <c r="H32" s="190">
        <v>45</v>
      </c>
      <c r="I32" s="190">
        <v>0</v>
      </c>
      <c r="J32" s="190">
        <v>740</v>
      </c>
      <c r="K32" s="190">
        <v>740</v>
      </c>
      <c r="L32" s="190">
        <v>0</v>
      </c>
      <c r="M32" s="190">
        <v>462</v>
      </c>
      <c r="N32" s="190">
        <v>462</v>
      </c>
      <c r="O32" s="190">
        <v>0</v>
      </c>
      <c r="P32" s="190">
        <v>278</v>
      </c>
      <c r="Q32" s="190">
        <v>278</v>
      </c>
      <c r="R32" s="190">
        <v>0</v>
      </c>
      <c r="S32" s="190">
        <v>17</v>
      </c>
      <c r="T32" s="190">
        <v>17</v>
      </c>
      <c r="U32" s="190">
        <v>0</v>
      </c>
      <c r="V32" s="190">
        <v>73</v>
      </c>
      <c r="W32" s="190">
        <v>73</v>
      </c>
      <c r="X32" s="190">
        <v>41</v>
      </c>
      <c r="Y32" s="190">
        <v>2054</v>
      </c>
      <c r="Z32" s="190">
        <v>2095</v>
      </c>
      <c r="AA32" s="190">
        <v>19</v>
      </c>
      <c r="AB32" s="190">
        <v>626</v>
      </c>
      <c r="AC32" s="190">
        <v>645</v>
      </c>
      <c r="AD32" s="190">
        <v>18</v>
      </c>
      <c r="AE32" s="190">
        <v>607</v>
      </c>
      <c r="AF32" s="190">
        <v>625</v>
      </c>
      <c r="AG32" s="190">
        <v>0</v>
      </c>
      <c r="AH32" s="190">
        <v>10</v>
      </c>
      <c r="AI32" s="190">
        <v>10</v>
      </c>
      <c r="AJ32" s="190">
        <v>1</v>
      </c>
      <c r="AK32" s="190">
        <v>9</v>
      </c>
      <c r="AL32" s="190">
        <v>10</v>
      </c>
      <c r="AM32" s="190">
        <v>22</v>
      </c>
      <c r="AN32" s="190">
        <v>1428</v>
      </c>
      <c r="AO32" s="190">
        <v>1450</v>
      </c>
      <c r="AP32" s="190">
        <v>1962</v>
      </c>
      <c r="AQ32" s="190">
        <v>16703</v>
      </c>
      <c r="AR32" s="190">
        <v>18665</v>
      </c>
      <c r="AS32" s="190">
        <v>1962</v>
      </c>
      <c r="AT32" s="190">
        <v>16703</v>
      </c>
      <c r="AU32" s="190">
        <v>18665</v>
      </c>
      <c r="AV32" s="190">
        <v>0</v>
      </c>
      <c r="AW32" s="190">
        <v>0</v>
      </c>
      <c r="AX32" s="190">
        <v>0</v>
      </c>
      <c r="AY32" s="190">
        <v>115</v>
      </c>
      <c r="AZ32" s="190">
        <v>2038</v>
      </c>
      <c r="BA32" s="190">
        <v>2153</v>
      </c>
      <c r="BB32" s="190">
        <v>51</v>
      </c>
      <c r="BC32" s="190">
        <v>1</v>
      </c>
      <c r="BD32" s="190">
        <v>0</v>
      </c>
      <c r="BE32" s="190">
        <v>1216</v>
      </c>
      <c r="BF32" s="190">
        <v>12</v>
      </c>
      <c r="BG32" s="190">
        <v>2</v>
      </c>
      <c r="BH32" s="190">
        <v>52</v>
      </c>
      <c r="BI32" s="190">
        <v>1230</v>
      </c>
      <c r="BJ32" s="190">
        <v>1282</v>
      </c>
      <c r="BK32" s="190">
        <v>-5</v>
      </c>
      <c r="BL32" s="190">
        <v>5</v>
      </c>
      <c r="BM32" s="190">
        <v>0</v>
      </c>
      <c r="BN32" s="190">
        <v>2</v>
      </c>
      <c r="BO32" s="190">
        <v>28</v>
      </c>
      <c r="BP32" s="190">
        <v>30</v>
      </c>
      <c r="BQ32" s="190">
        <v>10</v>
      </c>
      <c r="BR32" s="190">
        <v>127</v>
      </c>
      <c r="BS32" s="190">
        <v>137</v>
      </c>
      <c r="BT32" s="190">
        <v>56</v>
      </c>
      <c r="BU32" s="190">
        <v>648</v>
      </c>
      <c r="BV32" s="190">
        <v>704</v>
      </c>
      <c r="BW32" s="190">
        <v>2077</v>
      </c>
      <c r="BX32" s="190">
        <v>18741</v>
      </c>
      <c r="BY32" s="190">
        <v>20818</v>
      </c>
      <c r="BZ32" s="190">
        <v>2051</v>
      </c>
      <c r="CA32" s="190">
        <v>18530</v>
      </c>
      <c r="CB32" s="190">
        <v>20581</v>
      </c>
      <c r="CC32" s="190">
        <v>45095</v>
      </c>
      <c r="CD32" s="190">
        <v>8</v>
      </c>
      <c r="CE32" s="190">
        <v>232</v>
      </c>
      <c r="CF32" s="190">
        <v>26</v>
      </c>
      <c r="CG32" s="190">
        <v>182</v>
      </c>
      <c r="CH32" s="190">
        <v>208</v>
      </c>
      <c r="CI32" s="190">
        <v>36</v>
      </c>
      <c r="CJ32" s="190">
        <v>4</v>
      </c>
      <c r="CK32" s="190">
        <v>0</v>
      </c>
      <c r="CL32" s="190">
        <v>29</v>
      </c>
      <c r="CM32" s="190">
        <v>29</v>
      </c>
      <c r="CN32" s="190">
        <v>153</v>
      </c>
      <c r="CO32" s="190">
        <v>2658</v>
      </c>
      <c r="CP32" s="190">
        <v>2811</v>
      </c>
      <c r="CQ32" s="190">
        <v>0</v>
      </c>
      <c r="CR32" s="190">
        <v>0</v>
      </c>
      <c r="CS32" s="190">
        <v>0</v>
      </c>
      <c r="CT32" s="190">
        <v>1924</v>
      </c>
      <c r="CU32" s="190">
        <v>16083</v>
      </c>
      <c r="CV32" s="190">
        <v>18007</v>
      </c>
      <c r="CW32" s="190">
        <v>2</v>
      </c>
      <c r="CX32" s="190">
        <v>137</v>
      </c>
      <c r="CY32" s="190">
        <v>139</v>
      </c>
      <c r="CZ32" s="190">
        <v>1</v>
      </c>
      <c r="DA32" s="190">
        <v>0</v>
      </c>
      <c r="DB32" s="190">
        <v>0</v>
      </c>
      <c r="DC32" s="190">
        <v>123</v>
      </c>
      <c r="DD32" s="190">
        <v>0</v>
      </c>
      <c r="DE32" s="190">
        <v>0</v>
      </c>
      <c r="DF32" s="190">
        <v>1</v>
      </c>
      <c r="DG32" s="190">
        <v>123</v>
      </c>
      <c r="DH32" s="190">
        <v>124</v>
      </c>
      <c r="DI32" s="190">
        <v>1</v>
      </c>
      <c r="DJ32" s="190">
        <v>0</v>
      </c>
      <c r="DK32" s="190">
        <v>0</v>
      </c>
      <c r="DL32" s="190">
        <v>14</v>
      </c>
      <c r="DM32" s="190">
        <v>0</v>
      </c>
      <c r="DN32" s="190">
        <v>0</v>
      </c>
      <c r="DO32" s="190">
        <v>1</v>
      </c>
      <c r="DP32" s="190">
        <v>14</v>
      </c>
      <c r="DQ32" s="190">
        <v>15</v>
      </c>
      <c r="DR32" s="190">
        <v>0</v>
      </c>
      <c r="DS32" s="190">
        <v>0</v>
      </c>
      <c r="DT32" s="191">
        <v>0</v>
      </c>
      <c r="DV32" s="192"/>
      <c r="DW32" s="193"/>
      <c r="DX32" s="192"/>
      <c r="DY32" s="192"/>
    </row>
    <row r="33" spans="1:129" s="172" customFormat="1">
      <c r="A33" s="189" t="s">
        <v>298</v>
      </c>
      <c r="B33" s="190">
        <v>249</v>
      </c>
      <c r="C33" s="190">
        <v>54</v>
      </c>
      <c r="D33" s="190">
        <v>287</v>
      </c>
      <c r="E33" s="190">
        <v>143</v>
      </c>
      <c r="F33" s="190">
        <v>0</v>
      </c>
      <c r="G33" s="190">
        <v>5</v>
      </c>
      <c r="H33" s="190">
        <v>5</v>
      </c>
      <c r="I33" s="190">
        <v>0</v>
      </c>
      <c r="J33" s="190">
        <v>116</v>
      </c>
      <c r="K33" s="190">
        <v>116</v>
      </c>
      <c r="L33" s="190">
        <v>0</v>
      </c>
      <c r="M33" s="190">
        <v>40</v>
      </c>
      <c r="N33" s="190">
        <v>40</v>
      </c>
      <c r="O33" s="190">
        <v>0</v>
      </c>
      <c r="P33" s="190">
        <v>76</v>
      </c>
      <c r="Q33" s="190">
        <v>76</v>
      </c>
      <c r="R33" s="190">
        <v>0</v>
      </c>
      <c r="S33" s="190">
        <v>4</v>
      </c>
      <c r="T33" s="190">
        <v>4</v>
      </c>
      <c r="U33" s="190">
        <v>0</v>
      </c>
      <c r="V33" s="190">
        <v>28</v>
      </c>
      <c r="W33" s="190">
        <v>28</v>
      </c>
      <c r="X33" s="190">
        <v>5</v>
      </c>
      <c r="Y33" s="190">
        <v>282</v>
      </c>
      <c r="Z33" s="190">
        <v>287</v>
      </c>
      <c r="AA33" s="190">
        <v>3</v>
      </c>
      <c r="AB33" s="190">
        <v>92</v>
      </c>
      <c r="AC33" s="190">
        <v>95</v>
      </c>
      <c r="AD33" s="190">
        <v>2</v>
      </c>
      <c r="AE33" s="190">
        <v>86</v>
      </c>
      <c r="AF33" s="190">
        <v>88</v>
      </c>
      <c r="AG33" s="190">
        <v>0</v>
      </c>
      <c r="AH33" s="190">
        <v>3</v>
      </c>
      <c r="AI33" s="190">
        <v>3</v>
      </c>
      <c r="AJ33" s="190">
        <v>1</v>
      </c>
      <c r="AK33" s="190">
        <v>3</v>
      </c>
      <c r="AL33" s="190">
        <v>4</v>
      </c>
      <c r="AM33" s="190">
        <v>2</v>
      </c>
      <c r="AN33" s="190">
        <v>190</v>
      </c>
      <c r="AO33" s="190">
        <v>192</v>
      </c>
      <c r="AP33" s="190">
        <v>297</v>
      </c>
      <c r="AQ33" s="190">
        <v>2893</v>
      </c>
      <c r="AR33" s="190">
        <v>3190</v>
      </c>
      <c r="AS33" s="190">
        <v>297</v>
      </c>
      <c r="AT33" s="190">
        <v>2894</v>
      </c>
      <c r="AU33" s="190">
        <v>3191</v>
      </c>
      <c r="AV33" s="190">
        <v>0</v>
      </c>
      <c r="AW33" s="190">
        <v>-1</v>
      </c>
      <c r="AX33" s="190">
        <v>-1</v>
      </c>
      <c r="AY33" s="190">
        <v>14</v>
      </c>
      <c r="AZ33" s="190">
        <v>282</v>
      </c>
      <c r="BA33" s="190">
        <v>296</v>
      </c>
      <c r="BB33" s="190">
        <v>4</v>
      </c>
      <c r="BC33" s="190">
        <v>1</v>
      </c>
      <c r="BD33" s="190">
        <v>0</v>
      </c>
      <c r="BE33" s="190">
        <v>136</v>
      </c>
      <c r="BF33" s="190">
        <v>2</v>
      </c>
      <c r="BG33" s="190">
        <v>0</v>
      </c>
      <c r="BH33" s="190">
        <v>5</v>
      </c>
      <c r="BI33" s="190">
        <v>138</v>
      </c>
      <c r="BJ33" s="190">
        <v>143</v>
      </c>
      <c r="BK33" s="190">
        <v>-4</v>
      </c>
      <c r="BL33" s="190">
        <v>4</v>
      </c>
      <c r="BM33" s="190">
        <v>0</v>
      </c>
      <c r="BN33" s="190">
        <v>2</v>
      </c>
      <c r="BO33" s="190">
        <v>8</v>
      </c>
      <c r="BP33" s="190">
        <v>10</v>
      </c>
      <c r="BQ33" s="190">
        <v>3</v>
      </c>
      <c r="BR33" s="190">
        <v>19</v>
      </c>
      <c r="BS33" s="190">
        <v>22</v>
      </c>
      <c r="BT33" s="190">
        <v>8</v>
      </c>
      <c r="BU33" s="190">
        <v>113</v>
      </c>
      <c r="BV33" s="190">
        <v>121</v>
      </c>
      <c r="BW33" s="190">
        <v>311</v>
      </c>
      <c r="BX33" s="190">
        <v>3175</v>
      </c>
      <c r="BY33" s="190">
        <v>3486</v>
      </c>
      <c r="BZ33" s="190">
        <v>303</v>
      </c>
      <c r="CA33" s="190">
        <v>3122</v>
      </c>
      <c r="CB33" s="190">
        <v>3425</v>
      </c>
      <c r="CC33" s="190">
        <v>7086</v>
      </c>
      <c r="CD33" s="190">
        <v>2</v>
      </c>
      <c r="CE33" s="190">
        <v>58</v>
      </c>
      <c r="CF33" s="190">
        <v>8</v>
      </c>
      <c r="CG33" s="190">
        <v>47</v>
      </c>
      <c r="CH33" s="190">
        <v>55</v>
      </c>
      <c r="CI33" s="190">
        <v>6</v>
      </c>
      <c r="CJ33" s="190">
        <v>0</v>
      </c>
      <c r="CK33" s="190">
        <v>0</v>
      </c>
      <c r="CL33" s="190">
        <v>6</v>
      </c>
      <c r="CM33" s="190">
        <v>6</v>
      </c>
      <c r="CN33" s="190">
        <v>16</v>
      </c>
      <c r="CO33" s="190">
        <v>313</v>
      </c>
      <c r="CP33" s="190">
        <v>329</v>
      </c>
      <c r="CQ33" s="190">
        <v>0</v>
      </c>
      <c r="CR33" s="190">
        <v>0</v>
      </c>
      <c r="CS33" s="190">
        <v>0</v>
      </c>
      <c r="CT33" s="190">
        <v>295</v>
      </c>
      <c r="CU33" s="190">
        <v>2862</v>
      </c>
      <c r="CV33" s="190">
        <v>3157</v>
      </c>
      <c r="CW33" s="190">
        <v>18</v>
      </c>
      <c r="CX33" s="190">
        <v>160</v>
      </c>
      <c r="CY33" s="190">
        <v>178</v>
      </c>
      <c r="CZ33" s="190">
        <v>18</v>
      </c>
      <c r="DA33" s="190">
        <v>0</v>
      </c>
      <c r="DB33" s="190">
        <v>0</v>
      </c>
      <c r="DC33" s="190">
        <v>157</v>
      </c>
      <c r="DD33" s="190">
        <v>1</v>
      </c>
      <c r="DE33" s="190">
        <v>0</v>
      </c>
      <c r="DF33" s="190">
        <v>18</v>
      </c>
      <c r="DG33" s="190">
        <v>158</v>
      </c>
      <c r="DH33" s="190">
        <v>176</v>
      </c>
      <c r="DI33" s="190">
        <v>0</v>
      </c>
      <c r="DJ33" s="190">
        <v>0</v>
      </c>
      <c r="DK33" s="190">
        <v>0</v>
      </c>
      <c r="DL33" s="190">
        <v>2</v>
      </c>
      <c r="DM33" s="190">
        <v>0</v>
      </c>
      <c r="DN33" s="190">
        <v>0</v>
      </c>
      <c r="DO33" s="190">
        <v>0</v>
      </c>
      <c r="DP33" s="190">
        <v>2</v>
      </c>
      <c r="DQ33" s="190">
        <v>2</v>
      </c>
      <c r="DR33" s="190">
        <v>0</v>
      </c>
      <c r="DS33" s="190">
        <v>2</v>
      </c>
      <c r="DT33" s="191">
        <v>2</v>
      </c>
      <c r="DV33" s="192"/>
      <c r="DW33" s="193"/>
      <c r="DX33" s="192"/>
      <c r="DY33" s="192"/>
    </row>
    <row r="34" spans="1:129" s="172" customFormat="1">
      <c r="A34" s="189" t="s">
        <v>299</v>
      </c>
      <c r="B34" s="190">
        <v>333</v>
      </c>
      <c r="C34" s="190">
        <v>79</v>
      </c>
      <c r="D34" s="190">
        <v>352</v>
      </c>
      <c r="E34" s="190">
        <v>226</v>
      </c>
      <c r="F34" s="190">
        <v>1</v>
      </c>
      <c r="G34" s="190">
        <v>37</v>
      </c>
      <c r="H34" s="190">
        <v>38</v>
      </c>
      <c r="I34" s="190">
        <v>0</v>
      </c>
      <c r="J34" s="190">
        <v>104</v>
      </c>
      <c r="K34" s="190">
        <v>104</v>
      </c>
      <c r="L34" s="190">
        <v>0</v>
      </c>
      <c r="M34" s="190">
        <v>55</v>
      </c>
      <c r="N34" s="190">
        <v>55</v>
      </c>
      <c r="O34" s="190">
        <v>0</v>
      </c>
      <c r="P34" s="190">
        <v>49</v>
      </c>
      <c r="Q34" s="190">
        <v>49</v>
      </c>
      <c r="R34" s="190">
        <v>0</v>
      </c>
      <c r="S34" s="190">
        <v>9</v>
      </c>
      <c r="T34" s="190">
        <v>9</v>
      </c>
      <c r="U34" s="190">
        <v>0</v>
      </c>
      <c r="V34" s="190">
        <v>22</v>
      </c>
      <c r="W34" s="190">
        <v>22</v>
      </c>
      <c r="X34" s="190">
        <v>1</v>
      </c>
      <c r="Y34" s="190">
        <v>351</v>
      </c>
      <c r="Z34" s="190">
        <v>352</v>
      </c>
      <c r="AA34" s="190">
        <v>0</v>
      </c>
      <c r="AB34" s="190">
        <v>150</v>
      </c>
      <c r="AC34" s="190">
        <v>150</v>
      </c>
      <c r="AD34" s="190">
        <v>0</v>
      </c>
      <c r="AE34" s="190">
        <v>129</v>
      </c>
      <c r="AF34" s="190">
        <v>129</v>
      </c>
      <c r="AG34" s="190">
        <v>0</v>
      </c>
      <c r="AH34" s="190">
        <v>4</v>
      </c>
      <c r="AI34" s="190">
        <v>4</v>
      </c>
      <c r="AJ34" s="190">
        <v>0</v>
      </c>
      <c r="AK34" s="190">
        <v>17</v>
      </c>
      <c r="AL34" s="190">
        <v>17</v>
      </c>
      <c r="AM34" s="190">
        <v>1</v>
      </c>
      <c r="AN34" s="190">
        <v>201</v>
      </c>
      <c r="AO34" s="190">
        <v>202</v>
      </c>
      <c r="AP34" s="190">
        <v>227</v>
      </c>
      <c r="AQ34" s="190">
        <v>3823</v>
      </c>
      <c r="AR34" s="190">
        <v>4050</v>
      </c>
      <c r="AS34" s="190">
        <v>227</v>
      </c>
      <c r="AT34" s="190">
        <v>3823</v>
      </c>
      <c r="AU34" s="190">
        <v>4050</v>
      </c>
      <c r="AV34" s="190">
        <v>0</v>
      </c>
      <c r="AW34" s="190">
        <v>0</v>
      </c>
      <c r="AX34" s="190">
        <v>0</v>
      </c>
      <c r="AY34" s="190">
        <v>1</v>
      </c>
      <c r="AZ34" s="190">
        <v>361</v>
      </c>
      <c r="BA34" s="190">
        <v>362</v>
      </c>
      <c r="BB34" s="190">
        <v>1</v>
      </c>
      <c r="BC34" s="190">
        <v>0</v>
      </c>
      <c r="BD34" s="190">
        <v>0</v>
      </c>
      <c r="BE34" s="190">
        <v>225</v>
      </c>
      <c r="BF34" s="190">
        <v>0</v>
      </c>
      <c r="BG34" s="190">
        <v>0</v>
      </c>
      <c r="BH34" s="190">
        <v>1</v>
      </c>
      <c r="BI34" s="190">
        <v>225</v>
      </c>
      <c r="BJ34" s="190">
        <v>226</v>
      </c>
      <c r="BK34" s="190">
        <v>-4</v>
      </c>
      <c r="BL34" s="190">
        <v>4</v>
      </c>
      <c r="BM34" s="190">
        <v>0</v>
      </c>
      <c r="BN34" s="190">
        <v>2</v>
      </c>
      <c r="BO34" s="190">
        <v>10</v>
      </c>
      <c r="BP34" s="190">
        <v>12</v>
      </c>
      <c r="BQ34" s="190">
        <v>1</v>
      </c>
      <c r="BR34" s="190">
        <v>31</v>
      </c>
      <c r="BS34" s="190">
        <v>32</v>
      </c>
      <c r="BT34" s="190">
        <v>1</v>
      </c>
      <c r="BU34" s="190">
        <v>91</v>
      </c>
      <c r="BV34" s="190">
        <v>92</v>
      </c>
      <c r="BW34" s="190">
        <v>228</v>
      </c>
      <c r="BX34" s="190">
        <v>4184</v>
      </c>
      <c r="BY34" s="190">
        <v>4412</v>
      </c>
      <c r="BZ34" s="190">
        <v>228</v>
      </c>
      <c r="CA34" s="190">
        <v>4176</v>
      </c>
      <c r="CB34" s="190">
        <v>4404</v>
      </c>
      <c r="CC34" s="190">
        <v>7643</v>
      </c>
      <c r="CD34" s="190">
        <v>0</v>
      </c>
      <c r="CE34" s="190">
        <v>7</v>
      </c>
      <c r="CF34" s="190">
        <v>0</v>
      </c>
      <c r="CG34" s="190">
        <v>6</v>
      </c>
      <c r="CH34" s="190">
        <v>6</v>
      </c>
      <c r="CI34" s="190">
        <v>2</v>
      </c>
      <c r="CJ34" s="190">
        <v>0</v>
      </c>
      <c r="CK34" s="190">
        <v>0</v>
      </c>
      <c r="CL34" s="190">
        <v>2</v>
      </c>
      <c r="CM34" s="190">
        <v>2</v>
      </c>
      <c r="CN34" s="190">
        <v>21</v>
      </c>
      <c r="CO34" s="190">
        <v>372</v>
      </c>
      <c r="CP34" s="190">
        <v>393</v>
      </c>
      <c r="CQ34" s="190">
        <v>0</v>
      </c>
      <c r="CR34" s="190">
        <v>0</v>
      </c>
      <c r="CS34" s="190">
        <v>0</v>
      </c>
      <c r="CT34" s="190">
        <v>207</v>
      </c>
      <c r="CU34" s="190">
        <v>3812</v>
      </c>
      <c r="CV34" s="190">
        <v>4019</v>
      </c>
      <c r="CW34" s="190">
        <v>11</v>
      </c>
      <c r="CX34" s="190">
        <v>125</v>
      </c>
      <c r="CY34" s="190">
        <v>136</v>
      </c>
      <c r="CZ34" s="190">
        <v>11</v>
      </c>
      <c r="DA34" s="190">
        <v>0</v>
      </c>
      <c r="DB34" s="190">
        <v>0</v>
      </c>
      <c r="DC34" s="190">
        <v>124</v>
      </c>
      <c r="DD34" s="190">
        <v>1</v>
      </c>
      <c r="DE34" s="190">
        <v>0</v>
      </c>
      <c r="DF34" s="190">
        <v>11</v>
      </c>
      <c r="DG34" s="190">
        <v>125</v>
      </c>
      <c r="DH34" s="190">
        <v>136</v>
      </c>
      <c r="DI34" s="190">
        <v>0</v>
      </c>
      <c r="DJ34" s="190">
        <v>0</v>
      </c>
      <c r="DK34" s="190">
        <v>0</v>
      </c>
      <c r="DL34" s="190">
        <v>0</v>
      </c>
      <c r="DM34" s="190">
        <v>0</v>
      </c>
      <c r="DN34" s="190">
        <v>0</v>
      </c>
      <c r="DO34" s="190">
        <v>0</v>
      </c>
      <c r="DP34" s="190">
        <v>0</v>
      </c>
      <c r="DQ34" s="190">
        <v>0</v>
      </c>
      <c r="DR34" s="190">
        <v>0</v>
      </c>
      <c r="DS34" s="190">
        <v>0</v>
      </c>
      <c r="DT34" s="191">
        <v>0</v>
      </c>
      <c r="DV34" s="192"/>
      <c r="DW34" s="193"/>
      <c r="DX34" s="192"/>
      <c r="DY34" s="192"/>
    </row>
    <row r="35" spans="1:129" s="172" customFormat="1">
      <c r="A35" s="189" t="s">
        <v>300</v>
      </c>
      <c r="B35" s="190">
        <v>7792</v>
      </c>
      <c r="C35" s="190">
        <v>2024</v>
      </c>
      <c r="D35" s="190">
        <v>7652</v>
      </c>
      <c r="E35" s="190">
        <v>5556</v>
      </c>
      <c r="F35" s="190">
        <v>4</v>
      </c>
      <c r="G35" s="190">
        <v>52</v>
      </c>
      <c r="H35" s="190">
        <v>56</v>
      </c>
      <c r="I35" s="190">
        <v>4</v>
      </c>
      <c r="J35" s="190">
        <v>1844</v>
      </c>
      <c r="K35" s="190">
        <v>1848</v>
      </c>
      <c r="L35" s="190">
        <v>4</v>
      </c>
      <c r="M35" s="190">
        <v>1831</v>
      </c>
      <c r="N35" s="190">
        <v>1835</v>
      </c>
      <c r="O35" s="190">
        <v>0</v>
      </c>
      <c r="P35" s="190">
        <v>13</v>
      </c>
      <c r="Q35" s="190">
        <v>13</v>
      </c>
      <c r="R35" s="190">
        <v>4</v>
      </c>
      <c r="S35" s="190">
        <v>153</v>
      </c>
      <c r="T35" s="190">
        <v>157</v>
      </c>
      <c r="U35" s="190">
        <v>0</v>
      </c>
      <c r="V35" s="190">
        <v>248</v>
      </c>
      <c r="W35" s="190">
        <v>248</v>
      </c>
      <c r="X35" s="190">
        <v>97</v>
      </c>
      <c r="Y35" s="190">
        <v>4832</v>
      </c>
      <c r="Z35" s="190">
        <v>4929</v>
      </c>
      <c r="AA35" s="190">
        <v>64</v>
      </c>
      <c r="AB35" s="190">
        <v>1775</v>
      </c>
      <c r="AC35" s="190">
        <v>1839</v>
      </c>
      <c r="AD35" s="190">
        <v>64</v>
      </c>
      <c r="AE35" s="190">
        <v>1775</v>
      </c>
      <c r="AF35" s="190">
        <v>1839</v>
      </c>
      <c r="AG35" s="190">
        <v>0</v>
      </c>
      <c r="AH35" s="190">
        <v>0</v>
      </c>
      <c r="AI35" s="190">
        <v>0</v>
      </c>
      <c r="AJ35" s="190">
        <v>0</v>
      </c>
      <c r="AK35" s="190">
        <v>0</v>
      </c>
      <c r="AL35" s="190">
        <v>0</v>
      </c>
      <c r="AM35" s="190">
        <v>33</v>
      </c>
      <c r="AN35" s="190">
        <v>3057</v>
      </c>
      <c r="AO35" s="190">
        <v>3090</v>
      </c>
      <c r="AP35" s="190">
        <v>10202</v>
      </c>
      <c r="AQ35" s="190">
        <v>103709</v>
      </c>
      <c r="AR35" s="190">
        <v>113911</v>
      </c>
      <c r="AS35" s="190">
        <v>10229</v>
      </c>
      <c r="AT35" s="190">
        <v>103500</v>
      </c>
      <c r="AU35" s="190">
        <v>113729</v>
      </c>
      <c r="AV35" s="190">
        <v>-27</v>
      </c>
      <c r="AW35" s="190">
        <v>209</v>
      </c>
      <c r="AX35" s="190">
        <v>182</v>
      </c>
      <c r="AY35" s="190">
        <v>453</v>
      </c>
      <c r="AZ35" s="190">
        <v>8633</v>
      </c>
      <c r="BA35" s="190">
        <v>9086</v>
      </c>
      <c r="BB35" s="190">
        <v>264</v>
      </c>
      <c r="BC35" s="190">
        <v>7</v>
      </c>
      <c r="BD35" s="190">
        <v>1</v>
      </c>
      <c r="BE35" s="190">
        <v>5105</v>
      </c>
      <c r="BF35" s="190">
        <v>101</v>
      </c>
      <c r="BG35" s="190">
        <v>78</v>
      </c>
      <c r="BH35" s="190">
        <v>272</v>
      </c>
      <c r="BI35" s="190">
        <v>5284</v>
      </c>
      <c r="BJ35" s="190">
        <v>5556</v>
      </c>
      <c r="BK35" s="190">
        <v>-141</v>
      </c>
      <c r="BL35" s="190">
        <v>141</v>
      </c>
      <c r="BM35" s="190">
        <v>0</v>
      </c>
      <c r="BN35" s="190">
        <v>13</v>
      </c>
      <c r="BO35" s="190">
        <v>55</v>
      </c>
      <c r="BP35" s="190">
        <v>68</v>
      </c>
      <c r="BQ35" s="190">
        <v>3</v>
      </c>
      <c r="BR35" s="190">
        <v>2</v>
      </c>
      <c r="BS35" s="190">
        <v>5</v>
      </c>
      <c r="BT35" s="190">
        <v>306</v>
      </c>
      <c r="BU35" s="190">
        <v>3151</v>
      </c>
      <c r="BV35" s="190">
        <v>3457</v>
      </c>
      <c r="BW35" s="190">
        <v>10655</v>
      </c>
      <c r="BX35" s="190">
        <v>112342</v>
      </c>
      <c r="BY35" s="190">
        <v>122997</v>
      </c>
      <c r="BZ35" s="190">
        <v>10450</v>
      </c>
      <c r="CA35" s="190">
        <v>109160</v>
      </c>
      <c r="CB35" s="190">
        <v>119610</v>
      </c>
      <c r="CC35" s="190">
        <v>252212</v>
      </c>
      <c r="CD35" s="190">
        <v>271</v>
      </c>
      <c r="CE35" s="190">
        <v>2933</v>
      </c>
      <c r="CF35" s="190">
        <v>201</v>
      </c>
      <c r="CG35" s="190">
        <v>2066</v>
      </c>
      <c r="CH35" s="190">
        <v>2267</v>
      </c>
      <c r="CI35" s="190">
        <v>1559</v>
      </c>
      <c r="CJ35" s="190">
        <v>8</v>
      </c>
      <c r="CK35" s="190">
        <v>4</v>
      </c>
      <c r="CL35" s="190">
        <v>1116</v>
      </c>
      <c r="CM35" s="190">
        <v>1120</v>
      </c>
      <c r="CN35" s="190">
        <v>578</v>
      </c>
      <c r="CO35" s="190">
        <v>8786</v>
      </c>
      <c r="CP35" s="190">
        <v>9364</v>
      </c>
      <c r="CQ35" s="190">
        <v>2</v>
      </c>
      <c r="CR35" s="190">
        <v>57</v>
      </c>
      <c r="CS35" s="190">
        <v>59</v>
      </c>
      <c r="CT35" s="190">
        <v>10077</v>
      </c>
      <c r="CU35" s="190">
        <v>103556</v>
      </c>
      <c r="CV35" s="190">
        <v>113633</v>
      </c>
      <c r="CW35" s="190">
        <v>680</v>
      </c>
      <c r="CX35" s="190">
        <v>5876</v>
      </c>
      <c r="CY35" s="190">
        <v>6556</v>
      </c>
      <c r="CZ35" s="190">
        <v>658</v>
      </c>
      <c r="DA35" s="190">
        <v>14</v>
      </c>
      <c r="DB35" s="190">
        <v>1</v>
      </c>
      <c r="DC35" s="190">
        <v>4714</v>
      </c>
      <c r="DD35" s="190">
        <v>104</v>
      </c>
      <c r="DE35" s="190">
        <v>39</v>
      </c>
      <c r="DF35" s="190">
        <v>673</v>
      </c>
      <c r="DG35" s="190">
        <v>4857</v>
      </c>
      <c r="DH35" s="190">
        <v>5530</v>
      </c>
      <c r="DI35" s="190">
        <v>7</v>
      </c>
      <c r="DJ35" s="190">
        <v>0</v>
      </c>
      <c r="DK35" s="190">
        <v>0</v>
      </c>
      <c r="DL35" s="190">
        <v>988</v>
      </c>
      <c r="DM35" s="190">
        <v>23</v>
      </c>
      <c r="DN35" s="190">
        <v>8</v>
      </c>
      <c r="DO35" s="190">
        <v>7</v>
      </c>
      <c r="DP35" s="190">
        <v>1019</v>
      </c>
      <c r="DQ35" s="190">
        <v>1026</v>
      </c>
      <c r="DR35" s="190">
        <v>0</v>
      </c>
      <c r="DS35" s="190">
        <v>0</v>
      </c>
      <c r="DT35" s="191">
        <v>0</v>
      </c>
      <c r="DV35" s="192"/>
      <c r="DW35" s="193"/>
      <c r="DX35" s="192"/>
      <c r="DY35" s="192"/>
    </row>
    <row r="36" spans="1:129" s="172" customFormat="1">
      <c r="A36" s="189" t="s">
        <v>301</v>
      </c>
      <c r="B36" s="190">
        <v>639</v>
      </c>
      <c r="C36" s="190">
        <v>274</v>
      </c>
      <c r="D36" s="190">
        <v>580</v>
      </c>
      <c r="E36" s="190">
        <v>306</v>
      </c>
      <c r="F36" s="190">
        <v>0</v>
      </c>
      <c r="G36" s="190">
        <v>0</v>
      </c>
      <c r="H36" s="190">
        <v>0</v>
      </c>
      <c r="I36" s="190">
        <v>0</v>
      </c>
      <c r="J36" s="190">
        <v>249</v>
      </c>
      <c r="K36" s="190">
        <v>249</v>
      </c>
      <c r="L36" s="190">
        <v>0</v>
      </c>
      <c r="M36" s="190">
        <v>67</v>
      </c>
      <c r="N36" s="190">
        <v>67</v>
      </c>
      <c r="O36" s="190">
        <v>0</v>
      </c>
      <c r="P36" s="190">
        <v>182</v>
      </c>
      <c r="Q36" s="190">
        <v>182</v>
      </c>
      <c r="R36" s="190">
        <v>0</v>
      </c>
      <c r="S36" s="190">
        <v>25</v>
      </c>
      <c r="T36" s="190">
        <v>25</v>
      </c>
      <c r="U36" s="190">
        <v>0</v>
      </c>
      <c r="V36" s="190">
        <v>25</v>
      </c>
      <c r="W36" s="190">
        <v>25</v>
      </c>
      <c r="X36" s="190">
        <v>6</v>
      </c>
      <c r="Y36" s="190">
        <v>374</v>
      </c>
      <c r="Z36" s="190">
        <v>380</v>
      </c>
      <c r="AA36" s="190">
        <v>2</v>
      </c>
      <c r="AB36" s="190">
        <v>190</v>
      </c>
      <c r="AC36" s="190">
        <v>192</v>
      </c>
      <c r="AD36" s="190">
        <v>2</v>
      </c>
      <c r="AE36" s="190">
        <v>182</v>
      </c>
      <c r="AF36" s="190">
        <v>184</v>
      </c>
      <c r="AG36" s="190">
        <v>0</v>
      </c>
      <c r="AH36" s="190">
        <v>5</v>
      </c>
      <c r="AI36" s="190">
        <v>5</v>
      </c>
      <c r="AJ36" s="190">
        <v>0</v>
      </c>
      <c r="AK36" s="190">
        <v>3</v>
      </c>
      <c r="AL36" s="190">
        <v>3</v>
      </c>
      <c r="AM36" s="190">
        <v>4</v>
      </c>
      <c r="AN36" s="190">
        <v>184</v>
      </c>
      <c r="AO36" s="190">
        <v>188</v>
      </c>
      <c r="AP36" s="190">
        <v>664</v>
      </c>
      <c r="AQ36" s="190">
        <v>7933</v>
      </c>
      <c r="AR36" s="190">
        <v>8597</v>
      </c>
      <c r="AS36" s="190">
        <v>638</v>
      </c>
      <c r="AT36" s="190">
        <v>7774</v>
      </c>
      <c r="AU36" s="190">
        <v>8412</v>
      </c>
      <c r="AV36" s="190">
        <v>26</v>
      </c>
      <c r="AW36" s="190">
        <v>159</v>
      </c>
      <c r="AX36" s="190">
        <v>185</v>
      </c>
      <c r="AY36" s="190">
        <v>14</v>
      </c>
      <c r="AZ36" s="190">
        <v>673</v>
      </c>
      <c r="BA36" s="190">
        <v>687</v>
      </c>
      <c r="BB36" s="190">
        <v>30</v>
      </c>
      <c r="BC36" s="190">
        <v>0</v>
      </c>
      <c r="BD36" s="190">
        <v>0</v>
      </c>
      <c r="BE36" s="190">
        <v>271</v>
      </c>
      <c r="BF36" s="190">
        <v>3</v>
      </c>
      <c r="BG36" s="190">
        <v>2</v>
      </c>
      <c r="BH36" s="190">
        <v>30</v>
      </c>
      <c r="BI36" s="190">
        <v>276</v>
      </c>
      <c r="BJ36" s="190">
        <v>306</v>
      </c>
      <c r="BK36" s="190">
        <v>-42</v>
      </c>
      <c r="BL36" s="190">
        <v>42</v>
      </c>
      <c r="BM36" s="190">
        <v>0</v>
      </c>
      <c r="BN36" s="190">
        <v>4</v>
      </c>
      <c r="BO36" s="190">
        <v>54</v>
      </c>
      <c r="BP36" s="190">
        <v>58</v>
      </c>
      <c r="BQ36" s="190">
        <v>5</v>
      </c>
      <c r="BR36" s="190">
        <v>114</v>
      </c>
      <c r="BS36" s="190">
        <v>119</v>
      </c>
      <c r="BT36" s="190">
        <v>17</v>
      </c>
      <c r="BU36" s="190">
        <v>187</v>
      </c>
      <c r="BV36" s="190">
        <v>204</v>
      </c>
      <c r="BW36" s="190">
        <v>678</v>
      </c>
      <c r="BX36" s="190">
        <v>8606</v>
      </c>
      <c r="BY36" s="190">
        <v>9284</v>
      </c>
      <c r="BZ36" s="190">
        <v>668</v>
      </c>
      <c r="CA36" s="190">
        <v>8528</v>
      </c>
      <c r="CB36" s="190">
        <v>9196</v>
      </c>
      <c r="CC36" s="190">
        <v>17088</v>
      </c>
      <c r="CD36" s="190">
        <v>7</v>
      </c>
      <c r="CE36" s="190">
        <v>65</v>
      </c>
      <c r="CF36" s="190">
        <v>8</v>
      </c>
      <c r="CG36" s="190">
        <v>44</v>
      </c>
      <c r="CH36" s="190">
        <v>52</v>
      </c>
      <c r="CI36" s="190">
        <v>51</v>
      </c>
      <c r="CJ36" s="190">
        <v>9</v>
      </c>
      <c r="CK36" s="190">
        <v>2</v>
      </c>
      <c r="CL36" s="190">
        <v>34</v>
      </c>
      <c r="CM36" s="190">
        <v>36</v>
      </c>
      <c r="CN36" s="190">
        <v>44</v>
      </c>
      <c r="CO36" s="190">
        <v>867</v>
      </c>
      <c r="CP36" s="190">
        <v>911</v>
      </c>
      <c r="CQ36" s="190">
        <v>0</v>
      </c>
      <c r="CR36" s="190">
        <v>6</v>
      </c>
      <c r="CS36" s="190">
        <v>6</v>
      </c>
      <c r="CT36" s="190">
        <v>634</v>
      </c>
      <c r="CU36" s="190">
        <v>7739</v>
      </c>
      <c r="CV36" s="190">
        <v>8373</v>
      </c>
      <c r="CW36" s="190">
        <v>35</v>
      </c>
      <c r="CX36" s="190">
        <v>293</v>
      </c>
      <c r="CY36" s="190">
        <v>328</v>
      </c>
      <c r="CZ36" s="190">
        <v>34</v>
      </c>
      <c r="DA36" s="190">
        <v>0</v>
      </c>
      <c r="DB36" s="190">
        <v>0</v>
      </c>
      <c r="DC36" s="190">
        <v>282</v>
      </c>
      <c r="DD36" s="190">
        <v>0</v>
      </c>
      <c r="DE36" s="190">
        <v>1</v>
      </c>
      <c r="DF36" s="190">
        <v>34</v>
      </c>
      <c r="DG36" s="190">
        <v>283</v>
      </c>
      <c r="DH36" s="190">
        <v>317</v>
      </c>
      <c r="DI36" s="190">
        <v>1</v>
      </c>
      <c r="DJ36" s="190">
        <v>0</v>
      </c>
      <c r="DK36" s="190">
        <v>0</v>
      </c>
      <c r="DL36" s="190">
        <v>10</v>
      </c>
      <c r="DM36" s="190">
        <v>0</v>
      </c>
      <c r="DN36" s="190">
        <v>0</v>
      </c>
      <c r="DO36" s="190">
        <v>1</v>
      </c>
      <c r="DP36" s="190">
        <v>10</v>
      </c>
      <c r="DQ36" s="190">
        <v>11</v>
      </c>
      <c r="DR36" s="190">
        <v>0</v>
      </c>
      <c r="DS36" s="190">
        <v>0</v>
      </c>
      <c r="DT36" s="191">
        <v>0</v>
      </c>
      <c r="DV36" s="192"/>
      <c r="DW36" s="193"/>
      <c r="DX36" s="192"/>
      <c r="DY36" s="192"/>
    </row>
    <row r="37" spans="1:129" s="172" customFormat="1">
      <c r="A37" s="189" t="s">
        <v>302</v>
      </c>
      <c r="B37" s="190">
        <v>89</v>
      </c>
      <c r="C37" s="190">
        <v>23</v>
      </c>
      <c r="D37" s="190">
        <v>96</v>
      </c>
      <c r="E37" s="190">
        <v>59</v>
      </c>
      <c r="F37" s="190">
        <v>0</v>
      </c>
      <c r="G37" s="190">
        <v>0</v>
      </c>
      <c r="H37" s="190">
        <v>0</v>
      </c>
      <c r="I37" s="190">
        <v>0</v>
      </c>
      <c r="J37" s="190">
        <v>35</v>
      </c>
      <c r="K37" s="190">
        <v>35</v>
      </c>
      <c r="L37" s="190">
        <v>0</v>
      </c>
      <c r="M37" s="190">
        <v>12</v>
      </c>
      <c r="N37" s="190">
        <v>12</v>
      </c>
      <c r="O37" s="190">
        <v>0</v>
      </c>
      <c r="P37" s="190">
        <v>23</v>
      </c>
      <c r="Q37" s="190">
        <v>23</v>
      </c>
      <c r="R37" s="190">
        <v>0</v>
      </c>
      <c r="S37" s="190">
        <v>0</v>
      </c>
      <c r="T37" s="190">
        <v>0</v>
      </c>
      <c r="U37" s="190">
        <v>0</v>
      </c>
      <c r="V37" s="190">
        <v>2</v>
      </c>
      <c r="W37" s="190">
        <v>2</v>
      </c>
      <c r="X37" s="190">
        <v>0</v>
      </c>
      <c r="Y37" s="190">
        <v>96</v>
      </c>
      <c r="Z37" s="190">
        <v>96</v>
      </c>
      <c r="AA37" s="190">
        <v>0</v>
      </c>
      <c r="AB37" s="190">
        <v>40</v>
      </c>
      <c r="AC37" s="190">
        <v>40</v>
      </c>
      <c r="AD37" s="190">
        <v>0</v>
      </c>
      <c r="AE37" s="190">
        <v>31</v>
      </c>
      <c r="AF37" s="190">
        <v>31</v>
      </c>
      <c r="AG37" s="190">
        <v>0</v>
      </c>
      <c r="AH37" s="190">
        <v>3</v>
      </c>
      <c r="AI37" s="190">
        <v>3</v>
      </c>
      <c r="AJ37" s="190">
        <v>0</v>
      </c>
      <c r="AK37" s="190">
        <v>6</v>
      </c>
      <c r="AL37" s="190">
        <v>6</v>
      </c>
      <c r="AM37" s="190">
        <v>0</v>
      </c>
      <c r="AN37" s="190">
        <v>56</v>
      </c>
      <c r="AO37" s="190">
        <v>56</v>
      </c>
      <c r="AP37" s="190">
        <v>66</v>
      </c>
      <c r="AQ37" s="190">
        <v>985</v>
      </c>
      <c r="AR37" s="190">
        <v>1051</v>
      </c>
      <c r="AS37" s="190">
        <v>66</v>
      </c>
      <c r="AT37" s="190">
        <v>985</v>
      </c>
      <c r="AU37" s="190">
        <v>1051</v>
      </c>
      <c r="AV37" s="190">
        <v>0</v>
      </c>
      <c r="AW37" s="190">
        <v>0</v>
      </c>
      <c r="AX37" s="190">
        <v>0</v>
      </c>
      <c r="AY37" s="190">
        <v>11</v>
      </c>
      <c r="AZ37" s="190">
        <v>87</v>
      </c>
      <c r="BA37" s="190">
        <v>98</v>
      </c>
      <c r="BB37" s="190">
        <v>1</v>
      </c>
      <c r="BC37" s="190">
        <v>0</v>
      </c>
      <c r="BD37" s="190">
        <v>0</v>
      </c>
      <c r="BE37" s="190">
        <v>58</v>
      </c>
      <c r="BF37" s="190">
        <v>0</v>
      </c>
      <c r="BG37" s="190">
        <v>0</v>
      </c>
      <c r="BH37" s="190">
        <v>1</v>
      </c>
      <c r="BI37" s="190">
        <v>58</v>
      </c>
      <c r="BJ37" s="190">
        <v>59</v>
      </c>
      <c r="BK37" s="190">
        <v>8</v>
      </c>
      <c r="BL37" s="190">
        <v>-8</v>
      </c>
      <c r="BM37" s="190">
        <v>0</v>
      </c>
      <c r="BN37" s="190">
        <v>0</v>
      </c>
      <c r="BO37" s="190">
        <v>2</v>
      </c>
      <c r="BP37" s="190">
        <v>2</v>
      </c>
      <c r="BQ37" s="190">
        <v>1</v>
      </c>
      <c r="BR37" s="190">
        <v>7</v>
      </c>
      <c r="BS37" s="190">
        <v>8</v>
      </c>
      <c r="BT37" s="190">
        <v>1</v>
      </c>
      <c r="BU37" s="190">
        <v>28</v>
      </c>
      <c r="BV37" s="190">
        <v>29</v>
      </c>
      <c r="BW37" s="190">
        <v>77</v>
      </c>
      <c r="BX37" s="190">
        <v>1072</v>
      </c>
      <c r="BY37" s="190">
        <v>1149</v>
      </c>
      <c r="BZ37" s="190">
        <v>77</v>
      </c>
      <c r="CA37" s="190">
        <v>1070</v>
      </c>
      <c r="CB37" s="190">
        <v>1147</v>
      </c>
      <c r="CC37" s="190">
        <v>2027</v>
      </c>
      <c r="CD37" s="190">
        <v>0</v>
      </c>
      <c r="CE37" s="190">
        <v>3</v>
      </c>
      <c r="CF37" s="190">
        <v>0</v>
      </c>
      <c r="CG37" s="190">
        <v>2</v>
      </c>
      <c r="CH37" s="190">
        <v>2</v>
      </c>
      <c r="CI37" s="190">
        <v>0</v>
      </c>
      <c r="CJ37" s="190">
        <v>0</v>
      </c>
      <c r="CK37" s="190">
        <v>0</v>
      </c>
      <c r="CL37" s="190">
        <v>0</v>
      </c>
      <c r="CM37" s="190">
        <v>0</v>
      </c>
      <c r="CN37" s="190">
        <v>3</v>
      </c>
      <c r="CO37" s="190">
        <v>110</v>
      </c>
      <c r="CP37" s="190">
        <v>113</v>
      </c>
      <c r="CQ37" s="190">
        <v>0</v>
      </c>
      <c r="CR37" s="190">
        <v>0</v>
      </c>
      <c r="CS37" s="190">
        <v>0</v>
      </c>
      <c r="CT37" s="190">
        <v>74</v>
      </c>
      <c r="CU37" s="190">
        <v>962</v>
      </c>
      <c r="CV37" s="190">
        <v>1036</v>
      </c>
      <c r="CW37" s="190">
        <v>5</v>
      </c>
      <c r="CX37" s="190">
        <v>44</v>
      </c>
      <c r="CY37" s="190">
        <v>49</v>
      </c>
      <c r="CZ37" s="190">
        <v>5</v>
      </c>
      <c r="DA37" s="190">
        <v>0</v>
      </c>
      <c r="DB37" s="190">
        <v>0</v>
      </c>
      <c r="DC37" s="190">
        <v>41</v>
      </c>
      <c r="DD37" s="190">
        <v>1</v>
      </c>
      <c r="DE37" s="190">
        <v>0</v>
      </c>
      <c r="DF37" s="190">
        <v>5</v>
      </c>
      <c r="DG37" s="190">
        <v>42</v>
      </c>
      <c r="DH37" s="190">
        <v>47</v>
      </c>
      <c r="DI37" s="190">
        <v>0</v>
      </c>
      <c r="DJ37" s="190">
        <v>0</v>
      </c>
      <c r="DK37" s="190">
        <v>0</v>
      </c>
      <c r="DL37" s="190">
        <v>2</v>
      </c>
      <c r="DM37" s="190">
        <v>0</v>
      </c>
      <c r="DN37" s="190">
        <v>0</v>
      </c>
      <c r="DO37" s="190">
        <v>0</v>
      </c>
      <c r="DP37" s="190">
        <v>2</v>
      </c>
      <c r="DQ37" s="190">
        <v>2</v>
      </c>
      <c r="DR37" s="190">
        <v>0</v>
      </c>
      <c r="DS37" s="190">
        <v>0</v>
      </c>
      <c r="DT37" s="191">
        <v>0</v>
      </c>
      <c r="DV37" s="192"/>
      <c r="DW37" s="193"/>
      <c r="DX37" s="192"/>
      <c r="DY37" s="192"/>
    </row>
    <row r="38" spans="1:129" s="172" customFormat="1">
      <c r="A38" s="189" t="s">
        <v>303</v>
      </c>
      <c r="B38" s="190">
        <v>9876</v>
      </c>
      <c r="C38" s="190">
        <v>2637</v>
      </c>
      <c r="D38" s="190">
        <v>10071</v>
      </c>
      <c r="E38" s="190">
        <v>6045</v>
      </c>
      <c r="F38" s="190">
        <v>1</v>
      </c>
      <c r="G38" s="190">
        <v>36</v>
      </c>
      <c r="H38" s="190">
        <v>37</v>
      </c>
      <c r="I38" s="190">
        <v>1</v>
      </c>
      <c r="J38" s="190">
        <v>3648</v>
      </c>
      <c r="K38" s="190">
        <v>3649</v>
      </c>
      <c r="L38" s="190">
        <v>1</v>
      </c>
      <c r="M38" s="190">
        <v>1603</v>
      </c>
      <c r="N38" s="190">
        <v>1604</v>
      </c>
      <c r="O38" s="190">
        <v>0</v>
      </c>
      <c r="P38" s="190">
        <v>2045</v>
      </c>
      <c r="Q38" s="190">
        <v>2045</v>
      </c>
      <c r="R38" s="190">
        <v>0</v>
      </c>
      <c r="S38" s="190">
        <v>21</v>
      </c>
      <c r="T38" s="190">
        <v>21</v>
      </c>
      <c r="U38" s="190">
        <v>0</v>
      </c>
      <c r="V38" s="190">
        <v>377</v>
      </c>
      <c r="W38" s="190">
        <v>377</v>
      </c>
      <c r="X38" s="190">
        <v>285</v>
      </c>
      <c r="Y38" s="190">
        <v>9782</v>
      </c>
      <c r="Z38" s="190">
        <v>10067</v>
      </c>
      <c r="AA38" s="190">
        <v>197</v>
      </c>
      <c r="AB38" s="190">
        <v>3935</v>
      </c>
      <c r="AC38" s="190">
        <v>4132</v>
      </c>
      <c r="AD38" s="190">
        <v>186</v>
      </c>
      <c r="AE38" s="190">
        <v>3713</v>
      </c>
      <c r="AF38" s="190">
        <v>3899</v>
      </c>
      <c r="AG38" s="190">
        <v>7</v>
      </c>
      <c r="AH38" s="190">
        <v>124</v>
      </c>
      <c r="AI38" s="190">
        <v>131</v>
      </c>
      <c r="AJ38" s="190">
        <v>4</v>
      </c>
      <c r="AK38" s="190">
        <v>98</v>
      </c>
      <c r="AL38" s="190">
        <v>102</v>
      </c>
      <c r="AM38" s="190">
        <v>88</v>
      </c>
      <c r="AN38" s="190">
        <v>5847</v>
      </c>
      <c r="AO38" s="190">
        <v>5935</v>
      </c>
      <c r="AP38" s="190">
        <v>14667</v>
      </c>
      <c r="AQ38" s="190">
        <v>105619</v>
      </c>
      <c r="AR38" s="190">
        <v>120286</v>
      </c>
      <c r="AS38" s="190">
        <v>14667</v>
      </c>
      <c r="AT38" s="190">
        <v>105620</v>
      </c>
      <c r="AU38" s="190">
        <v>120287</v>
      </c>
      <c r="AV38" s="190">
        <v>0</v>
      </c>
      <c r="AW38" s="190">
        <v>-1</v>
      </c>
      <c r="AX38" s="190">
        <v>-1</v>
      </c>
      <c r="AY38" s="190">
        <v>690</v>
      </c>
      <c r="AZ38" s="190">
        <v>9782</v>
      </c>
      <c r="BA38" s="190">
        <v>10472</v>
      </c>
      <c r="BB38" s="190">
        <v>319</v>
      </c>
      <c r="BC38" s="190">
        <v>2</v>
      </c>
      <c r="BD38" s="190">
        <v>2</v>
      </c>
      <c r="BE38" s="190">
        <v>5665</v>
      </c>
      <c r="BF38" s="190">
        <v>48</v>
      </c>
      <c r="BG38" s="190">
        <v>9</v>
      </c>
      <c r="BH38" s="190">
        <v>323</v>
      </c>
      <c r="BI38" s="190">
        <v>5722</v>
      </c>
      <c r="BJ38" s="190">
        <v>6045</v>
      </c>
      <c r="BK38" s="190">
        <v>-133</v>
      </c>
      <c r="BL38" s="190">
        <v>133</v>
      </c>
      <c r="BM38" s="190">
        <v>0</v>
      </c>
      <c r="BN38" s="190">
        <v>29</v>
      </c>
      <c r="BO38" s="190">
        <v>217</v>
      </c>
      <c r="BP38" s="190">
        <v>246</v>
      </c>
      <c r="BQ38" s="190">
        <v>101</v>
      </c>
      <c r="BR38" s="190">
        <v>1406</v>
      </c>
      <c r="BS38" s="190">
        <v>1507</v>
      </c>
      <c r="BT38" s="190">
        <v>370</v>
      </c>
      <c r="BU38" s="190">
        <v>2304</v>
      </c>
      <c r="BV38" s="190">
        <v>2674</v>
      </c>
      <c r="BW38" s="190">
        <v>15357</v>
      </c>
      <c r="BX38" s="190">
        <v>115401</v>
      </c>
      <c r="BY38" s="190">
        <v>130758</v>
      </c>
      <c r="BZ38" s="190">
        <v>15237</v>
      </c>
      <c r="CA38" s="190">
        <v>114354</v>
      </c>
      <c r="CB38" s="190">
        <v>129591</v>
      </c>
      <c r="CC38" s="190">
        <v>288293</v>
      </c>
      <c r="CD38" s="190">
        <v>119</v>
      </c>
      <c r="CE38" s="190">
        <v>958</v>
      </c>
      <c r="CF38" s="190">
        <v>108</v>
      </c>
      <c r="CG38" s="190">
        <v>860</v>
      </c>
      <c r="CH38" s="190">
        <v>968</v>
      </c>
      <c r="CI38" s="190">
        <v>228</v>
      </c>
      <c r="CJ38" s="190">
        <v>27</v>
      </c>
      <c r="CK38" s="190">
        <v>12</v>
      </c>
      <c r="CL38" s="190">
        <v>187</v>
      </c>
      <c r="CM38" s="190">
        <v>199</v>
      </c>
      <c r="CN38" s="190">
        <v>755</v>
      </c>
      <c r="CO38" s="190">
        <v>10181</v>
      </c>
      <c r="CP38" s="190">
        <v>10936</v>
      </c>
      <c r="CQ38" s="190">
        <v>0</v>
      </c>
      <c r="CR38" s="190">
        <v>115</v>
      </c>
      <c r="CS38" s="190">
        <v>115</v>
      </c>
      <c r="CT38" s="190">
        <v>14602</v>
      </c>
      <c r="CU38" s="190">
        <v>105220</v>
      </c>
      <c r="CV38" s="190">
        <v>119822</v>
      </c>
      <c r="CW38" s="190">
        <v>965</v>
      </c>
      <c r="CX38" s="190">
        <v>4538</v>
      </c>
      <c r="CY38" s="190">
        <v>5503</v>
      </c>
      <c r="CZ38" s="190">
        <v>951</v>
      </c>
      <c r="DA38" s="190">
        <v>12</v>
      </c>
      <c r="DB38" s="190">
        <v>0</v>
      </c>
      <c r="DC38" s="190">
        <v>4435</v>
      </c>
      <c r="DD38" s="190">
        <v>34</v>
      </c>
      <c r="DE38" s="190">
        <v>7</v>
      </c>
      <c r="DF38" s="190">
        <v>963</v>
      </c>
      <c r="DG38" s="190">
        <v>4476</v>
      </c>
      <c r="DH38" s="190">
        <v>5439</v>
      </c>
      <c r="DI38" s="190">
        <v>2</v>
      </c>
      <c r="DJ38" s="190">
        <v>0</v>
      </c>
      <c r="DK38" s="190">
        <v>0</v>
      </c>
      <c r="DL38" s="190">
        <v>62</v>
      </c>
      <c r="DM38" s="190">
        <v>0</v>
      </c>
      <c r="DN38" s="190">
        <v>0</v>
      </c>
      <c r="DO38" s="190">
        <v>2</v>
      </c>
      <c r="DP38" s="190">
        <v>62</v>
      </c>
      <c r="DQ38" s="190">
        <v>64</v>
      </c>
      <c r="DR38" s="190">
        <v>0</v>
      </c>
      <c r="DS38" s="190">
        <v>0</v>
      </c>
      <c r="DT38" s="191">
        <v>0</v>
      </c>
      <c r="DV38" s="192"/>
      <c r="DW38" s="193"/>
      <c r="DX38" s="192"/>
      <c r="DY38" s="192"/>
    </row>
    <row r="39" spans="1:129" s="172" customFormat="1">
      <c r="A39" s="189" t="s">
        <v>304</v>
      </c>
      <c r="B39" s="190">
        <v>7397</v>
      </c>
      <c r="C39" s="190">
        <v>2067</v>
      </c>
      <c r="D39" s="190">
        <v>6091</v>
      </c>
      <c r="E39" s="190">
        <v>3757</v>
      </c>
      <c r="F39" s="190">
        <v>6</v>
      </c>
      <c r="G39" s="190">
        <v>27</v>
      </c>
      <c r="H39" s="190">
        <v>33</v>
      </c>
      <c r="I39" s="190">
        <v>7</v>
      </c>
      <c r="J39" s="190">
        <v>2174</v>
      </c>
      <c r="K39" s="190">
        <v>2181</v>
      </c>
      <c r="L39" s="190">
        <v>2</v>
      </c>
      <c r="M39" s="190">
        <v>712</v>
      </c>
      <c r="N39" s="190">
        <v>714</v>
      </c>
      <c r="O39" s="190">
        <v>5</v>
      </c>
      <c r="P39" s="190">
        <v>1462</v>
      </c>
      <c r="Q39" s="190">
        <v>1467</v>
      </c>
      <c r="R39" s="190">
        <v>0</v>
      </c>
      <c r="S39" s="190">
        <v>68</v>
      </c>
      <c r="T39" s="190">
        <v>68</v>
      </c>
      <c r="U39" s="190">
        <v>0</v>
      </c>
      <c r="V39" s="190">
        <v>153</v>
      </c>
      <c r="W39" s="190">
        <v>153</v>
      </c>
      <c r="X39" s="190">
        <v>277</v>
      </c>
      <c r="Y39" s="190">
        <v>5814</v>
      </c>
      <c r="Z39" s="190">
        <v>6091</v>
      </c>
      <c r="AA39" s="190">
        <v>146</v>
      </c>
      <c r="AB39" s="190">
        <v>1576</v>
      </c>
      <c r="AC39" s="190">
        <v>1722</v>
      </c>
      <c r="AD39" s="190">
        <v>143</v>
      </c>
      <c r="AE39" s="190">
        <v>1556</v>
      </c>
      <c r="AF39" s="190">
        <v>1699</v>
      </c>
      <c r="AG39" s="190">
        <v>2</v>
      </c>
      <c r="AH39" s="190">
        <v>19</v>
      </c>
      <c r="AI39" s="190">
        <v>21</v>
      </c>
      <c r="AJ39" s="190">
        <v>1</v>
      </c>
      <c r="AK39" s="190">
        <v>1</v>
      </c>
      <c r="AL39" s="190">
        <v>2</v>
      </c>
      <c r="AM39" s="190">
        <v>131</v>
      </c>
      <c r="AN39" s="190">
        <v>4238</v>
      </c>
      <c r="AO39" s="190">
        <v>4369</v>
      </c>
      <c r="AP39" s="190">
        <v>13542</v>
      </c>
      <c r="AQ39" s="190">
        <v>79689</v>
      </c>
      <c r="AR39" s="190">
        <v>93231</v>
      </c>
      <c r="AS39" s="190">
        <v>13420</v>
      </c>
      <c r="AT39" s="190">
        <v>78893</v>
      </c>
      <c r="AU39" s="190">
        <v>92313</v>
      </c>
      <c r="AV39" s="190">
        <v>122</v>
      </c>
      <c r="AW39" s="190">
        <v>796</v>
      </c>
      <c r="AX39" s="190">
        <v>918</v>
      </c>
      <c r="AY39" s="190">
        <v>623</v>
      </c>
      <c r="AZ39" s="190">
        <v>7325</v>
      </c>
      <c r="BA39" s="190">
        <v>7948</v>
      </c>
      <c r="BB39" s="190">
        <v>380</v>
      </c>
      <c r="BC39" s="190">
        <v>27</v>
      </c>
      <c r="BD39" s="190">
        <v>2</v>
      </c>
      <c r="BE39" s="190">
        <v>3280</v>
      </c>
      <c r="BF39" s="190">
        <v>38</v>
      </c>
      <c r="BG39" s="190">
        <v>30</v>
      </c>
      <c r="BH39" s="190">
        <v>409</v>
      </c>
      <c r="BI39" s="190">
        <v>3348</v>
      </c>
      <c r="BJ39" s="190">
        <v>3757</v>
      </c>
      <c r="BK39" s="190">
        <v>-331</v>
      </c>
      <c r="BL39" s="190">
        <v>331</v>
      </c>
      <c r="BM39" s="190">
        <v>0</v>
      </c>
      <c r="BN39" s="190">
        <v>19</v>
      </c>
      <c r="BO39" s="190">
        <v>106</v>
      </c>
      <c r="BP39" s="190">
        <v>125</v>
      </c>
      <c r="BQ39" s="190">
        <v>57</v>
      </c>
      <c r="BR39" s="190">
        <v>687</v>
      </c>
      <c r="BS39" s="190">
        <v>744</v>
      </c>
      <c r="BT39" s="190">
        <v>469</v>
      </c>
      <c r="BU39" s="190">
        <v>2853</v>
      </c>
      <c r="BV39" s="190">
        <v>3322</v>
      </c>
      <c r="BW39" s="190">
        <v>14165</v>
      </c>
      <c r="BX39" s="190">
        <v>87014</v>
      </c>
      <c r="BY39" s="190">
        <v>101179</v>
      </c>
      <c r="BZ39" s="190">
        <v>13612</v>
      </c>
      <c r="CA39" s="190">
        <v>85335</v>
      </c>
      <c r="CB39" s="190">
        <v>98947</v>
      </c>
      <c r="CC39" s="190">
        <v>211842</v>
      </c>
      <c r="CD39" s="190">
        <v>126</v>
      </c>
      <c r="CE39" s="190">
        <v>2510</v>
      </c>
      <c r="CF39" s="190">
        <v>543</v>
      </c>
      <c r="CG39" s="190">
        <v>1090</v>
      </c>
      <c r="CH39" s="190">
        <v>1633</v>
      </c>
      <c r="CI39" s="190">
        <v>793</v>
      </c>
      <c r="CJ39" s="190">
        <v>24</v>
      </c>
      <c r="CK39" s="190">
        <v>10</v>
      </c>
      <c r="CL39" s="190">
        <v>589</v>
      </c>
      <c r="CM39" s="190">
        <v>599</v>
      </c>
      <c r="CN39" s="190">
        <v>907</v>
      </c>
      <c r="CO39" s="190">
        <v>8660</v>
      </c>
      <c r="CP39" s="190">
        <v>9567</v>
      </c>
      <c r="CQ39" s="190">
        <v>0</v>
      </c>
      <c r="CR39" s="190">
        <v>16</v>
      </c>
      <c r="CS39" s="190">
        <v>16</v>
      </c>
      <c r="CT39" s="190">
        <v>13258</v>
      </c>
      <c r="CU39" s="190">
        <v>78354</v>
      </c>
      <c r="CV39" s="190">
        <v>91612</v>
      </c>
      <c r="CW39" s="190">
        <v>799</v>
      </c>
      <c r="CX39" s="190">
        <v>3821</v>
      </c>
      <c r="CY39" s="190">
        <v>4620</v>
      </c>
      <c r="CZ39" s="190">
        <v>740</v>
      </c>
      <c r="DA39" s="190">
        <v>36</v>
      </c>
      <c r="DB39" s="190">
        <v>0</v>
      </c>
      <c r="DC39" s="190">
        <v>3503</v>
      </c>
      <c r="DD39" s="190">
        <v>48</v>
      </c>
      <c r="DE39" s="190">
        <v>15</v>
      </c>
      <c r="DF39" s="190">
        <v>776</v>
      </c>
      <c r="DG39" s="190">
        <v>3566</v>
      </c>
      <c r="DH39" s="190">
        <v>4342</v>
      </c>
      <c r="DI39" s="190">
        <v>23</v>
      </c>
      <c r="DJ39" s="190">
        <v>0</v>
      </c>
      <c r="DK39" s="190">
        <v>0</v>
      </c>
      <c r="DL39" s="190">
        <v>239</v>
      </c>
      <c r="DM39" s="190">
        <v>15</v>
      </c>
      <c r="DN39" s="190">
        <v>1</v>
      </c>
      <c r="DO39" s="190">
        <v>23</v>
      </c>
      <c r="DP39" s="190">
        <v>255</v>
      </c>
      <c r="DQ39" s="190">
        <v>278</v>
      </c>
      <c r="DR39" s="190">
        <v>0</v>
      </c>
      <c r="DS39" s="190">
        <v>0</v>
      </c>
      <c r="DT39" s="191">
        <v>0</v>
      </c>
      <c r="DV39" s="192"/>
      <c r="DW39" s="193"/>
      <c r="DX39" s="192"/>
      <c r="DY39" s="192"/>
    </row>
    <row r="40" spans="1:129" s="172" customFormat="1">
      <c r="A40" s="189" t="s">
        <v>305</v>
      </c>
      <c r="B40" s="190">
        <v>176</v>
      </c>
      <c r="C40" s="190">
        <v>30</v>
      </c>
      <c r="D40" s="190">
        <v>165</v>
      </c>
      <c r="E40" s="190">
        <v>97</v>
      </c>
      <c r="F40" s="190">
        <v>0</v>
      </c>
      <c r="G40" s="190">
        <v>5</v>
      </c>
      <c r="H40" s="190">
        <v>5</v>
      </c>
      <c r="I40" s="190">
        <v>0</v>
      </c>
      <c r="J40" s="190">
        <v>62</v>
      </c>
      <c r="K40" s="190">
        <v>62</v>
      </c>
      <c r="L40" s="190">
        <v>0</v>
      </c>
      <c r="M40" s="190">
        <v>17</v>
      </c>
      <c r="N40" s="190">
        <v>17</v>
      </c>
      <c r="O40" s="190">
        <v>0</v>
      </c>
      <c r="P40" s="190">
        <v>45</v>
      </c>
      <c r="Q40" s="190">
        <v>45</v>
      </c>
      <c r="R40" s="190">
        <v>0</v>
      </c>
      <c r="S40" s="190">
        <v>4</v>
      </c>
      <c r="T40" s="190">
        <v>4</v>
      </c>
      <c r="U40" s="190">
        <v>0</v>
      </c>
      <c r="V40" s="190">
        <v>6</v>
      </c>
      <c r="W40" s="190">
        <v>6</v>
      </c>
      <c r="X40" s="190">
        <v>8</v>
      </c>
      <c r="Y40" s="190">
        <v>157</v>
      </c>
      <c r="Z40" s="190">
        <v>165</v>
      </c>
      <c r="AA40" s="190">
        <v>6</v>
      </c>
      <c r="AB40" s="190">
        <v>50</v>
      </c>
      <c r="AC40" s="190">
        <v>56</v>
      </c>
      <c r="AD40" s="190">
        <v>6</v>
      </c>
      <c r="AE40" s="190">
        <v>47</v>
      </c>
      <c r="AF40" s="190">
        <v>53</v>
      </c>
      <c r="AG40" s="190">
        <v>0</v>
      </c>
      <c r="AH40" s="190">
        <v>1</v>
      </c>
      <c r="AI40" s="190">
        <v>1</v>
      </c>
      <c r="AJ40" s="190">
        <v>0</v>
      </c>
      <c r="AK40" s="190">
        <v>2</v>
      </c>
      <c r="AL40" s="190">
        <v>2</v>
      </c>
      <c r="AM40" s="190">
        <v>2</v>
      </c>
      <c r="AN40" s="190">
        <v>107</v>
      </c>
      <c r="AO40" s="190">
        <v>109</v>
      </c>
      <c r="AP40" s="190">
        <v>228</v>
      </c>
      <c r="AQ40" s="190">
        <v>1977</v>
      </c>
      <c r="AR40" s="190">
        <v>2205</v>
      </c>
      <c r="AS40" s="190">
        <v>228</v>
      </c>
      <c r="AT40" s="190">
        <v>1978</v>
      </c>
      <c r="AU40" s="190">
        <v>2206</v>
      </c>
      <c r="AV40" s="190">
        <v>0</v>
      </c>
      <c r="AW40" s="190">
        <v>-1</v>
      </c>
      <c r="AX40" s="190">
        <v>-1</v>
      </c>
      <c r="AY40" s="190">
        <v>19</v>
      </c>
      <c r="AZ40" s="190">
        <v>206</v>
      </c>
      <c r="BA40" s="190">
        <v>225</v>
      </c>
      <c r="BB40" s="190">
        <v>8</v>
      </c>
      <c r="BC40" s="190">
        <v>0</v>
      </c>
      <c r="BD40" s="190">
        <v>0</v>
      </c>
      <c r="BE40" s="190">
        <v>87</v>
      </c>
      <c r="BF40" s="190">
        <v>1</v>
      </c>
      <c r="BG40" s="190">
        <v>1</v>
      </c>
      <c r="BH40" s="190">
        <v>8</v>
      </c>
      <c r="BI40" s="190">
        <v>89</v>
      </c>
      <c r="BJ40" s="190">
        <v>97</v>
      </c>
      <c r="BK40" s="190">
        <v>0</v>
      </c>
      <c r="BL40" s="190">
        <v>0</v>
      </c>
      <c r="BM40" s="190">
        <v>0</v>
      </c>
      <c r="BN40" s="190">
        <v>4</v>
      </c>
      <c r="BO40" s="190">
        <v>12</v>
      </c>
      <c r="BP40" s="190">
        <v>16</v>
      </c>
      <c r="BQ40" s="190">
        <v>1</v>
      </c>
      <c r="BR40" s="190">
        <v>17</v>
      </c>
      <c r="BS40" s="190">
        <v>18</v>
      </c>
      <c r="BT40" s="190">
        <v>6</v>
      </c>
      <c r="BU40" s="190">
        <v>88</v>
      </c>
      <c r="BV40" s="190">
        <v>94</v>
      </c>
      <c r="BW40" s="190">
        <v>247</v>
      </c>
      <c r="BX40" s="190">
        <v>2183</v>
      </c>
      <c r="BY40" s="190">
        <v>2430</v>
      </c>
      <c r="BZ40" s="190">
        <v>245</v>
      </c>
      <c r="CA40" s="190">
        <v>2164</v>
      </c>
      <c r="CB40" s="190">
        <v>2409</v>
      </c>
      <c r="CC40" s="190">
        <v>5330</v>
      </c>
      <c r="CD40" s="190">
        <v>3</v>
      </c>
      <c r="CE40" s="190">
        <v>21</v>
      </c>
      <c r="CF40" s="190">
        <v>2</v>
      </c>
      <c r="CG40" s="190">
        <v>19</v>
      </c>
      <c r="CH40" s="190">
        <v>21</v>
      </c>
      <c r="CI40" s="190">
        <v>0</v>
      </c>
      <c r="CJ40" s="190">
        <v>0</v>
      </c>
      <c r="CK40" s="190">
        <v>0</v>
      </c>
      <c r="CL40" s="190">
        <v>0</v>
      </c>
      <c r="CM40" s="190">
        <v>0</v>
      </c>
      <c r="CN40" s="190">
        <v>14</v>
      </c>
      <c r="CO40" s="190">
        <v>257</v>
      </c>
      <c r="CP40" s="190">
        <v>271</v>
      </c>
      <c r="CQ40" s="190">
        <v>0</v>
      </c>
      <c r="CR40" s="190">
        <v>1</v>
      </c>
      <c r="CS40" s="190">
        <v>1</v>
      </c>
      <c r="CT40" s="190">
        <v>233</v>
      </c>
      <c r="CU40" s="190">
        <v>1926</v>
      </c>
      <c r="CV40" s="190">
        <v>2159</v>
      </c>
      <c r="CW40" s="190">
        <v>21</v>
      </c>
      <c r="CX40" s="190">
        <v>114</v>
      </c>
      <c r="CY40" s="190">
        <v>135</v>
      </c>
      <c r="CZ40" s="190">
        <v>20</v>
      </c>
      <c r="DA40" s="190">
        <v>0</v>
      </c>
      <c r="DB40" s="190">
        <v>0</v>
      </c>
      <c r="DC40" s="190">
        <v>108</v>
      </c>
      <c r="DD40" s="190">
        <v>1</v>
      </c>
      <c r="DE40" s="190">
        <v>0</v>
      </c>
      <c r="DF40" s="190">
        <v>20</v>
      </c>
      <c r="DG40" s="190">
        <v>109</v>
      </c>
      <c r="DH40" s="190">
        <v>129</v>
      </c>
      <c r="DI40" s="190">
        <v>1</v>
      </c>
      <c r="DJ40" s="190">
        <v>0</v>
      </c>
      <c r="DK40" s="190">
        <v>0</v>
      </c>
      <c r="DL40" s="190">
        <v>5</v>
      </c>
      <c r="DM40" s="190">
        <v>0</v>
      </c>
      <c r="DN40" s="190">
        <v>0</v>
      </c>
      <c r="DO40" s="190">
        <v>1</v>
      </c>
      <c r="DP40" s="190">
        <v>5</v>
      </c>
      <c r="DQ40" s="190">
        <v>6</v>
      </c>
      <c r="DR40" s="190">
        <v>0</v>
      </c>
      <c r="DS40" s="190">
        <v>0</v>
      </c>
      <c r="DT40" s="191">
        <v>0</v>
      </c>
      <c r="DV40" s="192"/>
      <c r="DW40" s="193"/>
      <c r="DX40" s="192"/>
      <c r="DY40" s="192"/>
    </row>
    <row r="41" spans="1:129" s="172" customFormat="1">
      <c r="A41" s="189" t="s">
        <v>306</v>
      </c>
      <c r="B41" s="190">
        <v>11469</v>
      </c>
      <c r="C41" s="190">
        <v>3030</v>
      </c>
      <c r="D41" s="190">
        <v>11662</v>
      </c>
      <c r="E41" s="190">
        <v>7958</v>
      </c>
      <c r="F41" s="190">
        <v>8</v>
      </c>
      <c r="G41" s="190">
        <v>56</v>
      </c>
      <c r="H41" s="190">
        <v>64</v>
      </c>
      <c r="I41" s="190">
        <v>7</v>
      </c>
      <c r="J41" s="190">
        <v>3386</v>
      </c>
      <c r="K41" s="190">
        <v>3393</v>
      </c>
      <c r="L41" s="190">
        <v>7</v>
      </c>
      <c r="M41" s="190">
        <v>1553</v>
      </c>
      <c r="N41" s="190">
        <v>1560</v>
      </c>
      <c r="O41" s="190">
        <v>0</v>
      </c>
      <c r="P41" s="190">
        <v>1833</v>
      </c>
      <c r="Q41" s="190">
        <v>1833</v>
      </c>
      <c r="R41" s="190">
        <v>0</v>
      </c>
      <c r="S41" s="190">
        <v>20</v>
      </c>
      <c r="T41" s="190">
        <v>20</v>
      </c>
      <c r="U41" s="190">
        <v>0</v>
      </c>
      <c r="V41" s="190">
        <v>311</v>
      </c>
      <c r="W41" s="190">
        <v>311</v>
      </c>
      <c r="X41" s="190">
        <v>397</v>
      </c>
      <c r="Y41" s="190">
        <v>11263</v>
      </c>
      <c r="Z41" s="190">
        <v>11660</v>
      </c>
      <c r="AA41" s="190">
        <v>265</v>
      </c>
      <c r="AB41" s="190">
        <v>5027</v>
      </c>
      <c r="AC41" s="190">
        <v>5292</v>
      </c>
      <c r="AD41" s="190">
        <v>249</v>
      </c>
      <c r="AE41" s="190">
        <v>4829</v>
      </c>
      <c r="AF41" s="190">
        <v>5078</v>
      </c>
      <c r="AG41" s="190">
        <v>10</v>
      </c>
      <c r="AH41" s="190">
        <v>116</v>
      </c>
      <c r="AI41" s="190">
        <v>126</v>
      </c>
      <c r="AJ41" s="190">
        <v>6</v>
      </c>
      <c r="AK41" s="190">
        <v>82</v>
      </c>
      <c r="AL41" s="190">
        <v>88</v>
      </c>
      <c r="AM41" s="190">
        <v>132</v>
      </c>
      <c r="AN41" s="190">
        <v>6236</v>
      </c>
      <c r="AO41" s="190">
        <v>6368</v>
      </c>
      <c r="AP41" s="190">
        <v>23412</v>
      </c>
      <c r="AQ41" s="190">
        <v>143082</v>
      </c>
      <c r="AR41" s="190">
        <v>166494</v>
      </c>
      <c r="AS41" s="190">
        <v>23412</v>
      </c>
      <c r="AT41" s="190">
        <v>143084</v>
      </c>
      <c r="AU41" s="190">
        <v>166496</v>
      </c>
      <c r="AV41" s="190">
        <v>0</v>
      </c>
      <c r="AW41" s="190">
        <v>-2</v>
      </c>
      <c r="AX41" s="190">
        <v>-2</v>
      </c>
      <c r="AY41" s="190">
        <v>1264</v>
      </c>
      <c r="AZ41" s="190">
        <v>11927</v>
      </c>
      <c r="BA41" s="190">
        <v>13191</v>
      </c>
      <c r="BB41" s="190">
        <v>475</v>
      </c>
      <c r="BC41" s="190">
        <v>3</v>
      </c>
      <c r="BD41" s="190">
        <v>0</v>
      </c>
      <c r="BE41" s="190">
        <v>7398</v>
      </c>
      <c r="BF41" s="190">
        <v>49</v>
      </c>
      <c r="BG41" s="190">
        <v>33</v>
      </c>
      <c r="BH41" s="190">
        <v>478</v>
      </c>
      <c r="BI41" s="190">
        <v>7480</v>
      </c>
      <c r="BJ41" s="190">
        <v>7958</v>
      </c>
      <c r="BK41" s="190">
        <v>-5</v>
      </c>
      <c r="BL41" s="190">
        <v>5</v>
      </c>
      <c r="BM41" s="190">
        <v>0</v>
      </c>
      <c r="BN41" s="190">
        <v>39</v>
      </c>
      <c r="BO41" s="190">
        <v>201</v>
      </c>
      <c r="BP41" s="190">
        <v>240</v>
      </c>
      <c r="BQ41" s="190">
        <v>79</v>
      </c>
      <c r="BR41" s="190">
        <v>1099</v>
      </c>
      <c r="BS41" s="190">
        <v>1178</v>
      </c>
      <c r="BT41" s="190">
        <v>673</v>
      </c>
      <c r="BU41" s="190">
        <v>3142</v>
      </c>
      <c r="BV41" s="190">
        <v>3815</v>
      </c>
      <c r="BW41" s="190">
        <v>24676</v>
      </c>
      <c r="BX41" s="190">
        <v>155009</v>
      </c>
      <c r="BY41" s="190">
        <v>179685</v>
      </c>
      <c r="BZ41" s="190">
        <v>24503</v>
      </c>
      <c r="CA41" s="190">
        <v>153687</v>
      </c>
      <c r="CB41" s="190">
        <v>178190</v>
      </c>
      <c r="CC41" s="190">
        <v>389873</v>
      </c>
      <c r="CD41" s="190">
        <v>106</v>
      </c>
      <c r="CE41" s="190">
        <v>1206</v>
      </c>
      <c r="CF41" s="190">
        <v>168</v>
      </c>
      <c r="CG41" s="190">
        <v>937</v>
      </c>
      <c r="CH41" s="190">
        <v>1105</v>
      </c>
      <c r="CI41" s="190">
        <v>443</v>
      </c>
      <c r="CJ41" s="190">
        <v>57</v>
      </c>
      <c r="CK41" s="190">
        <v>5</v>
      </c>
      <c r="CL41" s="190">
        <v>385</v>
      </c>
      <c r="CM41" s="190">
        <v>390</v>
      </c>
      <c r="CN41" s="190">
        <v>1435</v>
      </c>
      <c r="CO41" s="190">
        <v>13822</v>
      </c>
      <c r="CP41" s="190">
        <v>15257</v>
      </c>
      <c r="CQ41" s="190">
        <v>0</v>
      </c>
      <c r="CR41" s="190">
        <v>0</v>
      </c>
      <c r="CS41" s="190">
        <v>0</v>
      </c>
      <c r="CT41" s="190">
        <v>23241</v>
      </c>
      <c r="CU41" s="190">
        <v>141187</v>
      </c>
      <c r="CV41" s="190">
        <v>164428</v>
      </c>
      <c r="CW41" s="190">
        <v>1505</v>
      </c>
      <c r="CX41" s="190">
        <v>5650</v>
      </c>
      <c r="CY41" s="190">
        <v>7155</v>
      </c>
      <c r="CZ41" s="190">
        <v>1489</v>
      </c>
      <c r="DA41" s="190">
        <v>12</v>
      </c>
      <c r="DB41" s="190">
        <v>0</v>
      </c>
      <c r="DC41" s="190">
        <v>5538</v>
      </c>
      <c r="DD41" s="190">
        <v>39</v>
      </c>
      <c r="DE41" s="190">
        <v>8</v>
      </c>
      <c r="DF41" s="190">
        <v>1501</v>
      </c>
      <c r="DG41" s="190">
        <v>5585</v>
      </c>
      <c r="DH41" s="190">
        <v>7086</v>
      </c>
      <c r="DI41" s="190">
        <v>4</v>
      </c>
      <c r="DJ41" s="190">
        <v>0</v>
      </c>
      <c r="DK41" s="190">
        <v>0</v>
      </c>
      <c r="DL41" s="190">
        <v>62</v>
      </c>
      <c r="DM41" s="190">
        <v>3</v>
      </c>
      <c r="DN41" s="190">
        <v>0</v>
      </c>
      <c r="DO41" s="190">
        <v>4</v>
      </c>
      <c r="DP41" s="190">
        <v>65</v>
      </c>
      <c r="DQ41" s="190">
        <v>69</v>
      </c>
      <c r="DR41" s="190">
        <v>0</v>
      </c>
      <c r="DS41" s="190">
        <v>0</v>
      </c>
      <c r="DT41" s="191">
        <v>0</v>
      </c>
      <c r="DV41" s="192"/>
      <c r="DW41" s="193"/>
      <c r="DX41" s="192"/>
      <c r="DY41" s="192"/>
    </row>
    <row r="42" spans="1:129" s="172" customFormat="1">
      <c r="A42" s="189" t="s">
        <v>307</v>
      </c>
      <c r="B42" s="190">
        <v>11113</v>
      </c>
      <c r="C42" s="190">
        <v>3976</v>
      </c>
      <c r="D42" s="190">
        <v>11048</v>
      </c>
      <c r="E42" s="190">
        <v>6264</v>
      </c>
      <c r="F42" s="190">
        <v>5</v>
      </c>
      <c r="G42" s="190">
        <v>89</v>
      </c>
      <c r="H42" s="190">
        <v>94</v>
      </c>
      <c r="I42" s="190">
        <v>7</v>
      </c>
      <c r="J42" s="190">
        <v>4450</v>
      </c>
      <c r="K42" s="190">
        <v>4457</v>
      </c>
      <c r="L42" s="190">
        <v>7</v>
      </c>
      <c r="M42" s="190">
        <v>4439</v>
      </c>
      <c r="N42" s="190">
        <v>4446</v>
      </c>
      <c r="O42" s="190">
        <v>0</v>
      </c>
      <c r="P42" s="190">
        <v>11</v>
      </c>
      <c r="Q42" s="190">
        <v>11</v>
      </c>
      <c r="R42" s="190">
        <v>1</v>
      </c>
      <c r="S42" s="190">
        <v>447</v>
      </c>
      <c r="T42" s="190">
        <v>448</v>
      </c>
      <c r="U42" s="190">
        <v>0</v>
      </c>
      <c r="V42" s="190">
        <v>327</v>
      </c>
      <c r="W42" s="190">
        <v>327</v>
      </c>
      <c r="X42" s="190">
        <v>178</v>
      </c>
      <c r="Y42" s="190">
        <v>7265</v>
      </c>
      <c r="Z42" s="190">
        <v>7443</v>
      </c>
      <c r="AA42" s="190">
        <v>102</v>
      </c>
      <c r="AB42" s="190">
        <v>2494</v>
      </c>
      <c r="AC42" s="190">
        <v>2596</v>
      </c>
      <c r="AD42" s="190">
        <v>98</v>
      </c>
      <c r="AE42" s="190">
        <v>2453</v>
      </c>
      <c r="AF42" s="190">
        <v>2551</v>
      </c>
      <c r="AG42" s="190">
        <v>4</v>
      </c>
      <c r="AH42" s="190">
        <v>34</v>
      </c>
      <c r="AI42" s="190">
        <v>38</v>
      </c>
      <c r="AJ42" s="190">
        <v>0</v>
      </c>
      <c r="AK42" s="190">
        <v>7</v>
      </c>
      <c r="AL42" s="190">
        <v>7</v>
      </c>
      <c r="AM42" s="190">
        <v>76</v>
      </c>
      <c r="AN42" s="190">
        <v>4771</v>
      </c>
      <c r="AO42" s="190">
        <v>4847</v>
      </c>
      <c r="AP42" s="190">
        <v>12211</v>
      </c>
      <c r="AQ42" s="190">
        <v>118088</v>
      </c>
      <c r="AR42" s="190">
        <v>130299</v>
      </c>
      <c r="AS42" s="190">
        <v>12168</v>
      </c>
      <c r="AT42" s="190">
        <v>117345</v>
      </c>
      <c r="AU42" s="190">
        <v>129513</v>
      </c>
      <c r="AV42" s="190">
        <v>43</v>
      </c>
      <c r="AW42" s="190">
        <v>743</v>
      </c>
      <c r="AX42" s="190">
        <v>786</v>
      </c>
      <c r="AY42" s="190">
        <v>795</v>
      </c>
      <c r="AZ42" s="190">
        <v>10350</v>
      </c>
      <c r="BA42" s="190">
        <v>11145</v>
      </c>
      <c r="BB42" s="190">
        <v>264</v>
      </c>
      <c r="BC42" s="190">
        <v>6</v>
      </c>
      <c r="BD42" s="190">
        <v>2</v>
      </c>
      <c r="BE42" s="190">
        <v>5839</v>
      </c>
      <c r="BF42" s="190">
        <v>108</v>
      </c>
      <c r="BG42" s="190">
        <v>45</v>
      </c>
      <c r="BH42" s="190">
        <v>272</v>
      </c>
      <c r="BI42" s="190">
        <v>5992</v>
      </c>
      <c r="BJ42" s="190">
        <v>6264</v>
      </c>
      <c r="BK42" s="190">
        <v>50</v>
      </c>
      <c r="BL42" s="190">
        <v>-50</v>
      </c>
      <c r="BM42" s="190">
        <v>0</v>
      </c>
      <c r="BN42" s="190">
        <v>17</v>
      </c>
      <c r="BO42" s="190">
        <v>133</v>
      </c>
      <c r="BP42" s="190">
        <v>150</v>
      </c>
      <c r="BQ42" s="190">
        <v>20</v>
      </c>
      <c r="BR42" s="190">
        <v>306</v>
      </c>
      <c r="BS42" s="190">
        <v>326</v>
      </c>
      <c r="BT42" s="190">
        <v>436</v>
      </c>
      <c r="BU42" s="190">
        <v>3969</v>
      </c>
      <c r="BV42" s="190">
        <v>4405</v>
      </c>
      <c r="BW42" s="190">
        <v>13006</v>
      </c>
      <c r="BX42" s="190">
        <v>128438</v>
      </c>
      <c r="BY42" s="190">
        <v>141444</v>
      </c>
      <c r="BZ42" s="190">
        <v>12712</v>
      </c>
      <c r="CA42" s="190">
        <v>125931</v>
      </c>
      <c r="CB42" s="190">
        <v>138643</v>
      </c>
      <c r="CC42" s="190">
        <v>286047</v>
      </c>
      <c r="CD42" s="190">
        <v>260</v>
      </c>
      <c r="CE42" s="190">
        <v>2465</v>
      </c>
      <c r="CF42" s="190">
        <v>287</v>
      </c>
      <c r="CG42" s="190">
        <v>1742</v>
      </c>
      <c r="CH42" s="190">
        <v>2029</v>
      </c>
      <c r="CI42" s="190">
        <v>946</v>
      </c>
      <c r="CJ42" s="190">
        <v>57</v>
      </c>
      <c r="CK42" s="190">
        <v>7</v>
      </c>
      <c r="CL42" s="190">
        <v>765</v>
      </c>
      <c r="CM42" s="190">
        <v>772</v>
      </c>
      <c r="CN42" s="190">
        <v>844</v>
      </c>
      <c r="CO42" s="190">
        <v>12010</v>
      </c>
      <c r="CP42" s="190">
        <v>12854</v>
      </c>
      <c r="CQ42" s="190">
        <v>1</v>
      </c>
      <c r="CR42" s="190">
        <v>11</v>
      </c>
      <c r="CS42" s="190">
        <v>12</v>
      </c>
      <c r="CT42" s="190">
        <v>12162</v>
      </c>
      <c r="CU42" s="190">
        <v>116428</v>
      </c>
      <c r="CV42" s="190">
        <v>128590</v>
      </c>
      <c r="CW42" s="190">
        <v>869</v>
      </c>
      <c r="CX42" s="190">
        <v>5841</v>
      </c>
      <c r="CY42" s="190">
        <v>6710</v>
      </c>
      <c r="CZ42" s="190">
        <v>803</v>
      </c>
      <c r="DA42" s="190">
        <v>23</v>
      </c>
      <c r="DB42" s="190">
        <v>0</v>
      </c>
      <c r="DC42" s="190">
        <v>5109</v>
      </c>
      <c r="DD42" s="190">
        <v>86</v>
      </c>
      <c r="DE42" s="190">
        <v>21</v>
      </c>
      <c r="DF42" s="190">
        <v>826</v>
      </c>
      <c r="DG42" s="190">
        <v>5216</v>
      </c>
      <c r="DH42" s="190">
        <v>6042</v>
      </c>
      <c r="DI42" s="190">
        <v>42</v>
      </c>
      <c r="DJ42" s="190">
        <v>1</v>
      </c>
      <c r="DK42" s="190">
        <v>0</v>
      </c>
      <c r="DL42" s="190">
        <v>603</v>
      </c>
      <c r="DM42" s="190">
        <v>13</v>
      </c>
      <c r="DN42" s="190">
        <v>9</v>
      </c>
      <c r="DO42" s="190">
        <v>43</v>
      </c>
      <c r="DP42" s="190">
        <v>625</v>
      </c>
      <c r="DQ42" s="190">
        <v>668</v>
      </c>
      <c r="DR42" s="190">
        <v>0</v>
      </c>
      <c r="DS42" s="190">
        <v>0</v>
      </c>
      <c r="DT42" s="191">
        <v>0</v>
      </c>
      <c r="DV42" s="192"/>
      <c r="DW42" s="193"/>
      <c r="DX42" s="192"/>
      <c r="DY42" s="192"/>
    </row>
    <row r="43" spans="1:129" s="172" customFormat="1">
      <c r="A43" s="189" t="s">
        <v>308</v>
      </c>
      <c r="B43" s="190">
        <v>2753</v>
      </c>
      <c r="C43" s="190">
        <v>795</v>
      </c>
      <c r="D43" s="190">
        <v>2264</v>
      </c>
      <c r="E43" s="190">
        <v>1504</v>
      </c>
      <c r="F43" s="190">
        <v>3</v>
      </c>
      <c r="G43" s="190">
        <v>24</v>
      </c>
      <c r="H43" s="190">
        <v>27</v>
      </c>
      <c r="I43" s="190">
        <v>0</v>
      </c>
      <c r="J43" s="190">
        <v>678</v>
      </c>
      <c r="K43" s="190">
        <v>678</v>
      </c>
      <c r="L43" s="190">
        <v>0</v>
      </c>
      <c r="M43" s="190">
        <v>266</v>
      </c>
      <c r="N43" s="190">
        <v>266</v>
      </c>
      <c r="O43" s="190">
        <v>0</v>
      </c>
      <c r="P43" s="190">
        <v>412</v>
      </c>
      <c r="Q43" s="190">
        <v>412</v>
      </c>
      <c r="R43" s="190">
        <v>0</v>
      </c>
      <c r="S43" s="190">
        <v>42</v>
      </c>
      <c r="T43" s="190">
        <v>42</v>
      </c>
      <c r="U43" s="190">
        <v>0</v>
      </c>
      <c r="V43" s="190">
        <v>82</v>
      </c>
      <c r="W43" s="190">
        <v>82</v>
      </c>
      <c r="X43" s="190">
        <v>46</v>
      </c>
      <c r="Y43" s="190">
        <v>1591</v>
      </c>
      <c r="Z43" s="190">
        <v>1637</v>
      </c>
      <c r="AA43" s="190">
        <v>35</v>
      </c>
      <c r="AB43" s="190">
        <v>653</v>
      </c>
      <c r="AC43" s="190">
        <v>688</v>
      </c>
      <c r="AD43" s="190">
        <v>34</v>
      </c>
      <c r="AE43" s="190">
        <v>616</v>
      </c>
      <c r="AF43" s="190">
        <v>650</v>
      </c>
      <c r="AG43" s="190">
        <v>0</v>
      </c>
      <c r="AH43" s="190">
        <v>21</v>
      </c>
      <c r="AI43" s="190">
        <v>21</v>
      </c>
      <c r="AJ43" s="190">
        <v>1</v>
      </c>
      <c r="AK43" s="190">
        <v>16</v>
      </c>
      <c r="AL43" s="190">
        <v>17</v>
      </c>
      <c r="AM43" s="190">
        <v>11</v>
      </c>
      <c r="AN43" s="190">
        <v>938</v>
      </c>
      <c r="AO43" s="190">
        <v>949</v>
      </c>
      <c r="AP43" s="190">
        <v>2140</v>
      </c>
      <c r="AQ43" s="190">
        <v>29780</v>
      </c>
      <c r="AR43" s="190">
        <v>31920</v>
      </c>
      <c r="AS43" s="190">
        <v>2117</v>
      </c>
      <c r="AT43" s="190">
        <v>29733</v>
      </c>
      <c r="AU43" s="190">
        <v>31850</v>
      </c>
      <c r="AV43" s="190">
        <v>23</v>
      </c>
      <c r="AW43" s="190">
        <v>47</v>
      </c>
      <c r="AX43" s="190">
        <v>70</v>
      </c>
      <c r="AY43" s="190">
        <v>141</v>
      </c>
      <c r="AZ43" s="190">
        <v>2628</v>
      </c>
      <c r="BA43" s="190">
        <v>2769</v>
      </c>
      <c r="BB43" s="190">
        <v>54</v>
      </c>
      <c r="BC43" s="190">
        <v>2</v>
      </c>
      <c r="BD43" s="190">
        <v>0</v>
      </c>
      <c r="BE43" s="190">
        <v>1349</v>
      </c>
      <c r="BF43" s="190">
        <v>37</v>
      </c>
      <c r="BG43" s="190">
        <v>62</v>
      </c>
      <c r="BH43" s="190">
        <v>56</v>
      </c>
      <c r="BI43" s="190">
        <v>1448</v>
      </c>
      <c r="BJ43" s="190">
        <v>1504</v>
      </c>
      <c r="BK43" s="190">
        <v>-41</v>
      </c>
      <c r="BL43" s="190">
        <v>41</v>
      </c>
      <c r="BM43" s="190">
        <v>0</v>
      </c>
      <c r="BN43" s="190">
        <v>7</v>
      </c>
      <c r="BO43" s="190">
        <v>43</v>
      </c>
      <c r="BP43" s="190">
        <v>50</v>
      </c>
      <c r="BQ43" s="190">
        <v>28</v>
      </c>
      <c r="BR43" s="190">
        <v>272</v>
      </c>
      <c r="BS43" s="190">
        <v>300</v>
      </c>
      <c r="BT43" s="190">
        <v>91</v>
      </c>
      <c r="BU43" s="190">
        <v>824</v>
      </c>
      <c r="BV43" s="190">
        <v>915</v>
      </c>
      <c r="BW43" s="190">
        <v>2281</v>
      </c>
      <c r="BX43" s="190">
        <v>32408</v>
      </c>
      <c r="BY43" s="190">
        <v>34689</v>
      </c>
      <c r="BZ43" s="190">
        <v>2138</v>
      </c>
      <c r="CA43" s="190">
        <v>30687</v>
      </c>
      <c r="CB43" s="190">
        <v>32825</v>
      </c>
      <c r="CC43" s="190">
        <v>51650</v>
      </c>
      <c r="CD43" s="190">
        <v>90</v>
      </c>
      <c r="CE43" s="190">
        <v>1200</v>
      </c>
      <c r="CF43" s="190">
        <v>137</v>
      </c>
      <c r="CG43" s="190">
        <v>810</v>
      </c>
      <c r="CH43" s="190">
        <v>947</v>
      </c>
      <c r="CI43" s="190">
        <v>1228</v>
      </c>
      <c r="CJ43" s="190">
        <v>70</v>
      </c>
      <c r="CK43" s="190">
        <v>6</v>
      </c>
      <c r="CL43" s="190">
        <v>911</v>
      </c>
      <c r="CM43" s="190">
        <v>917</v>
      </c>
      <c r="CN43" s="190">
        <v>160</v>
      </c>
      <c r="CO43" s="190">
        <v>2666</v>
      </c>
      <c r="CP43" s="190">
        <v>2826</v>
      </c>
      <c r="CQ43" s="190">
        <v>0</v>
      </c>
      <c r="CR43" s="190">
        <v>0</v>
      </c>
      <c r="CS43" s="190">
        <v>0</v>
      </c>
      <c r="CT43" s="190">
        <v>2121</v>
      </c>
      <c r="CU43" s="190">
        <v>29742</v>
      </c>
      <c r="CV43" s="190">
        <v>31863</v>
      </c>
      <c r="CW43" s="190">
        <v>125</v>
      </c>
      <c r="CX43" s="190">
        <v>1018</v>
      </c>
      <c r="CY43" s="190">
        <v>1143</v>
      </c>
      <c r="CZ43" s="190">
        <v>113</v>
      </c>
      <c r="DA43" s="190">
        <v>11</v>
      </c>
      <c r="DB43" s="190">
        <v>0</v>
      </c>
      <c r="DC43" s="190">
        <v>912</v>
      </c>
      <c r="DD43" s="190">
        <v>45</v>
      </c>
      <c r="DE43" s="190">
        <v>31</v>
      </c>
      <c r="DF43" s="190">
        <v>124</v>
      </c>
      <c r="DG43" s="190">
        <v>988</v>
      </c>
      <c r="DH43" s="190">
        <v>1112</v>
      </c>
      <c r="DI43" s="190">
        <v>1</v>
      </c>
      <c r="DJ43" s="190">
        <v>0</v>
      </c>
      <c r="DK43" s="190">
        <v>0</v>
      </c>
      <c r="DL43" s="190">
        <v>29</v>
      </c>
      <c r="DM43" s="190">
        <v>1</v>
      </c>
      <c r="DN43" s="190">
        <v>0</v>
      </c>
      <c r="DO43" s="190">
        <v>1</v>
      </c>
      <c r="DP43" s="190">
        <v>30</v>
      </c>
      <c r="DQ43" s="190">
        <v>31</v>
      </c>
      <c r="DR43" s="190">
        <v>1</v>
      </c>
      <c r="DS43" s="190">
        <v>2</v>
      </c>
      <c r="DT43" s="191">
        <v>3</v>
      </c>
      <c r="DV43" s="192"/>
      <c r="DW43" s="193"/>
      <c r="DX43" s="192"/>
      <c r="DY43" s="192"/>
    </row>
    <row r="44" spans="1:129" s="172" customFormat="1">
      <c r="A44" s="189" t="s">
        <v>309</v>
      </c>
      <c r="B44" s="190">
        <v>2936</v>
      </c>
      <c r="C44" s="190">
        <v>1000</v>
      </c>
      <c r="D44" s="190">
        <v>3083</v>
      </c>
      <c r="E44" s="190">
        <v>1856</v>
      </c>
      <c r="F44" s="190">
        <v>7</v>
      </c>
      <c r="G44" s="190">
        <v>39</v>
      </c>
      <c r="H44" s="190">
        <v>46</v>
      </c>
      <c r="I44" s="190">
        <v>1</v>
      </c>
      <c r="J44" s="190">
        <v>1080</v>
      </c>
      <c r="K44" s="190">
        <v>1081</v>
      </c>
      <c r="L44" s="190">
        <v>1</v>
      </c>
      <c r="M44" s="190">
        <v>496</v>
      </c>
      <c r="N44" s="190">
        <v>497</v>
      </c>
      <c r="O44" s="190">
        <v>0</v>
      </c>
      <c r="P44" s="190">
        <v>584</v>
      </c>
      <c r="Q44" s="190">
        <v>584</v>
      </c>
      <c r="R44" s="190">
        <v>0</v>
      </c>
      <c r="S44" s="190">
        <v>21</v>
      </c>
      <c r="T44" s="190">
        <v>21</v>
      </c>
      <c r="U44" s="190">
        <v>0</v>
      </c>
      <c r="V44" s="190">
        <v>146</v>
      </c>
      <c r="W44" s="190">
        <v>146</v>
      </c>
      <c r="X44" s="190">
        <v>105</v>
      </c>
      <c r="Y44" s="190">
        <v>2973</v>
      </c>
      <c r="Z44" s="190">
        <v>3078</v>
      </c>
      <c r="AA44" s="190">
        <v>76</v>
      </c>
      <c r="AB44" s="190">
        <v>1105</v>
      </c>
      <c r="AC44" s="190">
        <v>1181</v>
      </c>
      <c r="AD44" s="190">
        <v>70</v>
      </c>
      <c r="AE44" s="190">
        <v>1017</v>
      </c>
      <c r="AF44" s="190">
        <v>1087</v>
      </c>
      <c r="AG44" s="190">
        <v>4</v>
      </c>
      <c r="AH44" s="190">
        <v>38</v>
      </c>
      <c r="AI44" s="190">
        <v>42</v>
      </c>
      <c r="AJ44" s="190">
        <v>2</v>
      </c>
      <c r="AK44" s="190">
        <v>50</v>
      </c>
      <c r="AL44" s="190">
        <v>52</v>
      </c>
      <c r="AM44" s="190">
        <v>29</v>
      </c>
      <c r="AN44" s="190">
        <v>1868</v>
      </c>
      <c r="AO44" s="190">
        <v>1897</v>
      </c>
      <c r="AP44" s="190">
        <v>6816</v>
      </c>
      <c r="AQ44" s="190">
        <v>40880</v>
      </c>
      <c r="AR44" s="190">
        <v>47696</v>
      </c>
      <c r="AS44" s="190">
        <v>6816</v>
      </c>
      <c r="AT44" s="190">
        <v>40880</v>
      </c>
      <c r="AU44" s="190">
        <v>47696</v>
      </c>
      <c r="AV44" s="190">
        <v>0</v>
      </c>
      <c r="AW44" s="190">
        <v>0</v>
      </c>
      <c r="AX44" s="190">
        <v>0</v>
      </c>
      <c r="AY44" s="190">
        <v>169</v>
      </c>
      <c r="AZ44" s="190">
        <v>3287</v>
      </c>
      <c r="BA44" s="190">
        <v>3456</v>
      </c>
      <c r="BB44" s="190">
        <v>137</v>
      </c>
      <c r="BC44" s="190">
        <v>3</v>
      </c>
      <c r="BD44" s="190">
        <v>1</v>
      </c>
      <c r="BE44" s="190">
        <v>1683</v>
      </c>
      <c r="BF44" s="190">
        <v>27</v>
      </c>
      <c r="BG44" s="190">
        <v>5</v>
      </c>
      <c r="BH44" s="190">
        <v>141</v>
      </c>
      <c r="BI44" s="190">
        <v>1715</v>
      </c>
      <c r="BJ44" s="190">
        <v>1856</v>
      </c>
      <c r="BK44" s="190">
        <v>-180</v>
      </c>
      <c r="BL44" s="190">
        <v>180</v>
      </c>
      <c r="BM44" s="190">
        <v>0</v>
      </c>
      <c r="BN44" s="190">
        <v>29</v>
      </c>
      <c r="BO44" s="190">
        <v>103</v>
      </c>
      <c r="BP44" s="190">
        <v>132</v>
      </c>
      <c r="BQ44" s="190">
        <v>44</v>
      </c>
      <c r="BR44" s="190">
        <v>469</v>
      </c>
      <c r="BS44" s="190">
        <v>513</v>
      </c>
      <c r="BT44" s="190">
        <v>135</v>
      </c>
      <c r="BU44" s="190">
        <v>820</v>
      </c>
      <c r="BV44" s="190">
        <v>955</v>
      </c>
      <c r="BW44" s="190">
        <v>6985</v>
      </c>
      <c r="BX44" s="190">
        <v>44167</v>
      </c>
      <c r="BY44" s="190">
        <v>51152</v>
      </c>
      <c r="BZ44" s="190">
        <v>6921</v>
      </c>
      <c r="CA44" s="190">
        <v>43560</v>
      </c>
      <c r="CB44" s="190">
        <v>50481</v>
      </c>
      <c r="CC44" s="190">
        <v>113600</v>
      </c>
      <c r="CD44" s="190">
        <v>40</v>
      </c>
      <c r="CE44" s="190">
        <v>602</v>
      </c>
      <c r="CF44" s="190">
        <v>63</v>
      </c>
      <c r="CG44" s="190">
        <v>450</v>
      </c>
      <c r="CH44" s="190">
        <v>513</v>
      </c>
      <c r="CI44" s="190">
        <v>200</v>
      </c>
      <c r="CJ44" s="190">
        <v>21</v>
      </c>
      <c r="CK44" s="190">
        <v>1</v>
      </c>
      <c r="CL44" s="190">
        <v>157</v>
      </c>
      <c r="CM44" s="190">
        <v>158</v>
      </c>
      <c r="CN44" s="190">
        <v>342</v>
      </c>
      <c r="CO44" s="190">
        <v>3727</v>
      </c>
      <c r="CP44" s="190">
        <v>4069</v>
      </c>
      <c r="CQ44" s="190">
        <v>0</v>
      </c>
      <c r="CR44" s="190">
        <v>0</v>
      </c>
      <c r="CS44" s="190">
        <v>0</v>
      </c>
      <c r="CT44" s="190">
        <v>6643</v>
      </c>
      <c r="CU44" s="190">
        <v>40440</v>
      </c>
      <c r="CV44" s="190">
        <v>47083</v>
      </c>
      <c r="CW44" s="190">
        <v>368</v>
      </c>
      <c r="CX44" s="190">
        <v>1898</v>
      </c>
      <c r="CY44" s="190">
        <v>2266</v>
      </c>
      <c r="CZ44" s="190">
        <v>366</v>
      </c>
      <c r="DA44" s="190">
        <v>2</v>
      </c>
      <c r="DB44" s="190">
        <v>0</v>
      </c>
      <c r="DC44" s="190">
        <v>1833</v>
      </c>
      <c r="DD44" s="190">
        <v>18</v>
      </c>
      <c r="DE44" s="190">
        <v>12</v>
      </c>
      <c r="DF44" s="190">
        <v>368</v>
      </c>
      <c r="DG44" s="190">
        <v>1863</v>
      </c>
      <c r="DH44" s="190">
        <v>2231</v>
      </c>
      <c r="DI44" s="190">
        <v>0</v>
      </c>
      <c r="DJ44" s="190">
        <v>0</v>
      </c>
      <c r="DK44" s="190">
        <v>0</v>
      </c>
      <c r="DL44" s="190">
        <v>35</v>
      </c>
      <c r="DM44" s="190">
        <v>0</v>
      </c>
      <c r="DN44" s="190">
        <v>0</v>
      </c>
      <c r="DO44" s="190">
        <v>0</v>
      </c>
      <c r="DP44" s="190">
        <v>35</v>
      </c>
      <c r="DQ44" s="190">
        <v>35</v>
      </c>
      <c r="DR44" s="190">
        <v>0</v>
      </c>
      <c r="DS44" s="190">
        <v>0</v>
      </c>
      <c r="DT44" s="191">
        <v>0</v>
      </c>
      <c r="DV44" s="192"/>
      <c r="DW44" s="193"/>
      <c r="DX44" s="192"/>
      <c r="DY44" s="192"/>
    </row>
    <row r="45" spans="1:129" s="172" customFormat="1">
      <c r="A45" s="189" t="s">
        <v>310</v>
      </c>
      <c r="B45" s="190">
        <v>659</v>
      </c>
      <c r="C45" s="190">
        <v>197</v>
      </c>
      <c r="D45" s="190">
        <v>630</v>
      </c>
      <c r="E45" s="190">
        <v>370</v>
      </c>
      <c r="F45" s="190">
        <v>1</v>
      </c>
      <c r="G45" s="190">
        <v>14</v>
      </c>
      <c r="H45" s="190">
        <v>15</v>
      </c>
      <c r="I45" s="190">
        <v>1</v>
      </c>
      <c r="J45" s="190">
        <v>173</v>
      </c>
      <c r="K45" s="190">
        <v>174</v>
      </c>
      <c r="L45" s="190">
        <v>0</v>
      </c>
      <c r="M45" s="190">
        <v>47</v>
      </c>
      <c r="N45" s="190">
        <v>47</v>
      </c>
      <c r="O45" s="190">
        <v>1</v>
      </c>
      <c r="P45" s="190">
        <v>126</v>
      </c>
      <c r="Q45" s="190">
        <v>127</v>
      </c>
      <c r="R45" s="190">
        <v>0</v>
      </c>
      <c r="S45" s="190">
        <v>16</v>
      </c>
      <c r="T45" s="190">
        <v>16</v>
      </c>
      <c r="U45" s="190">
        <v>0</v>
      </c>
      <c r="V45" s="190">
        <v>86</v>
      </c>
      <c r="W45" s="190">
        <v>86</v>
      </c>
      <c r="X45" s="190">
        <v>12</v>
      </c>
      <c r="Y45" s="190">
        <v>304</v>
      </c>
      <c r="Z45" s="190">
        <v>316</v>
      </c>
      <c r="AA45" s="190">
        <v>10</v>
      </c>
      <c r="AB45" s="190">
        <v>187</v>
      </c>
      <c r="AC45" s="190">
        <v>197</v>
      </c>
      <c r="AD45" s="190">
        <v>9</v>
      </c>
      <c r="AE45" s="190">
        <v>182</v>
      </c>
      <c r="AF45" s="190">
        <v>191</v>
      </c>
      <c r="AG45" s="190">
        <v>1</v>
      </c>
      <c r="AH45" s="190">
        <v>5</v>
      </c>
      <c r="AI45" s="190">
        <v>6</v>
      </c>
      <c r="AJ45" s="190">
        <v>0</v>
      </c>
      <c r="AK45" s="190">
        <v>0</v>
      </c>
      <c r="AL45" s="190">
        <v>0</v>
      </c>
      <c r="AM45" s="190">
        <v>2</v>
      </c>
      <c r="AN45" s="190">
        <v>117</v>
      </c>
      <c r="AO45" s="190">
        <v>119</v>
      </c>
      <c r="AP45" s="190">
        <v>797</v>
      </c>
      <c r="AQ45" s="190">
        <v>8157</v>
      </c>
      <c r="AR45" s="190">
        <v>8954</v>
      </c>
      <c r="AS45" s="190">
        <v>797</v>
      </c>
      <c r="AT45" s="190">
        <v>8157</v>
      </c>
      <c r="AU45" s="190">
        <v>8954</v>
      </c>
      <c r="AV45" s="190">
        <v>0</v>
      </c>
      <c r="AW45" s="190">
        <v>0</v>
      </c>
      <c r="AX45" s="190">
        <v>0</v>
      </c>
      <c r="AY45" s="190">
        <v>59</v>
      </c>
      <c r="AZ45" s="190">
        <v>728</v>
      </c>
      <c r="BA45" s="190">
        <v>787</v>
      </c>
      <c r="BB45" s="190">
        <v>28</v>
      </c>
      <c r="BC45" s="190">
        <v>1</v>
      </c>
      <c r="BD45" s="190">
        <v>0</v>
      </c>
      <c r="BE45" s="190">
        <v>338</v>
      </c>
      <c r="BF45" s="190">
        <v>3</v>
      </c>
      <c r="BG45" s="190">
        <v>0</v>
      </c>
      <c r="BH45" s="190">
        <v>29</v>
      </c>
      <c r="BI45" s="190">
        <v>341</v>
      </c>
      <c r="BJ45" s="190">
        <v>370</v>
      </c>
      <c r="BK45" s="190">
        <v>-32</v>
      </c>
      <c r="BL45" s="190">
        <v>32</v>
      </c>
      <c r="BM45" s="190">
        <v>0</v>
      </c>
      <c r="BN45" s="190">
        <v>5</v>
      </c>
      <c r="BO45" s="190">
        <v>24</v>
      </c>
      <c r="BP45" s="190">
        <v>29</v>
      </c>
      <c r="BQ45" s="190">
        <v>10</v>
      </c>
      <c r="BR45" s="190">
        <v>126</v>
      </c>
      <c r="BS45" s="190">
        <v>136</v>
      </c>
      <c r="BT45" s="190">
        <v>47</v>
      </c>
      <c r="BU45" s="190">
        <v>205</v>
      </c>
      <c r="BV45" s="190">
        <v>252</v>
      </c>
      <c r="BW45" s="190">
        <v>856</v>
      </c>
      <c r="BX45" s="190">
        <v>8885</v>
      </c>
      <c r="BY45" s="190">
        <v>9741</v>
      </c>
      <c r="BZ45" s="190">
        <v>852</v>
      </c>
      <c r="CA45" s="190">
        <v>8836</v>
      </c>
      <c r="CB45" s="190">
        <v>9688</v>
      </c>
      <c r="CC45" s="190">
        <v>17624</v>
      </c>
      <c r="CD45" s="190">
        <v>0</v>
      </c>
      <c r="CE45" s="190">
        <v>55</v>
      </c>
      <c r="CF45" s="190">
        <v>4</v>
      </c>
      <c r="CG45" s="190">
        <v>42</v>
      </c>
      <c r="CH45" s="190">
        <v>46</v>
      </c>
      <c r="CI45" s="190">
        <v>6</v>
      </c>
      <c r="CJ45" s="190">
        <v>2</v>
      </c>
      <c r="CK45" s="190">
        <v>0</v>
      </c>
      <c r="CL45" s="190">
        <v>7</v>
      </c>
      <c r="CM45" s="190">
        <v>7</v>
      </c>
      <c r="CN45" s="190">
        <v>47</v>
      </c>
      <c r="CO45" s="190">
        <v>816</v>
      </c>
      <c r="CP45" s="190">
        <v>863</v>
      </c>
      <c r="CQ45" s="190">
        <v>0</v>
      </c>
      <c r="CR45" s="190">
        <v>1</v>
      </c>
      <c r="CS45" s="190">
        <v>1</v>
      </c>
      <c r="CT45" s="190">
        <v>809</v>
      </c>
      <c r="CU45" s="190">
        <v>8069</v>
      </c>
      <c r="CV45" s="190">
        <v>8878</v>
      </c>
      <c r="CW45" s="190">
        <v>58</v>
      </c>
      <c r="CX45" s="190">
        <v>395</v>
      </c>
      <c r="CY45" s="190">
        <v>453</v>
      </c>
      <c r="CZ45" s="190">
        <v>57</v>
      </c>
      <c r="DA45" s="190">
        <v>0</v>
      </c>
      <c r="DB45" s="190">
        <v>0</v>
      </c>
      <c r="DC45" s="190">
        <v>350</v>
      </c>
      <c r="DD45" s="190">
        <v>2</v>
      </c>
      <c r="DE45" s="190">
        <v>0</v>
      </c>
      <c r="DF45" s="190">
        <v>57</v>
      </c>
      <c r="DG45" s="190">
        <v>352</v>
      </c>
      <c r="DH45" s="190">
        <v>409</v>
      </c>
      <c r="DI45" s="190">
        <v>1</v>
      </c>
      <c r="DJ45" s="190">
        <v>0</v>
      </c>
      <c r="DK45" s="190">
        <v>0</v>
      </c>
      <c r="DL45" s="190">
        <v>43</v>
      </c>
      <c r="DM45" s="190">
        <v>0</v>
      </c>
      <c r="DN45" s="190">
        <v>0</v>
      </c>
      <c r="DO45" s="190">
        <v>1</v>
      </c>
      <c r="DP45" s="190">
        <v>43</v>
      </c>
      <c r="DQ45" s="190">
        <v>44</v>
      </c>
      <c r="DR45" s="190">
        <v>0</v>
      </c>
      <c r="DS45" s="190">
        <v>0</v>
      </c>
      <c r="DT45" s="191">
        <v>0</v>
      </c>
      <c r="DV45" s="192"/>
      <c r="DW45" s="193"/>
      <c r="DX45" s="192"/>
      <c r="DY45" s="192"/>
    </row>
    <row r="46" spans="1:129" s="172" customFormat="1" ht="15.75">
      <c r="A46" s="189" t="s">
        <v>367</v>
      </c>
      <c r="B46" s="190">
        <v>1133</v>
      </c>
      <c r="C46" s="190">
        <v>248</v>
      </c>
      <c r="D46" s="190">
        <v>1037</v>
      </c>
      <c r="E46" s="190">
        <v>542</v>
      </c>
      <c r="F46" s="190">
        <v>0</v>
      </c>
      <c r="G46" s="190">
        <v>16</v>
      </c>
      <c r="H46" s="190">
        <v>16</v>
      </c>
      <c r="I46" s="190">
        <v>0</v>
      </c>
      <c r="J46" s="190">
        <v>425</v>
      </c>
      <c r="K46" s="190">
        <v>425</v>
      </c>
      <c r="L46" s="190">
        <v>0</v>
      </c>
      <c r="M46" s="190">
        <v>425</v>
      </c>
      <c r="N46" s="190">
        <v>425</v>
      </c>
      <c r="O46" s="190">
        <v>0</v>
      </c>
      <c r="P46" s="190">
        <v>0</v>
      </c>
      <c r="Q46" s="190">
        <v>0</v>
      </c>
      <c r="R46" s="190">
        <v>0</v>
      </c>
      <c r="S46" s="190">
        <v>49</v>
      </c>
      <c r="T46" s="190">
        <v>49</v>
      </c>
      <c r="U46" s="190">
        <v>0</v>
      </c>
      <c r="V46" s="190">
        <v>70</v>
      </c>
      <c r="W46" s="190">
        <v>70</v>
      </c>
      <c r="X46" s="190">
        <v>16</v>
      </c>
      <c r="Y46" s="190">
        <v>1021</v>
      </c>
      <c r="Z46" s="190">
        <v>1037</v>
      </c>
      <c r="AA46" s="190">
        <v>8</v>
      </c>
      <c r="AB46" s="190">
        <v>315</v>
      </c>
      <c r="AC46" s="190">
        <v>323</v>
      </c>
      <c r="AD46" s="190">
        <v>6</v>
      </c>
      <c r="AE46" s="190">
        <v>270</v>
      </c>
      <c r="AF46" s="190">
        <v>276</v>
      </c>
      <c r="AG46" s="190">
        <v>2</v>
      </c>
      <c r="AH46" s="190">
        <v>29</v>
      </c>
      <c r="AI46" s="190">
        <v>31</v>
      </c>
      <c r="AJ46" s="190">
        <v>0</v>
      </c>
      <c r="AK46" s="190">
        <v>16</v>
      </c>
      <c r="AL46" s="190">
        <v>16</v>
      </c>
      <c r="AM46" s="190">
        <v>8</v>
      </c>
      <c r="AN46" s="190">
        <v>706</v>
      </c>
      <c r="AO46" s="190">
        <v>714</v>
      </c>
      <c r="AP46" s="190">
        <v>768</v>
      </c>
      <c r="AQ46" s="190">
        <v>12446</v>
      </c>
      <c r="AR46" s="190">
        <v>13214</v>
      </c>
      <c r="AS46" s="190">
        <v>769</v>
      </c>
      <c r="AT46" s="190">
        <v>12515</v>
      </c>
      <c r="AU46" s="190">
        <v>13284</v>
      </c>
      <c r="AV46" s="190">
        <v>-1</v>
      </c>
      <c r="AW46" s="190">
        <v>-69</v>
      </c>
      <c r="AX46" s="190">
        <v>-70</v>
      </c>
      <c r="AY46" s="190">
        <v>57</v>
      </c>
      <c r="AZ46" s="190">
        <v>1435</v>
      </c>
      <c r="BA46" s="190">
        <v>1492</v>
      </c>
      <c r="BB46" s="190">
        <v>11</v>
      </c>
      <c r="BC46" s="190">
        <v>1</v>
      </c>
      <c r="BD46" s="190">
        <v>0</v>
      </c>
      <c r="BE46" s="190">
        <v>503</v>
      </c>
      <c r="BF46" s="190">
        <v>19</v>
      </c>
      <c r="BG46" s="190">
        <v>8</v>
      </c>
      <c r="BH46" s="190">
        <v>12</v>
      </c>
      <c r="BI46" s="190">
        <v>530</v>
      </c>
      <c r="BJ46" s="190">
        <v>542</v>
      </c>
      <c r="BK46" s="190">
        <v>-11</v>
      </c>
      <c r="BL46" s="190">
        <v>11</v>
      </c>
      <c r="BM46" s="190">
        <v>0</v>
      </c>
      <c r="BN46" s="190">
        <v>14</v>
      </c>
      <c r="BO46" s="190">
        <v>14</v>
      </c>
      <c r="BP46" s="190">
        <v>28</v>
      </c>
      <c r="BQ46" s="190">
        <v>0</v>
      </c>
      <c r="BR46" s="190">
        <v>183</v>
      </c>
      <c r="BS46" s="190">
        <v>183</v>
      </c>
      <c r="BT46" s="190">
        <v>42</v>
      </c>
      <c r="BU46" s="190">
        <v>697</v>
      </c>
      <c r="BV46" s="190">
        <v>739</v>
      </c>
      <c r="BW46" s="190">
        <v>825</v>
      </c>
      <c r="BX46" s="190">
        <v>13881</v>
      </c>
      <c r="BY46" s="190">
        <v>14706</v>
      </c>
      <c r="BZ46" s="190">
        <v>797</v>
      </c>
      <c r="CA46" s="190">
        <v>13300</v>
      </c>
      <c r="CB46" s="190">
        <v>14097</v>
      </c>
      <c r="CC46" s="190">
        <v>27988</v>
      </c>
      <c r="CD46" s="190">
        <v>33</v>
      </c>
      <c r="CE46" s="190">
        <v>559</v>
      </c>
      <c r="CF46" s="190">
        <v>27</v>
      </c>
      <c r="CG46" s="190">
        <v>422</v>
      </c>
      <c r="CH46" s="190">
        <v>449</v>
      </c>
      <c r="CI46" s="190">
        <v>205</v>
      </c>
      <c r="CJ46" s="190">
        <v>5</v>
      </c>
      <c r="CK46" s="190">
        <v>1</v>
      </c>
      <c r="CL46" s="190">
        <v>159</v>
      </c>
      <c r="CM46" s="190">
        <v>160</v>
      </c>
      <c r="CN46" s="190">
        <v>45</v>
      </c>
      <c r="CO46" s="190">
        <v>1430</v>
      </c>
      <c r="CP46" s="190">
        <v>1475</v>
      </c>
      <c r="CQ46" s="190">
        <v>0</v>
      </c>
      <c r="CR46" s="190">
        <v>0</v>
      </c>
      <c r="CS46" s="190">
        <v>0</v>
      </c>
      <c r="CT46" s="190">
        <v>780</v>
      </c>
      <c r="CU46" s="190">
        <v>12451</v>
      </c>
      <c r="CV46" s="190">
        <v>13231</v>
      </c>
      <c r="CW46" s="190">
        <v>47</v>
      </c>
      <c r="CX46" s="190">
        <v>584</v>
      </c>
      <c r="CY46" s="190">
        <v>631</v>
      </c>
      <c r="CZ46" s="190">
        <v>45</v>
      </c>
      <c r="DA46" s="190">
        <v>1</v>
      </c>
      <c r="DB46" s="190">
        <v>1</v>
      </c>
      <c r="DC46" s="190">
        <v>557</v>
      </c>
      <c r="DD46" s="190">
        <v>9</v>
      </c>
      <c r="DE46" s="190">
        <v>5</v>
      </c>
      <c r="DF46" s="190">
        <v>47</v>
      </c>
      <c r="DG46" s="190">
        <v>571</v>
      </c>
      <c r="DH46" s="190">
        <v>618</v>
      </c>
      <c r="DI46" s="190">
        <v>0</v>
      </c>
      <c r="DJ46" s="190">
        <v>0</v>
      </c>
      <c r="DK46" s="190">
        <v>0</v>
      </c>
      <c r="DL46" s="190">
        <v>13</v>
      </c>
      <c r="DM46" s="190">
        <v>0</v>
      </c>
      <c r="DN46" s="190">
        <v>0</v>
      </c>
      <c r="DO46" s="190">
        <v>0</v>
      </c>
      <c r="DP46" s="190">
        <v>13</v>
      </c>
      <c r="DQ46" s="190">
        <v>13</v>
      </c>
      <c r="DR46" s="190">
        <v>0</v>
      </c>
      <c r="DS46" s="190">
        <v>0</v>
      </c>
      <c r="DT46" s="191">
        <v>0</v>
      </c>
      <c r="DV46" s="192"/>
      <c r="DW46" s="193"/>
      <c r="DX46" s="192"/>
      <c r="DY46" s="192"/>
    </row>
    <row r="47" spans="1:129" s="172" customFormat="1">
      <c r="A47" s="189" t="s">
        <v>312</v>
      </c>
      <c r="B47" s="190">
        <v>1777</v>
      </c>
      <c r="C47" s="190">
        <v>513</v>
      </c>
      <c r="D47" s="190">
        <v>1425</v>
      </c>
      <c r="E47" s="190">
        <v>946</v>
      </c>
      <c r="F47" s="190">
        <v>3</v>
      </c>
      <c r="G47" s="190">
        <v>30</v>
      </c>
      <c r="H47" s="190">
        <v>33</v>
      </c>
      <c r="I47" s="190">
        <v>2</v>
      </c>
      <c r="J47" s="190">
        <v>410</v>
      </c>
      <c r="K47" s="190">
        <v>412</v>
      </c>
      <c r="L47" s="190">
        <v>0</v>
      </c>
      <c r="M47" s="190">
        <v>170</v>
      </c>
      <c r="N47" s="190">
        <v>170</v>
      </c>
      <c r="O47" s="190">
        <v>2</v>
      </c>
      <c r="P47" s="190">
        <v>240</v>
      </c>
      <c r="Q47" s="190">
        <v>242</v>
      </c>
      <c r="R47" s="190">
        <v>0</v>
      </c>
      <c r="S47" s="190">
        <v>52</v>
      </c>
      <c r="T47" s="190">
        <v>52</v>
      </c>
      <c r="U47" s="190">
        <v>0</v>
      </c>
      <c r="V47" s="190">
        <v>67</v>
      </c>
      <c r="W47" s="190">
        <v>67</v>
      </c>
      <c r="X47" s="190">
        <v>35</v>
      </c>
      <c r="Y47" s="190">
        <v>540</v>
      </c>
      <c r="Z47" s="190">
        <v>575</v>
      </c>
      <c r="AA47" s="190">
        <v>21</v>
      </c>
      <c r="AB47" s="190">
        <v>297</v>
      </c>
      <c r="AC47" s="190">
        <v>318</v>
      </c>
      <c r="AD47" s="190">
        <v>21</v>
      </c>
      <c r="AE47" s="190">
        <v>263</v>
      </c>
      <c r="AF47" s="190">
        <v>284</v>
      </c>
      <c r="AG47" s="190">
        <v>0</v>
      </c>
      <c r="AH47" s="190">
        <v>22</v>
      </c>
      <c r="AI47" s="190">
        <v>22</v>
      </c>
      <c r="AJ47" s="190">
        <v>0</v>
      </c>
      <c r="AK47" s="190">
        <v>12</v>
      </c>
      <c r="AL47" s="190">
        <v>12</v>
      </c>
      <c r="AM47" s="190">
        <v>14</v>
      </c>
      <c r="AN47" s="190">
        <v>243</v>
      </c>
      <c r="AO47" s="190">
        <v>257</v>
      </c>
      <c r="AP47" s="190">
        <v>1792</v>
      </c>
      <c r="AQ47" s="190">
        <v>14251</v>
      </c>
      <c r="AR47" s="190">
        <v>16043</v>
      </c>
      <c r="AS47" s="190">
        <v>1811</v>
      </c>
      <c r="AT47" s="190">
        <v>14249</v>
      </c>
      <c r="AU47" s="190">
        <v>16060</v>
      </c>
      <c r="AV47" s="190">
        <v>-19</v>
      </c>
      <c r="AW47" s="190">
        <v>2</v>
      </c>
      <c r="AX47" s="190">
        <v>-17</v>
      </c>
      <c r="AY47" s="190">
        <v>152</v>
      </c>
      <c r="AZ47" s="190">
        <v>1526</v>
      </c>
      <c r="BA47" s="190">
        <v>1678</v>
      </c>
      <c r="BB47" s="190">
        <v>80</v>
      </c>
      <c r="BC47" s="190">
        <v>0</v>
      </c>
      <c r="BD47" s="190">
        <v>0</v>
      </c>
      <c r="BE47" s="190">
        <v>859</v>
      </c>
      <c r="BF47" s="190">
        <v>4</v>
      </c>
      <c r="BG47" s="190">
        <v>3</v>
      </c>
      <c r="BH47" s="190">
        <v>80</v>
      </c>
      <c r="BI47" s="190">
        <v>866</v>
      </c>
      <c r="BJ47" s="190">
        <v>946</v>
      </c>
      <c r="BK47" s="190">
        <v>2</v>
      </c>
      <c r="BL47" s="190">
        <v>-2</v>
      </c>
      <c r="BM47" s="190">
        <v>0</v>
      </c>
      <c r="BN47" s="190">
        <v>2</v>
      </c>
      <c r="BO47" s="190">
        <v>27</v>
      </c>
      <c r="BP47" s="190">
        <v>29</v>
      </c>
      <c r="BQ47" s="190">
        <v>9</v>
      </c>
      <c r="BR47" s="190">
        <v>184</v>
      </c>
      <c r="BS47" s="190">
        <v>193</v>
      </c>
      <c r="BT47" s="190">
        <v>59</v>
      </c>
      <c r="BU47" s="190">
        <v>451</v>
      </c>
      <c r="BV47" s="190">
        <v>510</v>
      </c>
      <c r="BW47" s="190">
        <v>1944</v>
      </c>
      <c r="BX47" s="190">
        <v>15777</v>
      </c>
      <c r="BY47" s="190">
        <v>17721</v>
      </c>
      <c r="BZ47" s="190">
        <v>1923</v>
      </c>
      <c r="CA47" s="190">
        <v>15594</v>
      </c>
      <c r="CB47" s="190">
        <v>17517</v>
      </c>
      <c r="CC47" s="190">
        <v>36789</v>
      </c>
      <c r="CD47" s="190">
        <v>21</v>
      </c>
      <c r="CE47" s="190">
        <v>125</v>
      </c>
      <c r="CF47" s="190">
        <v>21</v>
      </c>
      <c r="CG47" s="190">
        <v>116</v>
      </c>
      <c r="CH47" s="190">
        <v>137</v>
      </c>
      <c r="CI47" s="190">
        <v>0</v>
      </c>
      <c r="CJ47" s="190">
        <v>84</v>
      </c>
      <c r="CK47" s="190">
        <v>0</v>
      </c>
      <c r="CL47" s="190">
        <v>67</v>
      </c>
      <c r="CM47" s="190">
        <v>67</v>
      </c>
      <c r="CN47" s="190">
        <v>126</v>
      </c>
      <c r="CO47" s="190">
        <v>1520</v>
      </c>
      <c r="CP47" s="190">
        <v>1646</v>
      </c>
      <c r="CQ47" s="190">
        <v>0</v>
      </c>
      <c r="CR47" s="190">
        <v>0</v>
      </c>
      <c r="CS47" s="190">
        <v>0</v>
      </c>
      <c r="CT47" s="190">
        <v>1818</v>
      </c>
      <c r="CU47" s="190">
        <v>14257</v>
      </c>
      <c r="CV47" s="190">
        <v>16075</v>
      </c>
      <c r="CW47" s="190">
        <v>172</v>
      </c>
      <c r="CX47" s="190">
        <v>865</v>
      </c>
      <c r="CY47" s="190">
        <v>1037</v>
      </c>
      <c r="CZ47" s="190">
        <v>166</v>
      </c>
      <c r="DA47" s="190">
        <v>2</v>
      </c>
      <c r="DB47" s="190">
        <v>0</v>
      </c>
      <c r="DC47" s="190">
        <v>793</v>
      </c>
      <c r="DD47" s="190">
        <v>9</v>
      </c>
      <c r="DE47" s="190">
        <v>3</v>
      </c>
      <c r="DF47" s="190">
        <v>168</v>
      </c>
      <c r="DG47" s="190">
        <v>805</v>
      </c>
      <c r="DH47" s="190">
        <v>973</v>
      </c>
      <c r="DI47" s="190">
        <v>4</v>
      </c>
      <c r="DJ47" s="190">
        <v>0</v>
      </c>
      <c r="DK47" s="190">
        <v>0</v>
      </c>
      <c r="DL47" s="190">
        <v>59</v>
      </c>
      <c r="DM47" s="190">
        <v>0</v>
      </c>
      <c r="DN47" s="190">
        <v>1</v>
      </c>
      <c r="DO47" s="190">
        <v>4</v>
      </c>
      <c r="DP47" s="190">
        <v>60</v>
      </c>
      <c r="DQ47" s="190">
        <v>64</v>
      </c>
      <c r="DR47" s="190">
        <v>0</v>
      </c>
      <c r="DS47" s="190">
        <v>0</v>
      </c>
      <c r="DT47" s="191">
        <v>0</v>
      </c>
      <c r="DV47" s="192"/>
      <c r="DW47" s="193"/>
      <c r="DX47" s="192"/>
      <c r="DY47" s="192"/>
    </row>
    <row r="48" spans="1:129" s="193" customFormat="1">
      <c r="A48" s="189" t="s">
        <v>313</v>
      </c>
      <c r="B48" s="190">
        <v>2775</v>
      </c>
      <c r="C48" s="190">
        <v>712</v>
      </c>
      <c r="D48" s="190">
        <v>2808</v>
      </c>
      <c r="E48" s="190">
        <v>1691</v>
      </c>
      <c r="F48" s="190">
        <v>3</v>
      </c>
      <c r="G48" s="190">
        <v>16</v>
      </c>
      <c r="H48" s="190">
        <v>19</v>
      </c>
      <c r="I48" s="190">
        <v>2</v>
      </c>
      <c r="J48" s="190">
        <v>833</v>
      </c>
      <c r="K48" s="190">
        <v>835</v>
      </c>
      <c r="L48" s="190">
        <v>2</v>
      </c>
      <c r="M48" s="190">
        <v>831</v>
      </c>
      <c r="N48" s="190">
        <v>833</v>
      </c>
      <c r="O48" s="190">
        <v>0</v>
      </c>
      <c r="P48" s="190">
        <v>2</v>
      </c>
      <c r="Q48" s="190">
        <v>2</v>
      </c>
      <c r="R48" s="190">
        <v>0</v>
      </c>
      <c r="S48" s="190">
        <v>34</v>
      </c>
      <c r="T48" s="190">
        <v>34</v>
      </c>
      <c r="U48" s="190">
        <v>0</v>
      </c>
      <c r="V48" s="190">
        <v>282</v>
      </c>
      <c r="W48" s="190">
        <v>282</v>
      </c>
      <c r="X48" s="190">
        <v>35</v>
      </c>
      <c r="Y48" s="190">
        <v>1493</v>
      </c>
      <c r="Z48" s="190">
        <v>1528</v>
      </c>
      <c r="AA48" s="190">
        <v>10</v>
      </c>
      <c r="AB48" s="190">
        <v>462</v>
      </c>
      <c r="AC48" s="190">
        <v>472</v>
      </c>
      <c r="AD48" s="190">
        <v>10</v>
      </c>
      <c r="AE48" s="190">
        <v>448</v>
      </c>
      <c r="AF48" s="190">
        <v>458</v>
      </c>
      <c r="AG48" s="190">
        <v>0</v>
      </c>
      <c r="AH48" s="190">
        <v>10</v>
      </c>
      <c r="AI48" s="190">
        <v>10</v>
      </c>
      <c r="AJ48" s="190">
        <v>0</v>
      </c>
      <c r="AK48" s="190">
        <v>4</v>
      </c>
      <c r="AL48" s="190">
        <v>4</v>
      </c>
      <c r="AM48" s="190">
        <v>25</v>
      </c>
      <c r="AN48" s="190">
        <v>1031</v>
      </c>
      <c r="AO48" s="190">
        <v>1056</v>
      </c>
      <c r="AP48" s="190">
        <v>4032</v>
      </c>
      <c r="AQ48" s="190">
        <v>44427</v>
      </c>
      <c r="AR48" s="190">
        <v>48459</v>
      </c>
      <c r="AS48" s="190">
        <v>4209</v>
      </c>
      <c r="AT48" s="190">
        <v>43955</v>
      </c>
      <c r="AU48" s="190">
        <v>48164</v>
      </c>
      <c r="AV48" s="190">
        <v>-177</v>
      </c>
      <c r="AW48" s="190">
        <v>472</v>
      </c>
      <c r="AX48" s="190">
        <v>295</v>
      </c>
      <c r="AY48" s="190">
        <v>398</v>
      </c>
      <c r="AZ48" s="190">
        <v>3127</v>
      </c>
      <c r="BA48" s="190">
        <v>3525</v>
      </c>
      <c r="BB48" s="190">
        <v>120</v>
      </c>
      <c r="BC48" s="190">
        <v>4</v>
      </c>
      <c r="BD48" s="190">
        <v>1</v>
      </c>
      <c r="BE48" s="190">
        <v>1499</v>
      </c>
      <c r="BF48" s="190">
        <v>26</v>
      </c>
      <c r="BG48" s="190">
        <v>41</v>
      </c>
      <c r="BH48" s="190">
        <v>125</v>
      </c>
      <c r="BI48" s="190">
        <v>1566</v>
      </c>
      <c r="BJ48" s="190">
        <v>1691</v>
      </c>
      <c r="BK48" s="190">
        <v>126</v>
      </c>
      <c r="BL48" s="190">
        <v>-126</v>
      </c>
      <c r="BM48" s="190">
        <v>0</v>
      </c>
      <c r="BN48" s="190">
        <v>12</v>
      </c>
      <c r="BO48" s="190">
        <v>68</v>
      </c>
      <c r="BP48" s="190">
        <v>80</v>
      </c>
      <c r="BQ48" s="190">
        <v>19</v>
      </c>
      <c r="BR48" s="190">
        <v>206</v>
      </c>
      <c r="BS48" s="190">
        <v>225</v>
      </c>
      <c r="BT48" s="190">
        <v>116</v>
      </c>
      <c r="BU48" s="190">
        <v>1413</v>
      </c>
      <c r="BV48" s="190">
        <v>1529</v>
      </c>
      <c r="BW48" s="190">
        <v>4430</v>
      </c>
      <c r="BX48" s="190">
        <v>47554</v>
      </c>
      <c r="BY48" s="190">
        <v>51984</v>
      </c>
      <c r="BZ48" s="190">
        <v>4320</v>
      </c>
      <c r="CA48" s="190">
        <v>46037</v>
      </c>
      <c r="CB48" s="190">
        <v>50357</v>
      </c>
      <c r="CC48" s="190">
        <v>99738</v>
      </c>
      <c r="CD48" s="190">
        <v>100</v>
      </c>
      <c r="CE48" s="190">
        <v>1139</v>
      </c>
      <c r="CF48" s="190">
        <v>109</v>
      </c>
      <c r="CG48" s="190">
        <v>841</v>
      </c>
      <c r="CH48" s="190">
        <v>950</v>
      </c>
      <c r="CI48" s="190">
        <v>947</v>
      </c>
      <c r="CJ48" s="190">
        <v>18</v>
      </c>
      <c r="CK48" s="190">
        <v>1</v>
      </c>
      <c r="CL48" s="190">
        <v>676</v>
      </c>
      <c r="CM48" s="190">
        <v>677</v>
      </c>
      <c r="CN48" s="190">
        <v>232</v>
      </c>
      <c r="CO48" s="190">
        <v>3832</v>
      </c>
      <c r="CP48" s="190">
        <v>4064</v>
      </c>
      <c r="CQ48" s="190">
        <v>0</v>
      </c>
      <c r="CR48" s="190">
        <v>0</v>
      </c>
      <c r="CS48" s="190">
        <v>0</v>
      </c>
      <c r="CT48" s="190">
        <v>4198</v>
      </c>
      <c r="CU48" s="190">
        <v>43722</v>
      </c>
      <c r="CV48" s="190">
        <v>47920</v>
      </c>
      <c r="CW48" s="190">
        <v>315</v>
      </c>
      <c r="CX48" s="190">
        <v>2603</v>
      </c>
      <c r="CY48" s="190">
        <v>2918</v>
      </c>
      <c r="CZ48" s="190">
        <v>286</v>
      </c>
      <c r="DA48" s="190">
        <v>12</v>
      </c>
      <c r="DB48" s="190">
        <v>0</v>
      </c>
      <c r="DC48" s="190">
        <v>2224</v>
      </c>
      <c r="DD48" s="190">
        <v>45</v>
      </c>
      <c r="DE48" s="190">
        <v>24</v>
      </c>
      <c r="DF48" s="190">
        <v>298</v>
      </c>
      <c r="DG48" s="190">
        <v>2293</v>
      </c>
      <c r="DH48" s="190">
        <v>2591</v>
      </c>
      <c r="DI48" s="190">
        <v>16</v>
      </c>
      <c r="DJ48" s="190">
        <v>1</v>
      </c>
      <c r="DK48" s="190">
        <v>0</v>
      </c>
      <c r="DL48" s="190">
        <v>298</v>
      </c>
      <c r="DM48" s="190">
        <v>9</v>
      </c>
      <c r="DN48" s="190">
        <v>3</v>
      </c>
      <c r="DO48" s="190">
        <v>17</v>
      </c>
      <c r="DP48" s="190">
        <v>310</v>
      </c>
      <c r="DQ48" s="190">
        <v>327</v>
      </c>
      <c r="DR48" s="190">
        <v>0</v>
      </c>
      <c r="DS48" s="190">
        <v>0</v>
      </c>
      <c r="DT48" s="191">
        <v>0</v>
      </c>
      <c r="DU48" s="172"/>
      <c r="DV48" s="192"/>
      <c r="DX48" s="192"/>
      <c r="DY48" s="192"/>
    </row>
    <row r="49" spans="1:129" s="193" customFormat="1">
      <c r="A49" s="189" t="s">
        <v>314</v>
      </c>
      <c r="B49" s="190">
        <v>945</v>
      </c>
      <c r="C49" s="190">
        <v>310</v>
      </c>
      <c r="D49" s="190">
        <v>882</v>
      </c>
      <c r="E49" s="190">
        <v>533</v>
      </c>
      <c r="F49" s="190">
        <v>0</v>
      </c>
      <c r="G49" s="190">
        <v>28</v>
      </c>
      <c r="H49" s="190">
        <v>28</v>
      </c>
      <c r="I49" s="190">
        <v>0</v>
      </c>
      <c r="J49" s="190">
        <v>291</v>
      </c>
      <c r="K49" s="190">
        <v>291</v>
      </c>
      <c r="L49" s="190">
        <v>0</v>
      </c>
      <c r="M49" s="190">
        <v>98</v>
      </c>
      <c r="N49" s="190">
        <v>98</v>
      </c>
      <c r="O49" s="190">
        <v>0</v>
      </c>
      <c r="P49" s="190">
        <v>193</v>
      </c>
      <c r="Q49" s="190">
        <v>193</v>
      </c>
      <c r="R49" s="190">
        <v>0</v>
      </c>
      <c r="S49" s="190">
        <v>53</v>
      </c>
      <c r="T49" s="190">
        <v>53</v>
      </c>
      <c r="U49" s="190">
        <v>0</v>
      </c>
      <c r="V49" s="190">
        <v>58</v>
      </c>
      <c r="W49" s="190">
        <v>58</v>
      </c>
      <c r="X49" s="190">
        <v>10</v>
      </c>
      <c r="Y49" s="190">
        <v>556</v>
      </c>
      <c r="Z49" s="190">
        <v>566</v>
      </c>
      <c r="AA49" s="190">
        <v>6</v>
      </c>
      <c r="AB49" s="190">
        <v>204</v>
      </c>
      <c r="AC49" s="190">
        <v>210</v>
      </c>
      <c r="AD49" s="190">
        <v>6</v>
      </c>
      <c r="AE49" s="190">
        <v>202</v>
      </c>
      <c r="AF49" s="190">
        <v>208</v>
      </c>
      <c r="AG49" s="190">
        <v>0</v>
      </c>
      <c r="AH49" s="190">
        <v>2</v>
      </c>
      <c r="AI49" s="190">
        <v>2</v>
      </c>
      <c r="AJ49" s="190">
        <v>0</v>
      </c>
      <c r="AK49" s="190">
        <v>0</v>
      </c>
      <c r="AL49" s="190">
        <v>0</v>
      </c>
      <c r="AM49" s="190">
        <v>4</v>
      </c>
      <c r="AN49" s="190">
        <v>352</v>
      </c>
      <c r="AO49" s="190">
        <v>356</v>
      </c>
      <c r="AP49" s="190">
        <v>981</v>
      </c>
      <c r="AQ49" s="190">
        <v>11917</v>
      </c>
      <c r="AR49" s="190">
        <v>12898</v>
      </c>
      <c r="AS49" s="190">
        <v>946</v>
      </c>
      <c r="AT49" s="190">
        <v>11871</v>
      </c>
      <c r="AU49" s="190">
        <v>12817</v>
      </c>
      <c r="AV49" s="190">
        <v>35</v>
      </c>
      <c r="AW49" s="190">
        <v>46</v>
      </c>
      <c r="AX49" s="190">
        <v>81</v>
      </c>
      <c r="AY49" s="190">
        <v>46</v>
      </c>
      <c r="AZ49" s="190">
        <v>1200</v>
      </c>
      <c r="BA49" s="190">
        <v>1246</v>
      </c>
      <c r="BB49" s="190">
        <v>14</v>
      </c>
      <c r="BC49" s="190">
        <v>0</v>
      </c>
      <c r="BD49" s="190">
        <v>0</v>
      </c>
      <c r="BE49" s="190">
        <v>516</v>
      </c>
      <c r="BF49" s="190">
        <v>1</v>
      </c>
      <c r="BG49" s="190">
        <v>2</v>
      </c>
      <c r="BH49" s="190">
        <v>14</v>
      </c>
      <c r="BI49" s="190">
        <v>519</v>
      </c>
      <c r="BJ49" s="190">
        <v>533</v>
      </c>
      <c r="BK49" s="190">
        <v>-27</v>
      </c>
      <c r="BL49" s="190">
        <v>27</v>
      </c>
      <c r="BM49" s="190">
        <v>0</v>
      </c>
      <c r="BN49" s="190">
        <v>0</v>
      </c>
      <c r="BO49" s="190">
        <v>23</v>
      </c>
      <c r="BP49" s="190">
        <v>23</v>
      </c>
      <c r="BQ49" s="190">
        <v>0</v>
      </c>
      <c r="BR49" s="190">
        <v>2</v>
      </c>
      <c r="BS49" s="190">
        <v>2</v>
      </c>
      <c r="BT49" s="190">
        <v>59</v>
      </c>
      <c r="BU49" s="190">
        <v>629</v>
      </c>
      <c r="BV49" s="190">
        <v>688</v>
      </c>
      <c r="BW49" s="190">
        <v>1027</v>
      </c>
      <c r="BX49" s="190">
        <v>13117</v>
      </c>
      <c r="BY49" s="190">
        <v>14144</v>
      </c>
      <c r="BZ49" s="190">
        <v>1023</v>
      </c>
      <c r="CA49" s="190">
        <v>13060</v>
      </c>
      <c r="CB49" s="190">
        <v>14083</v>
      </c>
      <c r="CC49" s="190">
        <v>25352</v>
      </c>
      <c r="CD49" s="190">
        <v>4</v>
      </c>
      <c r="CE49" s="190">
        <v>50</v>
      </c>
      <c r="CF49" s="190">
        <v>4</v>
      </c>
      <c r="CG49" s="190">
        <v>44</v>
      </c>
      <c r="CH49" s="190">
        <v>48</v>
      </c>
      <c r="CI49" s="190">
        <v>0</v>
      </c>
      <c r="CJ49" s="190">
        <v>18</v>
      </c>
      <c r="CK49" s="190">
        <v>0</v>
      </c>
      <c r="CL49" s="190">
        <v>13</v>
      </c>
      <c r="CM49" s="190">
        <v>13</v>
      </c>
      <c r="CN49" s="190">
        <v>75</v>
      </c>
      <c r="CO49" s="190">
        <v>1402</v>
      </c>
      <c r="CP49" s="190">
        <v>1477</v>
      </c>
      <c r="CQ49" s="190">
        <v>0</v>
      </c>
      <c r="CR49" s="190">
        <v>2</v>
      </c>
      <c r="CS49" s="190">
        <v>2</v>
      </c>
      <c r="CT49" s="190">
        <v>952</v>
      </c>
      <c r="CU49" s="190">
        <v>11715</v>
      </c>
      <c r="CV49" s="190">
        <v>12667</v>
      </c>
      <c r="CW49" s="190">
        <v>81</v>
      </c>
      <c r="CX49" s="190">
        <v>651</v>
      </c>
      <c r="CY49" s="190">
        <v>732</v>
      </c>
      <c r="CZ49" s="190">
        <v>74</v>
      </c>
      <c r="DA49" s="190">
        <v>0</v>
      </c>
      <c r="DB49" s="190">
        <v>0</v>
      </c>
      <c r="DC49" s="190">
        <v>591</v>
      </c>
      <c r="DD49" s="190">
        <v>0</v>
      </c>
      <c r="DE49" s="190">
        <v>0</v>
      </c>
      <c r="DF49" s="190">
        <v>74</v>
      </c>
      <c r="DG49" s="190">
        <v>591</v>
      </c>
      <c r="DH49" s="190">
        <v>665</v>
      </c>
      <c r="DI49" s="190">
        <v>7</v>
      </c>
      <c r="DJ49" s="190">
        <v>0</v>
      </c>
      <c r="DK49" s="190">
        <v>0</v>
      </c>
      <c r="DL49" s="190">
        <v>60</v>
      </c>
      <c r="DM49" s="190">
        <v>0</v>
      </c>
      <c r="DN49" s="190">
        <v>0</v>
      </c>
      <c r="DO49" s="190">
        <v>7</v>
      </c>
      <c r="DP49" s="190">
        <v>60</v>
      </c>
      <c r="DQ49" s="190">
        <v>67</v>
      </c>
      <c r="DR49" s="190">
        <v>0</v>
      </c>
      <c r="DS49" s="190">
        <v>0</v>
      </c>
      <c r="DT49" s="191">
        <v>0</v>
      </c>
      <c r="DU49" s="172"/>
      <c r="DV49" s="192"/>
      <c r="DX49" s="192"/>
      <c r="DY49" s="192"/>
    </row>
    <row r="50" spans="1:129" s="193" customFormat="1">
      <c r="A50" s="189" t="s">
        <v>315</v>
      </c>
      <c r="B50" s="190">
        <v>1038</v>
      </c>
      <c r="C50" s="190">
        <v>259</v>
      </c>
      <c r="D50" s="190">
        <v>1037</v>
      </c>
      <c r="E50" s="190">
        <v>577</v>
      </c>
      <c r="F50" s="190">
        <v>5</v>
      </c>
      <c r="G50" s="190">
        <v>29</v>
      </c>
      <c r="H50" s="190">
        <v>34</v>
      </c>
      <c r="I50" s="190">
        <v>0</v>
      </c>
      <c r="J50" s="190">
        <v>441</v>
      </c>
      <c r="K50" s="190">
        <v>441</v>
      </c>
      <c r="L50" s="190">
        <v>0</v>
      </c>
      <c r="M50" s="190">
        <v>190</v>
      </c>
      <c r="N50" s="190">
        <v>190</v>
      </c>
      <c r="O50" s="190">
        <v>0</v>
      </c>
      <c r="P50" s="190">
        <v>251</v>
      </c>
      <c r="Q50" s="190">
        <v>251</v>
      </c>
      <c r="R50" s="190">
        <v>0</v>
      </c>
      <c r="S50" s="190">
        <v>18</v>
      </c>
      <c r="T50" s="190">
        <v>18</v>
      </c>
      <c r="U50" s="190">
        <v>0</v>
      </c>
      <c r="V50" s="190">
        <v>19</v>
      </c>
      <c r="W50" s="190">
        <v>19</v>
      </c>
      <c r="X50" s="190">
        <v>23</v>
      </c>
      <c r="Y50" s="190">
        <v>1014</v>
      </c>
      <c r="Z50" s="190">
        <v>1037</v>
      </c>
      <c r="AA50" s="190">
        <v>10</v>
      </c>
      <c r="AB50" s="190">
        <v>383</v>
      </c>
      <c r="AC50" s="190">
        <v>393</v>
      </c>
      <c r="AD50" s="190">
        <v>10</v>
      </c>
      <c r="AE50" s="190">
        <v>374</v>
      </c>
      <c r="AF50" s="190">
        <v>384</v>
      </c>
      <c r="AG50" s="190">
        <v>0</v>
      </c>
      <c r="AH50" s="190">
        <v>4</v>
      </c>
      <c r="AI50" s="190">
        <v>4</v>
      </c>
      <c r="AJ50" s="190">
        <v>0</v>
      </c>
      <c r="AK50" s="190">
        <v>5</v>
      </c>
      <c r="AL50" s="190">
        <v>5</v>
      </c>
      <c r="AM50" s="190">
        <v>13</v>
      </c>
      <c r="AN50" s="190">
        <v>631</v>
      </c>
      <c r="AO50" s="190">
        <v>644</v>
      </c>
      <c r="AP50" s="190">
        <v>1208</v>
      </c>
      <c r="AQ50" s="190">
        <v>10734</v>
      </c>
      <c r="AR50" s="190">
        <v>11942</v>
      </c>
      <c r="AS50" s="190">
        <v>1208</v>
      </c>
      <c r="AT50" s="190">
        <v>10734</v>
      </c>
      <c r="AU50" s="190">
        <v>11942</v>
      </c>
      <c r="AV50" s="190">
        <v>0</v>
      </c>
      <c r="AW50" s="190">
        <v>0</v>
      </c>
      <c r="AX50" s="190">
        <v>0</v>
      </c>
      <c r="AY50" s="190">
        <v>69</v>
      </c>
      <c r="AZ50" s="190">
        <v>1096</v>
      </c>
      <c r="BA50" s="190">
        <v>1165</v>
      </c>
      <c r="BB50" s="190">
        <v>29</v>
      </c>
      <c r="BC50" s="190">
        <v>0</v>
      </c>
      <c r="BD50" s="190">
        <v>0</v>
      </c>
      <c r="BE50" s="190">
        <v>548</v>
      </c>
      <c r="BF50" s="190">
        <v>0</v>
      </c>
      <c r="BG50" s="190">
        <v>0</v>
      </c>
      <c r="BH50" s="190">
        <v>29</v>
      </c>
      <c r="BI50" s="190">
        <v>548</v>
      </c>
      <c r="BJ50" s="190">
        <v>577</v>
      </c>
      <c r="BK50" s="190">
        <v>2</v>
      </c>
      <c r="BL50" s="190">
        <v>-2</v>
      </c>
      <c r="BM50" s="190">
        <v>0</v>
      </c>
      <c r="BN50" s="190">
        <v>8</v>
      </c>
      <c r="BO50" s="190">
        <v>47</v>
      </c>
      <c r="BP50" s="190">
        <v>55</v>
      </c>
      <c r="BQ50" s="190">
        <v>5</v>
      </c>
      <c r="BR50" s="190">
        <v>188</v>
      </c>
      <c r="BS50" s="190">
        <v>193</v>
      </c>
      <c r="BT50" s="190">
        <v>25</v>
      </c>
      <c r="BU50" s="190">
        <v>315</v>
      </c>
      <c r="BV50" s="190">
        <v>340</v>
      </c>
      <c r="BW50" s="190">
        <v>1277</v>
      </c>
      <c r="BX50" s="190">
        <v>11830</v>
      </c>
      <c r="BY50" s="190">
        <v>13107</v>
      </c>
      <c r="BZ50" s="190">
        <v>1275</v>
      </c>
      <c r="CA50" s="190">
        <v>11787</v>
      </c>
      <c r="CB50" s="190">
        <v>13062</v>
      </c>
      <c r="CC50" s="190">
        <v>24518</v>
      </c>
      <c r="CD50" s="190">
        <v>4</v>
      </c>
      <c r="CE50" s="190">
        <v>26</v>
      </c>
      <c r="CF50" s="190">
        <v>2</v>
      </c>
      <c r="CG50" s="190">
        <v>26</v>
      </c>
      <c r="CH50" s="190">
        <v>28</v>
      </c>
      <c r="CI50" s="190">
        <v>19</v>
      </c>
      <c r="CJ50" s="190">
        <v>0</v>
      </c>
      <c r="CK50" s="190">
        <v>0</v>
      </c>
      <c r="CL50" s="190">
        <v>17</v>
      </c>
      <c r="CM50" s="190">
        <v>17</v>
      </c>
      <c r="CN50" s="190">
        <v>65</v>
      </c>
      <c r="CO50" s="190">
        <v>1192</v>
      </c>
      <c r="CP50" s="190">
        <v>1257</v>
      </c>
      <c r="CQ50" s="190">
        <v>0</v>
      </c>
      <c r="CR50" s="190">
        <v>0</v>
      </c>
      <c r="CS50" s="190">
        <v>0</v>
      </c>
      <c r="CT50" s="190">
        <v>1212</v>
      </c>
      <c r="CU50" s="190">
        <v>10638</v>
      </c>
      <c r="CV50" s="190">
        <v>11850</v>
      </c>
      <c r="CW50" s="190">
        <v>72</v>
      </c>
      <c r="CX50" s="190">
        <v>415</v>
      </c>
      <c r="CY50" s="190">
        <v>487</v>
      </c>
      <c r="CZ50" s="190">
        <v>72</v>
      </c>
      <c r="DA50" s="190">
        <v>0</v>
      </c>
      <c r="DB50" s="190">
        <v>0</v>
      </c>
      <c r="DC50" s="190">
        <v>394</v>
      </c>
      <c r="DD50" s="190">
        <v>0</v>
      </c>
      <c r="DE50" s="190">
        <v>0</v>
      </c>
      <c r="DF50" s="190">
        <v>72</v>
      </c>
      <c r="DG50" s="190">
        <v>394</v>
      </c>
      <c r="DH50" s="190">
        <v>466</v>
      </c>
      <c r="DI50" s="190">
        <v>0</v>
      </c>
      <c r="DJ50" s="190">
        <v>0</v>
      </c>
      <c r="DK50" s="190">
        <v>0</v>
      </c>
      <c r="DL50" s="190">
        <v>21</v>
      </c>
      <c r="DM50" s="190">
        <v>0</v>
      </c>
      <c r="DN50" s="190">
        <v>0</v>
      </c>
      <c r="DO50" s="190">
        <v>0</v>
      </c>
      <c r="DP50" s="190">
        <v>21</v>
      </c>
      <c r="DQ50" s="190">
        <v>21</v>
      </c>
      <c r="DR50" s="190">
        <v>0</v>
      </c>
      <c r="DS50" s="190">
        <v>0</v>
      </c>
      <c r="DT50" s="191">
        <v>0</v>
      </c>
      <c r="DU50" s="172"/>
      <c r="DV50" s="192"/>
      <c r="DX50" s="192"/>
      <c r="DY50" s="192"/>
    </row>
    <row r="51" spans="1:129" s="193" customFormat="1">
      <c r="A51" s="189" t="s">
        <v>316</v>
      </c>
      <c r="B51" s="190">
        <v>11</v>
      </c>
      <c r="C51" s="190">
        <v>1</v>
      </c>
      <c r="D51" s="190">
        <v>17</v>
      </c>
      <c r="E51" s="190">
        <v>13</v>
      </c>
      <c r="F51" s="190">
        <v>0</v>
      </c>
      <c r="G51" s="190">
        <v>0</v>
      </c>
      <c r="H51" s="190">
        <v>0</v>
      </c>
      <c r="I51" s="190">
        <v>0</v>
      </c>
      <c r="J51" s="190">
        <v>4</v>
      </c>
      <c r="K51" s="190">
        <v>4</v>
      </c>
      <c r="L51" s="190">
        <v>0</v>
      </c>
      <c r="M51" s="190">
        <v>2</v>
      </c>
      <c r="N51" s="190">
        <v>2</v>
      </c>
      <c r="O51" s="190">
        <v>0</v>
      </c>
      <c r="P51" s="190">
        <v>2</v>
      </c>
      <c r="Q51" s="190">
        <v>2</v>
      </c>
      <c r="R51" s="190">
        <v>0</v>
      </c>
      <c r="S51" s="190">
        <v>1</v>
      </c>
      <c r="T51" s="190">
        <v>1</v>
      </c>
      <c r="U51" s="190">
        <v>0</v>
      </c>
      <c r="V51" s="190">
        <v>0</v>
      </c>
      <c r="W51" s="190">
        <v>0</v>
      </c>
      <c r="X51" s="190">
        <v>1</v>
      </c>
      <c r="Y51" s="190">
        <v>16</v>
      </c>
      <c r="Z51" s="190">
        <v>17</v>
      </c>
      <c r="AA51" s="190">
        <v>0</v>
      </c>
      <c r="AB51" s="190">
        <v>7</v>
      </c>
      <c r="AC51" s="190">
        <v>7</v>
      </c>
      <c r="AD51" s="190">
        <v>0</v>
      </c>
      <c r="AE51" s="190">
        <v>5</v>
      </c>
      <c r="AF51" s="190">
        <v>5</v>
      </c>
      <c r="AG51" s="190">
        <v>0</v>
      </c>
      <c r="AH51" s="190">
        <v>0</v>
      </c>
      <c r="AI51" s="190">
        <v>0</v>
      </c>
      <c r="AJ51" s="190">
        <v>0</v>
      </c>
      <c r="AK51" s="190">
        <v>2</v>
      </c>
      <c r="AL51" s="190">
        <v>2</v>
      </c>
      <c r="AM51" s="190">
        <v>1</v>
      </c>
      <c r="AN51" s="190">
        <v>9</v>
      </c>
      <c r="AO51" s="190">
        <v>10</v>
      </c>
      <c r="AP51" s="190">
        <v>9</v>
      </c>
      <c r="AQ51" s="190">
        <v>143</v>
      </c>
      <c r="AR51" s="190">
        <v>152</v>
      </c>
      <c r="AS51" s="190">
        <v>9</v>
      </c>
      <c r="AT51" s="190">
        <v>143</v>
      </c>
      <c r="AU51" s="190">
        <v>152</v>
      </c>
      <c r="AV51" s="190">
        <v>0</v>
      </c>
      <c r="AW51" s="190">
        <v>0</v>
      </c>
      <c r="AX51" s="190">
        <v>0</v>
      </c>
      <c r="AY51" s="190">
        <v>1</v>
      </c>
      <c r="AZ51" s="190">
        <v>15</v>
      </c>
      <c r="BA51" s="190">
        <v>16</v>
      </c>
      <c r="BB51" s="190">
        <v>1</v>
      </c>
      <c r="BC51" s="190">
        <v>0</v>
      </c>
      <c r="BD51" s="190">
        <v>0</v>
      </c>
      <c r="BE51" s="190">
        <v>12</v>
      </c>
      <c r="BF51" s="190">
        <v>0</v>
      </c>
      <c r="BG51" s="190">
        <v>0</v>
      </c>
      <c r="BH51" s="190">
        <v>1</v>
      </c>
      <c r="BI51" s="190">
        <v>12</v>
      </c>
      <c r="BJ51" s="190">
        <v>13</v>
      </c>
      <c r="BK51" s="190">
        <v>-1</v>
      </c>
      <c r="BL51" s="190">
        <v>1</v>
      </c>
      <c r="BM51" s="190">
        <v>0</v>
      </c>
      <c r="BN51" s="190">
        <v>0</v>
      </c>
      <c r="BO51" s="190">
        <v>0</v>
      </c>
      <c r="BP51" s="190">
        <v>0</v>
      </c>
      <c r="BQ51" s="190">
        <v>0</v>
      </c>
      <c r="BR51" s="190">
        <v>0</v>
      </c>
      <c r="BS51" s="190">
        <v>0</v>
      </c>
      <c r="BT51" s="190">
        <v>1</v>
      </c>
      <c r="BU51" s="190">
        <v>2</v>
      </c>
      <c r="BV51" s="190">
        <v>3</v>
      </c>
      <c r="BW51" s="190">
        <v>10</v>
      </c>
      <c r="BX51" s="190">
        <v>158</v>
      </c>
      <c r="BY51" s="190">
        <v>168</v>
      </c>
      <c r="BZ51" s="190">
        <v>10</v>
      </c>
      <c r="CA51" s="190">
        <v>158</v>
      </c>
      <c r="CB51" s="190">
        <v>168</v>
      </c>
      <c r="CC51" s="190">
        <v>281</v>
      </c>
      <c r="CD51" s="190">
        <v>0</v>
      </c>
      <c r="CE51" s="190">
        <v>0</v>
      </c>
      <c r="CF51" s="190">
        <v>0</v>
      </c>
      <c r="CG51" s="190">
        <v>0</v>
      </c>
      <c r="CH51" s="190">
        <v>0</v>
      </c>
      <c r="CI51" s="190">
        <v>0</v>
      </c>
      <c r="CJ51" s="190">
        <v>0</v>
      </c>
      <c r="CK51" s="190">
        <v>0</v>
      </c>
      <c r="CL51" s="190">
        <v>0</v>
      </c>
      <c r="CM51" s="190">
        <v>0</v>
      </c>
      <c r="CN51" s="190">
        <v>0</v>
      </c>
      <c r="CO51" s="190">
        <v>20</v>
      </c>
      <c r="CP51" s="190">
        <v>20</v>
      </c>
      <c r="CQ51" s="190">
        <v>0</v>
      </c>
      <c r="CR51" s="190">
        <v>0</v>
      </c>
      <c r="CS51" s="190">
        <v>0</v>
      </c>
      <c r="CT51" s="190">
        <v>10</v>
      </c>
      <c r="CU51" s="190">
        <v>138</v>
      </c>
      <c r="CV51" s="190">
        <v>148</v>
      </c>
      <c r="CW51" s="190">
        <v>2</v>
      </c>
      <c r="CX51" s="190">
        <v>4</v>
      </c>
      <c r="CY51" s="190">
        <v>6</v>
      </c>
      <c r="CZ51" s="190">
        <v>2</v>
      </c>
      <c r="DA51" s="190">
        <v>0</v>
      </c>
      <c r="DB51" s="190">
        <v>0</v>
      </c>
      <c r="DC51" s="190">
        <v>4</v>
      </c>
      <c r="DD51" s="190">
        <v>0</v>
      </c>
      <c r="DE51" s="190">
        <v>0</v>
      </c>
      <c r="DF51" s="190">
        <v>2</v>
      </c>
      <c r="DG51" s="190">
        <v>4</v>
      </c>
      <c r="DH51" s="190">
        <v>6</v>
      </c>
      <c r="DI51" s="190">
        <v>0</v>
      </c>
      <c r="DJ51" s="190">
        <v>0</v>
      </c>
      <c r="DK51" s="190">
        <v>0</v>
      </c>
      <c r="DL51" s="190">
        <v>0</v>
      </c>
      <c r="DM51" s="190">
        <v>0</v>
      </c>
      <c r="DN51" s="190">
        <v>0</v>
      </c>
      <c r="DO51" s="190">
        <v>0</v>
      </c>
      <c r="DP51" s="190">
        <v>0</v>
      </c>
      <c r="DQ51" s="190">
        <v>0</v>
      </c>
      <c r="DR51" s="190">
        <v>0</v>
      </c>
      <c r="DS51" s="190">
        <v>0</v>
      </c>
      <c r="DT51" s="191">
        <v>0</v>
      </c>
      <c r="DU51" s="172"/>
      <c r="DV51" s="192"/>
      <c r="DX51" s="192"/>
      <c r="DY51" s="192"/>
    </row>
    <row r="52" spans="1:129" s="193" customFormat="1">
      <c r="A52" s="189" t="s">
        <v>317</v>
      </c>
      <c r="B52" s="190">
        <v>262</v>
      </c>
      <c r="C52" s="190">
        <v>72</v>
      </c>
      <c r="D52" s="190">
        <v>288</v>
      </c>
      <c r="E52" s="190">
        <v>152</v>
      </c>
      <c r="F52" s="190">
        <v>1</v>
      </c>
      <c r="G52" s="190">
        <v>10</v>
      </c>
      <c r="H52" s="190">
        <v>11</v>
      </c>
      <c r="I52" s="190">
        <v>0</v>
      </c>
      <c r="J52" s="190">
        <v>126</v>
      </c>
      <c r="K52" s="190">
        <v>126</v>
      </c>
      <c r="L52" s="190">
        <v>0</v>
      </c>
      <c r="M52" s="190">
        <v>44</v>
      </c>
      <c r="N52" s="190">
        <v>44</v>
      </c>
      <c r="O52" s="190">
        <v>0</v>
      </c>
      <c r="P52" s="190">
        <v>82</v>
      </c>
      <c r="Q52" s="190">
        <v>82</v>
      </c>
      <c r="R52" s="190">
        <v>0</v>
      </c>
      <c r="S52" s="190">
        <v>3</v>
      </c>
      <c r="T52" s="190">
        <v>3</v>
      </c>
      <c r="U52" s="190">
        <v>0</v>
      </c>
      <c r="V52" s="190">
        <v>10</v>
      </c>
      <c r="W52" s="190">
        <v>10</v>
      </c>
      <c r="X52" s="190">
        <v>7</v>
      </c>
      <c r="Y52" s="190">
        <v>281</v>
      </c>
      <c r="Z52" s="190">
        <v>288</v>
      </c>
      <c r="AA52" s="190">
        <v>5</v>
      </c>
      <c r="AB52" s="190">
        <v>105</v>
      </c>
      <c r="AC52" s="190">
        <v>110</v>
      </c>
      <c r="AD52" s="190">
        <v>2</v>
      </c>
      <c r="AE52" s="190">
        <v>90</v>
      </c>
      <c r="AF52" s="190">
        <v>92</v>
      </c>
      <c r="AG52" s="190">
        <v>2</v>
      </c>
      <c r="AH52" s="190">
        <v>9</v>
      </c>
      <c r="AI52" s="190">
        <v>11</v>
      </c>
      <c r="AJ52" s="190">
        <v>1</v>
      </c>
      <c r="AK52" s="190">
        <v>6</v>
      </c>
      <c r="AL52" s="190">
        <v>7</v>
      </c>
      <c r="AM52" s="190">
        <v>2</v>
      </c>
      <c r="AN52" s="190">
        <v>176</v>
      </c>
      <c r="AO52" s="190">
        <v>178</v>
      </c>
      <c r="AP52" s="190">
        <v>342</v>
      </c>
      <c r="AQ52" s="190">
        <v>2534</v>
      </c>
      <c r="AR52" s="190">
        <v>2876</v>
      </c>
      <c r="AS52" s="190">
        <v>342</v>
      </c>
      <c r="AT52" s="190">
        <v>2534</v>
      </c>
      <c r="AU52" s="190">
        <v>2876</v>
      </c>
      <c r="AV52" s="190">
        <v>0</v>
      </c>
      <c r="AW52" s="190">
        <v>0</v>
      </c>
      <c r="AX52" s="190">
        <v>0</v>
      </c>
      <c r="AY52" s="190">
        <v>31</v>
      </c>
      <c r="AZ52" s="190">
        <v>277</v>
      </c>
      <c r="BA52" s="190">
        <v>308</v>
      </c>
      <c r="BB52" s="190">
        <v>9</v>
      </c>
      <c r="BC52" s="190">
        <v>0</v>
      </c>
      <c r="BD52" s="190">
        <v>0</v>
      </c>
      <c r="BE52" s="190">
        <v>143</v>
      </c>
      <c r="BF52" s="190">
        <v>0</v>
      </c>
      <c r="BG52" s="190">
        <v>0</v>
      </c>
      <c r="BH52" s="190">
        <v>9</v>
      </c>
      <c r="BI52" s="190">
        <v>143</v>
      </c>
      <c r="BJ52" s="190">
        <v>152</v>
      </c>
      <c r="BK52" s="190">
        <v>9</v>
      </c>
      <c r="BL52" s="190">
        <v>-9</v>
      </c>
      <c r="BM52" s="190">
        <v>0</v>
      </c>
      <c r="BN52" s="190">
        <v>0</v>
      </c>
      <c r="BO52" s="190">
        <v>5</v>
      </c>
      <c r="BP52" s="190">
        <v>5</v>
      </c>
      <c r="BQ52" s="190">
        <v>3</v>
      </c>
      <c r="BR52" s="190">
        <v>14</v>
      </c>
      <c r="BS52" s="190">
        <v>17</v>
      </c>
      <c r="BT52" s="190">
        <v>10</v>
      </c>
      <c r="BU52" s="190">
        <v>124</v>
      </c>
      <c r="BV52" s="190">
        <v>134</v>
      </c>
      <c r="BW52" s="190">
        <v>373</v>
      </c>
      <c r="BX52" s="190">
        <v>2811</v>
      </c>
      <c r="BY52" s="190">
        <v>3184</v>
      </c>
      <c r="BZ52" s="190">
        <v>372</v>
      </c>
      <c r="CA52" s="190">
        <v>2805</v>
      </c>
      <c r="CB52" s="190">
        <v>3177</v>
      </c>
      <c r="CC52" s="190">
        <v>6619</v>
      </c>
      <c r="CD52" s="190">
        <v>0</v>
      </c>
      <c r="CE52" s="190">
        <v>7</v>
      </c>
      <c r="CF52" s="190">
        <v>1</v>
      </c>
      <c r="CG52" s="190">
        <v>5</v>
      </c>
      <c r="CH52" s="190">
        <v>6</v>
      </c>
      <c r="CI52" s="190">
        <v>2</v>
      </c>
      <c r="CJ52" s="190">
        <v>0</v>
      </c>
      <c r="CK52" s="190">
        <v>0</v>
      </c>
      <c r="CL52" s="190">
        <v>1</v>
      </c>
      <c r="CM52" s="190">
        <v>1</v>
      </c>
      <c r="CN52" s="190">
        <v>31</v>
      </c>
      <c r="CO52" s="190">
        <v>275</v>
      </c>
      <c r="CP52" s="190">
        <v>306</v>
      </c>
      <c r="CQ52" s="190">
        <v>0</v>
      </c>
      <c r="CR52" s="190">
        <v>0</v>
      </c>
      <c r="CS52" s="190">
        <v>0</v>
      </c>
      <c r="CT52" s="190">
        <v>342</v>
      </c>
      <c r="CU52" s="190">
        <v>2536</v>
      </c>
      <c r="CV52" s="190">
        <v>2878</v>
      </c>
      <c r="CW52" s="190">
        <v>21</v>
      </c>
      <c r="CX52" s="190">
        <v>156</v>
      </c>
      <c r="CY52" s="190">
        <v>177</v>
      </c>
      <c r="CZ52" s="190">
        <v>21</v>
      </c>
      <c r="DA52" s="190">
        <v>0</v>
      </c>
      <c r="DB52" s="190">
        <v>0</v>
      </c>
      <c r="DC52" s="190">
        <v>150</v>
      </c>
      <c r="DD52" s="190">
        <v>1</v>
      </c>
      <c r="DE52" s="190">
        <v>0</v>
      </c>
      <c r="DF52" s="190">
        <v>21</v>
      </c>
      <c r="DG52" s="190">
        <v>151</v>
      </c>
      <c r="DH52" s="190">
        <v>172</v>
      </c>
      <c r="DI52" s="190">
        <v>0</v>
      </c>
      <c r="DJ52" s="190">
        <v>0</v>
      </c>
      <c r="DK52" s="190">
        <v>0</v>
      </c>
      <c r="DL52" s="190">
        <v>5</v>
      </c>
      <c r="DM52" s="190">
        <v>0</v>
      </c>
      <c r="DN52" s="190">
        <v>0</v>
      </c>
      <c r="DO52" s="190">
        <v>0</v>
      </c>
      <c r="DP52" s="190">
        <v>5</v>
      </c>
      <c r="DQ52" s="190">
        <v>5</v>
      </c>
      <c r="DR52" s="190">
        <v>0</v>
      </c>
      <c r="DS52" s="190">
        <v>0</v>
      </c>
      <c r="DT52" s="191">
        <v>0</v>
      </c>
      <c r="DU52" s="172"/>
      <c r="DV52" s="192"/>
      <c r="DX52" s="192"/>
      <c r="DY52" s="192"/>
    </row>
    <row r="53" spans="1:129" s="193" customFormat="1">
      <c r="A53" s="189" t="s">
        <v>318</v>
      </c>
      <c r="B53" s="190">
        <v>1450</v>
      </c>
      <c r="C53" s="190">
        <v>370</v>
      </c>
      <c r="D53" s="190">
        <v>1195</v>
      </c>
      <c r="E53" s="190">
        <v>725</v>
      </c>
      <c r="F53" s="190">
        <v>6</v>
      </c>
      <c r="G53" s="190">
        <v>27</v>
      </c>
      <c r="H53" s="190">
        <v>33</v>
      </c>
      <c r="I53" s="190">
        <v>1</v>
      </c>
      <c r="J53" s="190">
        <v>372</v>
      </c>
      <c r="K53" s="190">
        <v>373</v>
      </c>
      <c r="L53" s="190">
        <v>0</v>
      </c>
      <c r="M53" s="190">
        <v>121</v>
      </c>
      <c r="N53" s="190">
        <v>121</v>
      </c>
      <c r="O53" s="190">
        <v>1</v>
      </c>
      <c r="P53" s="190">
        <v>251</v>
      </c>
      <c r="Q53" s="190">
        <v>252</v>
      </c>
      <c r="R53" s="190">
        <v>0</v>
      </c>
      <c r="S53" s="190">
        <v>52</v>
      </c>
      <c r="T53" s="190">
        <v>52</v>
      </c>
      <c r="U53" s="190">
        <v>0</v>
      </c>
      <c r="V53" s="190">
        <v>97</v>
      </c>
      <c r="W53" s="190">
        <v>97</v>
      </c>
      <c r="X53" s="190">
        <v>11</v>
      </c>
      <c r="Y53" s="190">
        <v>679</v>
      </c>
      <c r="Z53" s="190">
        <v>690</v>
      </c>
      <c r="AA53" s="190">
        <v>9</v>
      </c>
      <c r="AB53" s="190">
        <v>359</v>
      </c>
      <c r="AC53" s="190">
        <v>368</v>
      </c>
      <c r="AD53" s="190">
        <v>9</v>
      </c>
      <c r="AE53" s="190">
        <v>351</v>
      </c>
      <c r="AF53" s="190">
        <v>360</v>
      </c>
      <c r="AG53" s="190">
        <v>0</v>
      </c>
      <c r="AH53" s="190">
        <v>7</v>
      </c>
      <c r="AI53" s="190">
        <v>7</v>
      </c>
      <c r="AJ53" s="190">
        <v>0</v>
      </c>
      <c r="AK53" s="190">
        <v>1</v>
      </c>
      <c r="AL53" s="190">
        <v>1</v>
      </c>
      <c r="AM53" s="190">
        <v>2</v>
      </c>
      <c r="AN53" s="190">
        <v>320</v>
      </c>
      <c r="AO53" s="190">
        <v>322</v>
      </c>
      <c r="AP53" s="190">
        <v>2370</v>
      </c>
      <c r="AQ53" s="190">
        <v>17972</v>
      </c>
      <c r="AR53" s="190">
        <v>20342</v>
      </c>
      <c r="AS53" s="190">
        <v>2399</v>
      </c>
      <c r="AT53" s="190">
        <v>17735</v>
      </c>
      <c r="AU53" s="190">
        <v>20134</v>
      </c>
      <c r="AV53" s="190">
        <v>-29</v>
      </c>
      <c r="AW53" s="190">
        <v>237</v>
      </c>
      <c r="AX53" s="190">
        <v>208</v>
      </c>
      <c r="AY53" s="190">
        <v>92</v>
      </c>
      <c r="AZ53" s="190">
        <v>1577</v>
      </c>
      <c r="BA53" s="190">
        <v>1669</v>
      </c>
      <c r="BB53" s="190">
        <v>50</v>
      </c>
      <c r="BC53" s="190">
        <v>0</v>
      </c>
      <c r="BD53" s="190">
        <v>0</v>
      </c>
      <c r="BE53" s="190">
        <v>667</v>
      </c>
      <c r="BF53" s="190">
        <v>3</v>
      </c>
      <c r="BG53" s="190">
        <v>5</v>
      </c>
      <c r="BH53" s="190">
        <v>50</v>
      </c>
      <c r="BI53" s="190">
        <v>675</v>
      </c>
      <c r="BJ53" s="190">
        <v>725</v>
      </c>
      <c r="BK53" s="190">
        <v>-48</v>
      </c>
      <c r="BL53" s="190">
        <v>48</v>
      </c>
      <c r="BM53" s="190">
        <v>0</v>
      </c>
      <c r="BN53" s="190">
        <v>5</v>
      </c>
      <c r="BO53" s="190">
        <v>45</v>
      </c>
      <c r="BP53" s="190">
        <v>50</v>
      </c>
      <c r="BQ53" s="190">
        <v>3</v>
      </c>
      <c r="BR53" s="190">
        <v>105</v>
      </c>
      <c r="BS53" s="190">
        <v>108</v>
      </c>
      <c r="BT53" s="190">
        <v>82</v>
      </c>
      <c r="BU53" s="190">
        <v>704</v>
      </c>
      <c r="BV53" s="190">
        <v>786</v>
      </c>
      <c r="BW53" s="190">
        <v>2462</v>
      </c>
      <c r="BX53" s="190">
        <v>19549</v>
      </c>
      <c r="BY53" s="190">
        <v>22011</v>
      </c>
      <c r="BZ53" s="190">
        <v>2440</v>
      </c>
      <c r="CA53" s="190">
        <v>19326</v>
      </c>
      <c r="CB53" s="190">
        <v>21766</v>
      </c>
      <c r="CC53" s="190">
        <v>41317</v>
      </c>
      <c r="CD53" s="190">
        <v>212</v>
      </c>
      <c r="CE53" s="190">
        <v>179</v>
      </c>
      <c r="CF53" s="190">
        <v>21</v>
      </c>
      <c r="CG53" s="190">
        <v>156</v>
      </c>
      <c r="CH53" s="190">
        <v>177</v>
      </c>
      <c r="CI53" s="190">
        <v>88</v>
      </c>
      <c r="CJ53" s="190">
        <v>65</v>
      </c>
      <c r="CK53" s="190">
        <v>1</v>
      </c>
      <c r="CL53" s="190">
        <v>67</v>
      </c>
      <c r="CM53" s="190">
        <v>68</v>
      </c>
      <c r="CN53" s="190">
        <v>145</v>
      </c>
      <c r="CO53" s="190">
        <v>1910</v>
      </c>
      <c r="CP53" s="190">
        <v>2055</v>
      </c>
      <c r="CQ53" s="190">
        <v>0</v>
      </c>
      <c r="CR53" s="190">
        <v>7</v>
      </c>
      <c r="CS53" s="190">
        <v>7</v>
      </c>
      <c r="CT53" s="190">
        <v>2317</v>
      </c>
      <c r="CU53" s="190">
        <v>17639</v>
      </c>
      <c r="CV53" s="190">
        <v>19956</v>
      </c>
      <c r="CW53" s="190">
        <v>155</v>
      </c>
      <c r="CX53" s="190">
        <v>944</v>
      </c>
      <c r="CY53" s="190">
        <v>1099</v>
      </c>
      <c r="CZ53" s="190">
        <v>153</v>
      </c>
      <c r="DA53" s="190">
        <v>0</v>
      </c>
      <c r="DB53" s="190">
        <v>0</v>
      </c>
      <c r="DC53" s="190">
        <v>903</v>
      </c>
      <c r="DD53" s="190">
        <v>7</v>
      </c>
      <c r="DE53" s="190">
        <v>1</v>
      </c>
      <c r="DF53" s="190">
        <v>153</v>
      </c>
      <c r="DG53" s="190">
        <v>911</v>
      </c>
      <c r="DH53" s="190">
        <v>1064</v>
      </c>
      <c r="DI53" s="190">
        <v>2</v>
      </c>
      <c r="DJ53" s="190">
        <v>0</v>
      </c>
      <c r="DK53" s="190">
        <v>0</v>
      </c>
      <c r="DL53" s="190">
        <v>31</v>
      </c>
      <c r="DM53" s="190">
        <v>1</v>
      </c>
      <c r="DN53" s="190">
        <v>1</v>
      </c>
      <c r="DO53" s="190">
        <v>2</v>
      </c>
      <c r="DP53" s="190">
        <v>33</v>
      </c>
      <c r="DQ53" s="190">
        <v>35</v>
      </c>
      <c r="DR53" s="190">
        <v>0</v>
      </c>
      <c r="DS53" s="190">
        <v>1</v>
      </c>
      <c r="DT53" s="191">
        <v>1</v>
      </c>
      <c r="DU53" s="172"/>
      <c r="DV53" s="192"/>
      <c r="DX53" s="192"/>
      <c r="DY53" s="192"/>
    </row>
    <row r="54" spans="1:129" s="193" customFormat="1">
      <c r="A54" s="189" t="s">
        <v>319</v>
      </c>
      <c r="B54" s="190">
        <v>1385</v>
      </c>
      <c r="C54" s="190">
        <v>309</v>
      </c>
      <c r="D54" s="190">
        <v>1393</v>
      </c>
      <c r="E54" s="190">
        <v>778</v>
      </c>
      <c r="F54" s="190">
        <v>2</v>
      </c>
      <c r="G54" s="190">
        <v>32</v>
      </c>
      <c r="H54" s="190">
        <v>34</v>
      </c>
      <c r="I54" s="190">
        <v>1</v>
      </c>
      <c r="J54" s="190">
        <v>578</v>
      </c>
      <c r="K54" s="190">
        <v>579</v>
      </c>
      <c r="L54" s="190">
        <v>1</v>
      </c>
      <c r="M54" s="190">
        <v>577</v>
      </c>
      <c r="N54" s="190">
        <v>578</v>
      </c>
      <c r="O54" s="190">
        <v>0</v>
      </c>
      <c r="P54" s="190">
        <v>1</v>
      </c>
      <c r="Q54" s="190">
        <v>1</v>
      </c>
      <c r="R54" s="190">
        <v>0</v>
      </c>
      <c r="S54" s="190">
        <v>27</v>
      </c>
      <c r="T54" s="190">
        <v>27</v>
      </c>
      <c r="U54" s="190">
        <v>0</v>
      </c>
      <c r="V54" s="190">
        <v>36</v>
      </c>
      <c r="W54" s="190">
        <v>36</v>
      </c>
      <c r="X54" s="190">
        <v>30</v>
      </c>
      <c r="Y54" s="190">
        <v>1245</v>
      </c>
      <c r="Z54" s="190">
        <v>1275</v>
      </c>
      <c r="AA54" s="190">
        <v>25</v>
      </c>
      <c r="AB54" s="190">
        <v>293</v>
      </c>
      <c r="AC54" s="190">
        <v>318</v>
      </c>
      <c r="AD54" s="190">
        <v>24</v>
      </c>
      <c r="AE54" s="190">
        <v>197</v>
      </c>
      <c r="AF54" s="190">
        <v>221</v>
      </c>
      <c r="AG54" s="190">
        <v>0</v>
      </c>
      <c r="AH54" s="190">
        <v>72</v>
      </c>
      <c r="AI54" s="190">
        <v>72</v>
      </c>
      <c r="AJ54" s="190">
        <v>1</v>
      </c>
      <c r="AK54" s="190">
        <v>24</v>
      </c>
      <c r="AL54" s="190">
        <v>25</v>
      </c>
      <c r="AM54" s="190">
        <v>5</v>
      </c>
      <c r="AN54" s="190">
        <v>952</v>
      </c>
      <c r="AO54" s="190">
        <v>957</v>
      </c>
      <c r="AP54" s="190">
        <v>1359</v>
      </c>
      <c r="AQ54" s="190">
        <v>15624</v>
      </c>
      <c r="AR54" s="190">
        <v>16983</v>
      </c>
      <c r="AS54" s="190">
        <v>1352</v>
      </c>
      <c r="AT54" s="190">
        <v>15507</v>
      </c>
      <c r="AU54" s="190">
        <v>16859</v>
      </c>
      <c r="AV54" s="190">
        <v>7</v>
      </c>
      <c r="AW54" s="190">
        <v>117</v>
      </c>
      <c r="AX54" s="190">
        <v>124</v>
      </c>
      <c r="AY54" s="190">
        <v>40</v>
      </c>
      <c r="AZ54" s="190">
        <v>1291</v>
      </c>
      <c r="BA54" s="190">
        <v>1331</v>
      </c>
      <c r="BB54" s="190">
        <v>36</v>
      </c>
      <c r="BC54" s="190">
        <v>1</v>
      </c>
      <c r="BD54" s="190">
        <v>0</v>
      </c>
      <c r="BE54" s="190">
        <v>729</v>
      </c>
      <c r="BF54" s="190">
        <v>11</v>
      </c>
      <c r="BG54" s="190">
        <v>1</v>
      </c>
      <c r="BH54" s="190">
        <v>37</v>
      </c>
      <c r="BI54" s="190">
        <v>741</v>
      </c>
      <c r="BJ54" s="190">
        <v>778</v>
      </c>
      <c r="BK54" s="190">
        <v>-37</v>
      </c>
      <c r="BL54" s="190">
        <v>37</v>
      </c>
      <c r="BM54" s="190">
        <v>0</v>
      </c>
      <c r="BN54" s="190">
        <v>3</v>
      </c>
      <c r="BO54" s="190">
        <v>19</v>
      </c>
      <c r="BP54" s="190">
        <v>22</v>
      </c>
      <c r="BQ54" s="190">
        <v>17</v>
      </c>
      <c r="BR54" s="190">
        <v>173</v>
      </c>
      <c r="BS54" s="190">
        <v>190</v>
      </c>
      <c r="BT54" s="190">
        <v>20</v>
      </c>
      <c r="BU54" s="190">
        <v>321</v>
      </c>
      <c r="BV54" s="190">
        <v>341</v>
      </c>
      <c r="BW54" s="190">
        <v>1399</v>
      </c>
      <c r="BX54" s="190">
        <v>16915</v>
      </c>
      <c r="BY54" s="190">
        <v>18314</v>
      </c>
      <c r="BZ54" s="190">
        <v>1366</v>
      </c>
      <c r="CA54" s="190">
        <v>16642</v>
      </c>
      <c r="CB54" s="190">
        <v>18008</v>
      </c>
      <c r="CC54" s="190">
        <v>32734</v>
      </c>
      <c r="CD54" s="190">
        <v>20</v>
      </c>
      <c r="CE54" s="190">
        <v>288</v>
      </c>
      <c r="CF54" s="190">
        <v>32</v>
      </c>
      <c r="CG54" s="190">
        <v>215</v>
      </c>
      <c r="CH54" s="190">
        <v>247</v>
      </c>
      <c r="CI54" s="190">
        <v>71</v>
      </c>
      <c r="CJ54" s="190">
        <v>6</v>
      </c>
      <c r="CK54" s="190">
        <v>1</v>
      </c>
      <c r="CL54" s="190">
        <v>58</v>
      </c>
      <c r="CM54" s="190">
        <v>59</v>
      </c>
      <c r="CN54" s="190">
        <v>92</v>
      </c>
      <c r="CO54" s="190">
        <v>1704</v>
      </c>
      <c r="CP54" s="190">
        <v>1796</v>
      </c>
      <c r="CQ54" s="190">
        <v>0</v>
      </c>
      <c r="CR54" s="190">
        <v>0</v>
      </c>
      <c r="CS54" s="190">
        <v>0</v>
      </c>
      <c r="CT54" s="190">
        <v>1307</v>
      </c>
      <c r="CU54" s="190">
        <v>15211</v>
      </c>
      <c r="CV54" s="190">
        <v>16518</v>
      </c>
      <c r="CW54" s="190">
        <v>103</v>
      </c>
      <c r="CX54" s="190">
        <v>615</v>
      </c>
      <c r="CY54" s="190">
        <v>718</v>
      </c>
      <c r="CZ54" s="190">
        <v>100</v>
      </c>
      <c r="DA54" s="190">
        <v>0</v>
      </c>
      <c r="DB54" s="190">
        <v>0</v>
      </c>
      <c r="DC54" s="190">
        <v>564</v>
      </c>
      <c r="DD54" s="190">
        <v>12</v>
      </c>
      <c r="DE54" s="190">
        <v>2</v>
      </c>
      <c r="DF54" s="190">
        <v>100</v>
      </c>
      <c r="DG54" s="190">
        <v>578</v>
      </c>
      <c r="DH54" s="190">
        <v>678</v>
      </c>
      <c r="DI54" s="190">
        <v>3</v>
      </c>
      <c r="DJ54" s="190">
        <v>0</v>
      </c>
      <c r="DK54" s="190">
        <v>0</v>
      </c>
      <c r="DL54" s="190">
        <v>35</v>
      </c>
      <c r="DM54" s="190">
        <v>2</v>
      </c>
      <c r="DN54" s="190">
        <v>0</v>
      </c>
      <c r="DO54" s="190">
        <v>3</v>
      </c>
      <c r="DP54" s="190">
        <v>37</v>
      </c>
      <c r="DQ54" s="190">
        <v>40</v>
      </c>
      <c r="DR54" s="190">
        <v>0</v>
      </c>
      <c r="DS54" s="190">
        <v>0</v>
      </c>
      <c r="DT54" s="191">
        <v>0</v>
      </c>
      <c r="DU54" s="172"/>
      <c r="DV54" s="192"/>
      <c r="DX54" s="192"/>
      <c r="DY54" s="192"/>
    </row>
    <row r="55" spans="1:129" s="193" customFormat="1">
      <c r="A55" s="189" t="s">
        <v>320</v>
      </c>
      <c r="B55" s="190">
        <v>2924</v>
      </c>
      <c r="C55" s="190">
        <v>640</v>
      </c>
      <c r="D55" s="190">
        <v>3011</v>
      </c>
      <c r="E55" s="190">
        <v>1945</v>
      </c>
      <c r="F55" s="190">
        <v>5</v>
      </c>
      <c r="G55" s="190">
        <v>41</v>
      </c>
      <c r="H55" s="190">
        <v>46</v>
      </c>
      <c r="I55" s="190">
        <v>1</v>
      </c>
      <c r="J55" s="190">
        <v>940</v>
      </c>
      <c r="K55" s="190">
        <v>941</v>
      </c>
      <c r="L55" s="190">
        <v>1</v>
      </c>
      <c r="M55" s="190">
        <v>542</v>
      </c>
      <c r="N55" s="190">
        <v>543</v>
      </c>
      <c r="O55" s="190">
        <v>0</v>
      </c>
      <c r="P55" s="190">
        <v>398</v>
      </c>
      <c r="Q55" s="190">
        <v>398</v>
      </c>
      <c r="R55" s="190">
        <v>0</v>
      </c>
      <c r="S55" s="190">
        <v>17</v>
      </c>
      <c r="T55" s="190">
        <v>17</v>
      </c>
      <c r="U55" s="190">
        <v>0</v>
      </c>
      <c r="V55" s="190">
        <v>125</v>
      </c>
      <c r="W55" s="190">
        <v>125</v>
      </c>
      <c r="X55" s="190">
        <v>84</v>
      </c>
      <c r="Y55" s="190">
        <v>2927</v>
      </c>
      <c r="Z55" s="190">
        <v>3011</v>
      </c>
      <c r="AA55" s="190">
        <v>40</v>
      </c>
      <c r="AB55" s="190">
        <v>1220</v>
      </c>
      <c r="AC55" s="190">
        <v>1260</v>
      </c>
      <c r="AD55" s="190">
        <v>31</v>
      </c>
      <c r="AE55" s="190">
        <v>1129</v>
      </c>
      <c r="AF55" s="190">
        <v>1160</v>
      </c>
      <c r="AG55" s="190">
        <v>5</v>
      </c>
      <c r="AH55" s="190">
        <v>52</v>
      </c>
      <c r="AI55" s="190">
        <v>57</v>
      </c>
      <c r="AJ55" s="190">
        <v>4</v>
      </c>
      <c r="AK55" s="190">
        <v>39</v>
      </c>
      <c r="AL55" s="190">
        <v>43</v>
      </c>
      <c r="AM55" s="190">
        <v>44</v>
      </c>
      <c r="AN55" s="190">
        <v>1707</v>
      </c>
      <c r="AO55" s="190">
        <v>1751</v>
      </c>
      <c r="AP55" s="190">
        <v>5243</v>
      </c>
      <c r="AQ55" s="190">
        <v>33225</v>
      </c>
      <c r="AR55" s="190">
        <v>38468</v>
      </c>
      <c r="AS55" s="190">
        <v>5243</v>
      </c>
      <c r="AT55" s="190">
        <v>33226</v>
      </c>
      <c r="AU55" s="190">
        <v>38469</v>
      </c>
      <c r="AV55" s="190">
        <v>0</v>
      </c>
      <c r="AW55" s="190">
        <v>-1</v>
      </c>
      <c r="AX55" s="190">
        <v>-1</v>
      </c>
      <c r="AY55" s="190">
        <v>293</v>
      </c>
      <c r="AZ55" s="190">
        <v>3077</v>
      </c>
      <c r="BA55" s="190">
        <v>3370</v>
      </c>
      <c r="BB55" s="190">
        <v>95</v>
      </c>
      <c r="BC55" s="190">
        <v>1</v>
      </c>
      <c r="BD55" s="190">
        <v>0</v>
      </c>
      <c r="BE55" s="190">
        <v>1838</v>
      </c>
      <c r="BF55" s="190">
        <v>9</v>
      </c>
      <c r="BG55" s="190">
        <v>2</v>
      </c>
      <c r="BH55" s="190">
        <v>96</v>
      </c>
      <c r="BI55" s="190">
        <v>1849</v>
      </c>
      <c r="BJ55" s="190">
        <v>1945</v>
      </c>
      <c r="BK55" s="190">
        <v>-21</v>
      </c>
      <c r="BL55" s="190">
        <v>21</v>
      </c>
      <c r="BM55" s="190">
        <v>0</v>
      </c>
      <c r="BN55" s="190">
        <v>35</v>
      </c>
      <c r="BO55" s="190">
        <v>75</v>
      </c>
      <c r="BP55" s="190">
        <v>110</v>
      </c>
      <c r="BQ55" s="190">
        <v>51</v>
      </c>
      <c r="BR55" s="190">
        <v>443</v>
      </c>
      <c r="BS55" s="190">
        <v>494</v>
      </c>
      <c r="BT55" s="190">
        <v>132</v>
      </c>
      <c r="BU55" s="190">
        <v>689</v>
      </c>
      <c r="BV55" s="190">
        <v>821</v>
      </c>
      <c r="BW55" s="190">
        <v>5536</v>
      </c>
      <c r="BX55" s="190">
        <v>36302</v>
      </c>
      <c r="BY55" s="190">
        <v>41838</v>
      </c>
      <c r="BZ55" s="190">
        <v>5500</v>
      </c>
      <c r="CA55" s="190">
        <v>36098</v>
      </c>
      <c r="CB55" s="190">
        <v>41598</v>
      </c>
      <c r="CC55" s="190">
        <v>87159</v>
      </c>
      <c r="CD55" s="190">
        <v>16</v>
      </c>
      <c r="CE55" s="190">
        <v>231</v>
      </c>
      <c r="CF55" s="190">
        <v>35</v>
      </c>
      <c r="CG55" s="190">
        <v>176</v>
      </c>
      <c r="CH55" s="190">
        <v>211</v>
      </c>
      <c r="CI55" s="190">
        <v>30</v>
      </c>
      <c r="CJ55" s="190">
        <v>6</v>
      </c>
      <c r="CK55" s="190">
        <v>1</v>
      </c>
      <c r="CL55" s="190">
        <v>28</v>
      </c>
      <c r="CM55" s="190">
        <v>29</v>
      </c>
      <c r="CN55" s="190">
        <v>312</v>
      </c>
      <c r="CO55" s="190">
        <v>3339</v>
      </c>
      <c r="CP55" s="190">
        <v>3651</v>
      </c>
      <c r="CQ55" s="190">
        <v>0</v>
      </c>
      <c r="CR55" s="190">
        <v>1</v>
      </c>
      <c r="CS55" s="190">
        <v>1</v>
      </c>
      <c r="CT55" s="190">
        <v>5224</v>
      </c>
      <c r="CU55" s="190">
        <v>32963</v>
      </c>
      <c r="CV55" s="190">
        <v>38187</v>
      </c>
      <c r="CW55" s="190">
        <v>340</v>
      </c>
      <c r="CX55" s="190">
        <v>1312</v>
      </c>
      <c r="CY55" s="190">
        <v>1652</v>
      </c>
      <c r="CZ55" s="190">
        <v>339</v>
      </c>
      <c r="DA55" s="190">
        <v>0</v>
      </c>
      <c r="DB55" s="190">
        <v>0</v>
      </c>
      <c r="DC55" s="190">
        <v>1295</v>
      </c>
      <c r="DD55" s="190">
        <v>6</v>
      </c>
      <c r="DE55" s="190">
        <v>1</v>
      </c>
      <c r="DF55" s="190">
        <v>339</v>
      </c>
      <c r="DG55" s="190">
        <v>1302</v>
      </c>
      <c r="DH55" s="190">
        <v>1641</v>
      </c>
      <c r="DI55" s="190">
        <v>1</v>
      </c>
      <c r="DJ55" s="190">
        <v>0</v>
      </c>
      <c r="DK55" s="190">
        <v>0</v>
      </c>
      <c r="DL55" s="190">
        <v>10</v>
      </c>
      <c r="DM55" s="190">
        <v>0</v>
      </c>
      <c r="DN55" s="190">
        <v>0</v>
      </c>
      <c r="DO55" s="190">
        <v>1</v>
      </c>
      <c r="DP55" s="190">
        <v>10</v>
      </c>
      <c r="DQ55" s="190">
        <v>11</v>
      </c>
      <c r="DR55" s="190">
        <v>0</v>
      </c>
      <c r="DS55" s="190">
        <v>0</v>
      </c>
      <c r="DT55" s="191">
        <v>0</v>
      </c>
      <c r="DU55" s="172"/>
      <c r="DV55" s="192"/>
      <c r="DX55" s="192"/>
      <c r="DY55" s="192"/>
    </row>
    <row r="56" spans="1:129" s="193" customFormat="1">
      <c r="A56" s="189" t="s">
        <v>321</v>
      </c>
      <c r="B56" s="190">
        <v>400</v>
      </c>
      <c r="C56" s="190">
        <v>105</v>
      </c>
      <c r="D56" s="190">
        <v>402</v>
      </c>
      <c r="E56" s="190">
        <v>219</v>
      </c>
      <c r="F56" s="190">
        <v>0</v>
      </c>
      <c r="G56" s="190">
        <v>6</v>
      </c>
      <c r="H56" s="190">
        <v>6</v>
      </c>
      <c r="I56" s="190">
        <v>1</v>
      </c>
      <c r="J56" s="190">
        <v>160</v>
      </c>
      <c r="K56" s="190">
        <v>161</v>
      </c>
      <c r="L56" s="190">
        <v>1</v>
      </c>
      <c r="M56" s="190">
        <v>65</v>
      </c>
      <c r="N56" s="190">
        <v>66</v>
      </c>
      <c r="O56" s="190">
        <v>0</v>
      </c>
      <c r="P56" s="190">
        <v>95</v>
      </c>
      <c r="Q56" s="190">
        <v>95</v>
      </c>
      <c r="R56" s="190">
        <v>0</v>
      </c>
      <c r="S56" s="190">
        <v>2</v>
      </c>
      <c r="T56" s="190">
        <v>2</v>
      </c>
      <c r="U56" s="190">
        <v>0</v>
      </c>
      <c r="V56" s="190">
        <v>22</v>
      </c>
      <c r="W56" s="190">
        <v>22</v>
      </c>
      <c r="X56" s="190">
        <v>17</v>
      </c>
      <c r="Y56" s="190">
        <v>383</v>
      </c>
      <c r="Z56" s="190">
        <v>400</v>
      </c>
      <c r="AA56" s="190">
        <v>9</v>
      </c>
      <c r="AB56" s="190">
        <v>139</v>
      </c>
      <c r="AC56" s="190">
        <v>148</v>
      </c>
      <c r="AD56" s="190">
        <v>7</v>
      </c>
      <c r="AE56" s="190">
        <v>127</v>
      </c>
      <c r="AF56" s="190">
        <v>134</v>
      </c>
      <c r="AG56" s="190">
        <v>1</v>
      </c>
      <c r="AH56" s="190">
        <v>8</v>
      </c>
      <c r="AI56" s="190">
        <v>9</v>
      </c>
      <c r="AJ56" s="190">
        <v>1</v>
      </c>
      <c r="AK56" s="190">
        <v>4</v>
      </c>
      <c r="AL56" s="190">
        <v>5</v>
      </c>
      <c r="AM56" s="190">
        <v>8</v>
      </c>
      <c r="AN56" s="190">
        <v>244</v>
      </c>
      <c r="AO56" s="190">
        <v>252</v>
      </c>
      <c r="AP56" s="190">
        <v>619</v>
      </c>
      <c r="AQ56" s="190">
        <v>4518</v>
      </c>
      <c r="AR56" s="190">
        <v>5137</v>
      </c>
      <c r="AS56" s="190">
        <v>619</v>
      </c>
      <c r="AT56" s="190">
        <v>4518</v>
      </c>
      <c r="AU56" s="190">
        <v>5137</v>
      </c>
      <c r="AV56" s="190">
        <v>0</v>
      </c>
      <c r="AW56" s="190">
        <v>0</v>
      </c>
      <c r="AX56" s="190">
        <v>0</v>
      </c>
      <c r="AY56" s="190">
        <v>30</v>
      </c>
      <c r="AZ56" s="190">
        <v>468</v>
      </c>
      <c r="BA56" s="190">
        <v>498</v>
      </c>
      <c r="BB56" s="190">
        <v>14</v>
      </c>
      <c r="BC56" s="190">
        <v>0</v>
      </c>
      <c r="BD56" s="190">
        <v>0</v>
      </c>
      <c r="BE56" s="190">
        <v>203</v>
      </c>
      <c r="BF56" s="190">
        <v>2</v>
      </c>
      <c r="BG56" s="190">
        <v>0</v>
      </c>
      <c r="BH56" s="190">
        <v>14</v>
      </c>
      <c r="BI56" s="190">
        <v>205</v>
      </c>
      <c r="BJ56" s="190">
        <v>219</v>
      </c>
      <c r="BK56" s="190">
        <v>-17</v>
      </c>
      <c r="BL56" s="190">
        <v>17</v>
      </c>
      <c r="BM56" s="190">
        <v>0</v>
      </c>
      <c r="BN56" s="190">
        <v>9</v>
      </c>
      <c r="BO56" s="190">
        <v>15</v>
      </c>
      <c r="BP56" s="190">
        <v>24</v>
      </c>
      <c r="BQ56" s="190">
        <v>2</v>
      </c>
      <c r="BR56" s="190">
        <v>69</v>
      </c>
      <c r="BS56" s="190">
        <v>71</v>
      </c>
      <c r="BT56" s="190">
        <v>22</v>
      </c>
      <c r="BU56" s="190">
        <v>162</v>
      </c>
      <c r="BV56" s="190">
        <v>184</v>
      </c>
      <c r="BW56" s="190">
        <v>649</v>
      </c>
      <c r="BX56" s="190">
        <v>4986</v>
      </c>
      <c r="BY56" s="190">
        <v>5635</v>
      </c>
      <c r="BZ56" s="190">
        <v>634</v>
      </c>
      <c r="CA56" s="190">
        <v>4931</v>
      </c>
      <c r="CB56" s="190">
        <v>5565</v>
      </c>
      <c r="CC56" s="190">
        <v>12732</v>
      </c>
      <c r="CD56" s="190">
        <v>7</v>
      </c>
      <c r="CE56" s="190">
        <v>66</v>
      </c>
      <c r="CF56" s="190">
        <v>15</v>
      </c>
      <c r="CG56" s="190">
        <v>44</v>
      </c>
      <c r="CH56" s="190">
        <v>59</v>
      </c>
      <c r="CI56" s="190">
        <v>11</v>
      </c>
      <c r="CJ56" s="190">
        <v>3</v>
      </c>
      <c r="CK56" s="190">
        <v>0</v>
      </c>
      <c r="CL56" s="190">
        <v>11</v>
      </c>
      <c r="CM56" s="190">
        <v>11</v>
      </c>
      <c r="CN56" s="190">
        <v>41</v>
      </c>
      <c r="CO56" s="190">
        <v>503</v>
      </c>
      <c r="CP56" s="190">
        <v>544</v>
      </c>
      <c r="CQ56" s="190">
        <v>0</v>
      </c>
      <c r="CR56" s="190">
        <v>0</v>
      </c>
      <c r="CS56" s="190">
        <v>0</v>
      </c>
      <c r="CT56" s="190">
        <v>608</v>
      </c>
      <c r="CU56" s="190">
        <v>4483</v>
      </c>
      <c r="CV56" s="190">
        <v>5091</v>
      </c>
      <c r="CW56" s="190">
        <v>35</v>
      </c>
      <c r="CX56" s="190">
        <v>226</v>
      </c>
      <c r="CY56" s="190">
        <v>261</v>
      </c>
      <c r="CZ56" s="190">
        <v>34</v>
      </c>
      <c r="DA56" s="190">
        <v>1</v>
      </c>
      <c r="DB56" s="190">
        <v>0</v>
      </c>
      <c r="DC56" s="190">
        <v>219</v>
      </c>
      <c r="DD56" s="190">
        <v>1</v>
      </c>
      <c r="DE56" s="190">
        <v>0</v>
      </c>
      <c r="DF56" s="190">
        <v>35</v>
      </c>
      <c r="DG56" s="190">
        <v>220</v>
      </c>
      <c r="DH56" s="190">
        <v>255</v>
      </c>
      <c r="DI56" s="190">
        <v>0</v>
      </c>
      <c r="DJ56" s="190">
        <v>0</v>
      </c>
      <c r="DK56" s="190">
        <v>0</v>
      </c>
      <c r="DL56" s="190">
        <v>6</v>
      </c>
      <c r="DM56" s="190">
        <v>0</v>
      </c>
      <c r="DN56" s="190">
        <v>0</v>
      </c>
      <c r="DO56" s="190">
        <v>0</v>
      </c>
      <c r="DP56" s="190">
        <v>6</v>
      </c>
      <c r="DQ56" s="190">
        <v>6</v>
      </c>
      <c r="DR56" s="190">
        <v>0</v>
      </c>
      <c r="DS56" s="190">
        <v>0</v>
      </c>
      <c r="DT56" s="191">
        <v>0</v>
      </c>
      <c r="DU56" s="172"/>
      <c r="DV56" s="192"/>
      <c r="DX56" s="192"/>
      <c r="DY56" s="192"/>
    </row>
    <row r="57" spans="1:129" s="193" customFormat="1">
      <c r="A57" s="189" t="s">
        <v>322</v>
      </c>
      <c r="B57" s="190">
        <v>344</v>
      </c>
      <c r="C57" s="190">
        <v>46</v>
      </c>
      <c r="D57" s="190">
        <v>339</v>
      </c>
      <c r="E57" s="190">
        <v>170</v>
      </c>
      <c r="F57" s="190">
        <v>3</v>
      </c>
      <c r="G57" s="190">
        <v>14</v>
      </c>
      <c r="H57" s="190">
        <v>17</v>
      </c>
      <c r="I57" s="190">
        <v>1</v>
      </c>
      <c r="J57" s="190">
        <v>139</v>
      </c>
      <c r="K57" s="190">
        <v>140</v>
      </c>
      <c r="L57" s="190">
        <v>1</v>
      </c>
      <c r="M57" s="190">
        <v>32</v>
      </c>
      <c r="N57" s="190">
        <v>33</v>
      </c>
      <c r="O57" s="190">
        <v>0</v>
      </c>
      <c r="P57" s="190">
        <v>107</v>
      </c>
      <c r="Q57" s="190">
        <v>107</v>
      </c>
      <c r="R57" s="190">
        <v>0</v>
      </c>
      <c r="S57" s="190">
        <v>8</v>
      </c>
      <c r="T57" s="190">
        <v>8</v>
      </c>
      <c r="U57" s="190">
        <v>0</v>
      </c>
      <c r="V57" s="190">
        <v>29</v>
      </c>
      <c r="W57" s="190">
        <v>29</v>
      </c>
      <c r="X57" s="190">
        <v>7</v>
      </c>
      <c r="Y57" s="190">
        <v>332</v>
      </c>
      <c r="Z57" s="190">
        <v>339</v>
      </c>
      <c r="AA57" s="190">
        <v>4</v>
      </c>
      <c r="AB57" s="190">
        <v>109</v>
      </c>
      <c r="AC57" s="190">
        <v>113</v>
      </c>
      <c r="AD57" s="190">
        <v>4</v>
      </c>
      <c r="AE57" s="190">
        <v>106</v>
      </c>
      <c r="AF57" s="190">
        <v>110</v>
      </c>
      <c r="AG57" s="190">
        <v>0</v>
      </c>
      <c r="AH57" s="190">
        <v>2</v>
      </c>
      <c r="AI57" s="190">
        <v>2</v>
      </c>
      <c r="AJ57" s="190">
        <v>0</v>
      </c>
      <c r="AK57" s="190">
        <v>1</v>
      </c>
      <c r="AL57" s="190">
        <v>1</v>
      </c>
      <c r="AM57" s="190">
        <v>3</v>
      </c>
      <c r="AN57" s="190">
        <v>223</v>
      </c>
      <c r="AO57" s="190">
        <v>226</v>
      </c>
      <c r="AP57" s="190">
        <v>490</v>
      </c>
      <c r="AQ57" s="190">
        <v>3710</v>
      </c>
      <c r="AR57" s="190">
        <v>4200</v>
      </c>
      <c r="AS57" s="190">
        <v>490</v>
      </c>
      <c r="AT57" s="190">
        <v>3710</v>
      </c>
      <c r="AU57" s="190">
        <v>4200</v>
      </c>
      <c r="AV57" s="190">
        <v>0</v>
      </c>
      <c r="AW57" s="190">
        <v>0</v>
      </c>
      <c r="AX57" s="190">
        <v>0</v>
      </c>
      <c r="AY57" s="190">
        <v>3</v>
      </c>
      <c r="AZ57" s="190">
        <v>321</v>
      </c>
      <c r="BA57" s="190">
        <v>324</v>
      </c>
      <c r="BB57" s="190">
        <v>10</v>
      </c>
      <c r="BC57" s="190">
        <v>0</v>
      </c>
      <c r="BD57" s="190">
        <v>0</v>
      </c>
      <c r="BE57" s="190">
        <v>160</v>
      </c>
      <c r="BF57" s="190">
        <v>0</v>
      </c>
      <c r="BG57" s="190">
        <v>0</v>
      </c>
      <c r="BH57" s="190">
        <v>10</v>
      </c>
      <c r="BI57" s="190">
        <v>160</v>
      </c>
      <c r="BJ57" s="190">
        <v>170</v>
      </c>
      <c r="BK57" s="190">
        <v>-18</v>
      </c>
      <c r="BL57" s="190">
        <v>18</v>
      </c>
      <c r="BM57" s="190">
        <v>0</v>
      </c>
      <c r="BN57" s="190">
        <v>3</v>
      </c>
      <c r="BO57" s="190">
        <v>17</v>
      </c>
      <c r="BP57" s="190">
        <v>20</v>
      </c>
      <c r="BQ57" s="190">
        <v>2</v>
      </c>
      <c r="BR57" s="190">
        <v>53</v>
      </c>
      <c r="BS57" s="190">
        <v>55</v>
      </c>
      <c r="BT57" s="190">
        <v>6</v>
      </c>
      <c r="BU57" s="190">
        <v>73</v>
      </c>
      <c r="BV57" s="190">
        <v>79</v>
      </c>
      <c r="BW57" s="190">
        <v>493</v>
      </c>
      <c r="BX57" s="190">
        <v>4031</v>
      </c>
      <c r="BY57" s="190">
        <v>4524</v>
      </c>
      <c r="BZ57" s="190">
        <v>493</v>
      </c>
      <c r="CA57" s="190">
        <v>3999</v>
      </c>
      <c r="CB57" s="190">
        <v>4492</v>
      </c>
      <c r="CC57" s="190">
        <v>9736</v>
      </c>
      <c r="CD57" s="190">
        <v>0</v>
      </c>
      <c r="CE57" s="190">
        <v>90</v>
      </c>
      <c r="CF57" s="190">
        <v>0</v>
      </c>
      <c r="CG57" s="190">
        <v>31</v>
      </c>
      <c r="CH57" s="190">
        <v>31</v>
      </c>
      <c r="CI57" s="190">
        <v>1</v>
      </c>
      <c r="CJ57" s="190">
        <v>0</v>
      </c>
      <c r="CK57" s="190">
        <v>0</v>
      </c>
      <c r="CL57" s="190">
        <v>1</v>
      </c>
      <c r="CM57" s="190">
        <v>1</v>
      </c>
      <c r="CN57" s="190">
        <v>18</v>
      </c>
      <c r="CO57" s="190">
        <v>409</v>
      </c>
      <c r="CP57" s="190">
        <v>427</v>
      </c>
      <c r="CQ57" s="190">
        <v>0</v>
      </c>
      <c r="CR57" s="190">
        <v>0</v>
      </c>
      <c r="CS57" s="190">
        <v>0</v>
      </c>
      <c r="CT57" s="190">
        <v>475</v>
      </c>
      <c r="CU57" s="190">
        <v>3622</v>
      </c>
      <c r="CV57" s="190">
        <v>4097</v>
      </c>
      <c r="CW57" s="190">
        <v>31</v>
      </c>
      <c r="CX57" s="190">
        <v>119</v>
      </c>
      <c r="CY57" s="190">
        <v>150</v>
      </c>
      <c r="CZ57" s="190">
        <v>31</v>
      </c>
      <c r="DA57" s="190">
        <v>0</v>
      </c>
      <c r="DB57" s="190">
        <v>0</v>
      </c>
      <c r="DC57" s="190">
        <v>115</v>
      </c>
      <c r="DD57" s="190">
        <v>2</v>
      </c>
      <c r="DE57" s="190">
        <v>0</v>
      </c>
      <c r="DF57" s="190">
        <v>31</v>
      </c>
      <c r="DG57" s="190">
        <v>117</v>
      </c>
      <c r="DH57" s="190">
        <v>148</v>
      </c>
      <c r="DI57" s="190">
        <v>0</v>
      </c>
      <c r="DJ57" s="190">
        <v>0</v>
      </c>
      <c r="DK57" s="190">
        <v>0</v>
      </c>
      <c r="DL57" s="190">
        <v>2</v>
      </c>
      <c r="DM57" s="190">
        <v>0</v>
      </c>
      <c r="DN57" s="190">
        <v>0</v>
      </c>
      <c r="DO57" s="190">
        <v>0</v>
      </c>
      <c r="DP57" s="190">
        <v>2</v>
      </c>
      <c r="DQ57" s="190">
        <v>2</v>
      </c>
      <c r="DR57" s="190">
        <v>0</v>
      </c>
      <c r="DS57" s="190">
        <v>0</v>
      </c>
      <c r="DT57" s="191">
        <v>0</v>
      </c>
      <c r="DU57" s="172"/>
      <c r="DV57" s="192"/>
      <c r="DX57" s="192"/>
      <c r="DY57" s="192"/>
    </row>
    <row r="58" spans="1:129" s="193" customFormat="1">
      <c r="A58" s="189" t="s">
        <v>323</v>
      </c>
      <c r="B58" s="190">
        <v>104</v>
      </c>
      <c r="C58" s="190">
        <v>7</v>
      </c>
      <c r="D58" s="190">
        <v>93</v>
      </c>
      <c r="E58" s="190">
        <v>67</v>
      </c>
      <c r="F58" s="190">
        <v>0</v>
      </c>
      <c r="G58" s="190">
        <v>3</v>
      </c>
      <c r="H58" s="190">
        <v>3</v>
      </c>
      <c r="I58" s="190">
        <v>0</v>
      </c>
      <c r="J58" s="190">
        <v>26</v>
      </c>
      <c r="K58" s="190">
        <v>26</v>
      </c>
      <c r="L58" s="190">
        <v>0</v>
      </c>
      <c r="M58" s="190">
        <v>5</v>
      </c>
      <c r="N58" s="190">
        <v>5</v>
      </c>
      <c r="O58" s="190">
        <v>0</v>
      </c>
      <c r="P58" s="190">
        <v>21</v>
      </c>
      <c r="Q58" s="190">
        <v>21</v>
      </c>
      <c r="R58" s="190">
        <v>0</v>
      </c>
      <c r="S58" s="190">
        <v>1</v>
      </c>
      <c r="T58" s="190">
        <v>1</v>
      </c>
      <c r="U58" s="190">
        <v>0</v>
      </c>
      <c r="V58" s="190">
        <v>0</v>
      </c>
      <c r="W58" s="190">
        <v>0</v>
      </c>
      <c r="X58" s="190">
        <v>1</v>
      </c>
      <c r="Y58" s="190">
        <v>92</v>
      </c>
      <c r="Z58" s="190">
        <v>93</v>
      </c>
      <c r="AA58" s="190">
        <v>0</v>
      </c>
      <c r="AB58" s="190">
        <v>57</v>
      </c>
      <c r="AC58" s="190">
        <v>57</v>
      </c>
      <c r="AD58" s="190">
        <v>0</v>
      </c>
      <c r="AE58" s="190">
        <v>25</v>
      </c>
      <c r="AF58" s="190">
        <v>25</v>
      </c>
      <c r="AG58" s="190">
        <v>0</v>
      </c>
      <c r="AH58" s="190">
        <v>25</v>
      </c>
      <c r="AI58" s="190">
        <v>25</v>
      </c>
      <c r="AJ58" s="190">
        <v>0</v>
      </c>
      <c r="AK58" s="190">
        <v>7</v>
      </c>
      <c r="AL58" s="190">
        <v>7</v>
      </c>
      <c r="AM58" s="190">
        <v>1</v>
      </c>
      <c r="AN58" s="190">
        <v>35</v>
      </c>
      <c r="AO58" s="190">
        <v>36</v>
      </c>
      <c r="AP58" s="190">
        <v>49</v>
      </c>
      <c r="AQ58" s="190">
        <v>877</v>
      </c>
      <c r="AR58" s="190">
        <v>926</v>
      </c>
      <c r="AS58" s="190">
        <v>49</v>
      </c>
      <c r="AT58" s="190">
        <v>877</v>
      </c>
      <c r="AU58" s="190">
        <v>926</v>
      </c>
      <c r="AV58" s="190">
        <v>0</v>
      </c>
      <c r="AW58" s="190">
        <v>0</v>
      </c>
      <c r="AX58" s="190">
        <v>0</v>
      </c>
      <c r="AY58" s="190">
        <v>8</v>
      </c>
      <c r="AZ58" s="190">
        <v>105</v>
      </c>
      <c r="BA58" s="190">
        <v>113</v>
      </c>
      <c r="BB58" s="190">
        <v>1</v>
      </c>
      <c r="BC58" s="190">
        <v>0</v>
      </c>
      <c r="BD58" s="190">
        <v>0</v>
      </c>
      <c r="BE58" s="190">
        <v>66</v>
      </c>
      <c r="BF58" s="190">
        <v>0</v>
      </c>
      <c r="BG58" s="190">
        <v>0</v>
      </c>
      <c r="BH58" s="190">
        <v>1</v>
      </c>
      <c r="BI58" s="190">
        <v>66</v>
      </c>
      <c r="BJ58" s="190">
        <v>67</v>
      </c>
      <c r="BK58" s="190">
        <v>3</v>
      </c>
      <c r="BL58" s="190">
        <v>-3</v>
      </c>
      <c r="BM58" s="190">
        <v>0</v>
      </c>
      <c r="BN58" s="190">
        <v>0</v>
      </c>
      <c r="BO58" s="190">
        <v>4</v>
      </c>
      <c r="BP58" s="190">
        <v>4</v>
      </c>
      <c r="BQ58" s="190">
        <v>2</v>
      </c>
      <c r="BR58" s="190">
        <v>10</v>
      </c>
      <c r="BS58" s="190">
        <v>12</v>
      </c>
      <c r="BT58" s="190">
        <v>2</v>
      </c>
      <c r="BU58" s="190">
        <v>28</v>
      </c>
      <c r="BV58" s="190">
        <v>30</v>
      </c>
      <c r="BW58" s="190">
        <v>57</v>
      </c>
      <c r="BX58" s="190">
        <v>982</v>
      </c>
      <c r="BY58" s="190">
        <v>1039</v>
      </c>
      <c r="BZ58" s="190">
        <v>57</v>
      </c>
      <c r="CA58" s="190">
        <v>981</v>
      </c>
      <c r="CB58" s="190">
        <v>1038</v>
      </c>
      <c r="CC58" s="190">
        <v>1787</v>
      </c>
      <c r="CD58" s="190">
        <v>0</v>
      </c>
      <c r="CE58" s="190">
        <v>1</v>
      </c>
      <c r="CF58" s="190">
        <v>0</v>
      </c>
      <c r="CG58" s="190">
        <v>1</v>
      </c>
      <c r="CH58" s="190">
        <v>1</v>
      </c>
      <c r="CI58" s="190">
        <v>0</v>
      </c>
      <c r="CJ58" s="190">
        <v>0</v>
      </c>
      <c r="CK58" s="190">
        <v>0</v>
      </c>
      <c r="CL58" s="190">
        <v>0</v>
      </c>
      <c r="CM58" s="190">
        <v>0</v>
      </c>
      <c r="CN58" s="190">
        <v>4</v>
      </c>
      <c r="CO58" s="190">
        <v>111</v>
      </c>
      <c r="CP58" s="190">
        <v>115</v>
      </c>
      <c r="CQ58" s="190">
        <v>0</v>
      </c>
      <c r="CR58" s="190">
        <v>0</v>
      </c>
      <c r="CS58" s="190">
        <v>0</v>
      </c>
      <c r="CT58" s="190">
        <v>53</v>
      </c>
      <c r="CU58" s="190">
        <v>871</v>
      </c>
      <c r="CV58" s="190">
        <v>924</v>
      </c>
      <c r="CW58" s="190">
        <v>4</v>
      </c>
      <c r="CX58" s="190">
        <v>23</v>
      </c>
      <c r="CY58" s="190">
        <v>27</v>
      </c>
      <c r="CZ58" s="190">
        <v>4</v>
      </c>
      <c r="DA58" s="190">
        <v>0</v>
      </c>
      <c r="DB58" s="190">
        <v>0</v>
      </c>
      <c r="DC58" s="190">
        <v>23</v>
      </c>
      <c r="DD58" s="190">
        <v>0</v>
      </c>
      <c r="DE58" s="190">
        <v>0</v>
      </c>
      <c r="DF58" s="190">
        <v>4</v>
      </c>
      <c r="DG58" s="190">
        <v>23</v>
      </c>
      <c r="DH58" s="190">
        <v>27</v>
      </c>
      <c r="DI58" s="190">
        <v>0</v>
      </c>
      <c r="DJ58" s="190">
        <v>0</v>
      </c>
      <c r="DK58" s="190">
        <v>0</v>
      </c>
      <c r="DL58" s="190">
        <v>0</v>
      </c>
      <c r="DM58" s="190">
        <v>0</v>
      </c>
      <c r="DN58" s="190">
        <v>0</v>
      </c>
      <c r="DO58" s="190">
        <v>0</v>
      </c>
      <c r="DP58" s="190">
        <v>0</v>
      </c>
      <c r="DQ58" s="190">
        <v>0</v>
      </c>
      <c r="DR58" s="190">
        <v>0</v>
      </c>
      <c r="DS58" s="190">
        <v>0</v>
      </c>
      <c r="DT58" s="191">
        <v>0</v>
      </c>
      <c r="DU58" s="172"/>
      <c r="DV58" s="192"/>
      <c r="DX58" s="192"/>
      <c r="DY58" s="192"/>
    </row>
    <row r="59" spans="1:129" s="193" customFormat="1">
      <c r="A59" s="189" t="s">
        <v>324</v>
      </c>
      <c r="B59" s="190">
        <v>2527</v>
      </c>
      <c r="C59" s="190">
        <v>351</v>
      </c>
      <c r="D59" s="190">
        <v>2378</v>
      </c>
      <c r="E59" s="190">
        <v>1857</v>
      </c>
      <c r="F59" s="190">
        <v>11</v>
      </c>
      <c r="G59" s="190">
        <v>61</v>
      </c>
      <c r="H59" s="190">
        <v>72</v>
      </c>
      <c r="I59" s="190">
        <v>0</v>
      </c>
      <c r="J59" s="190">
        <v>471</v>
      </c>
      <c r="K59" s="190">
        <v>471</v>
      </c>
      <c r="L59" s="190">
        <v>0</v>
      </c>
      <c r="M59" s="190">
        <v>471</v>
      </c>
      <c r="N59" s="190">
        <v>471</v>
      </c>
      <c r="O59" s="190">
        <v>0</v>
      </c>
      <c r="P59" s="190">
        <v>0</v>
      </c>
      <c r="Q59" s="190">
        <v>0</v>
      </c>
      <c r="R59" s="190">
        <v>0</v>
      </c>
      <c r="S59" s="190">
        <v>57</v>
      </c>
      <c r="T59" s="190">
        <v>57</v>
      </c>
      <c r="U59" s="190">
        <v>0</v>
      </c>
      <c r="V59" s="190">
        <v>50</v>
      </c>
      <c r="W59" s="190">
        <v>50</v>
      </c>
      <c r="X59" s="190">
        <v>85</v>
      </c>
      <c r="Y59" s="190">
        <v>2055</v>
      </c>
      <c r="Z59" s="190">
        <v>2140</v>
      </c>
      <c r="AA59" s="190">
        <v>52</v>
      </c>
      <c r="AB59" s="190">
        <v>980</v>
      </c>
      <c r="AC59" s="190">
        <v>1032</v>
      </c>
      <c r="AD59" s="190">
        <v>48</v>
      </c>
      <c r="AE59" s="190">
        <v>929</v>
      </c>
      <c r="AF59" s="190">
        <v>977</v>
      </c>
      <c r="AG59" s="190">
        <v>2</v>
      </c>
      <c r="AH59" s="190">
        <v>43</v>
      </c>
      <c r="AI59" s="190">
        <v>45</v>
      </c>
      <c r="AJ59" s="190">
        <v>2</v>
      </c>
      <c r="AK59" s="190">
        <v>8</v>
      </c>
      <c r="AL59" s="190">
        <v>10</v>
      </c>
      <c r="AM59" s="190">
        <v>33</v>
      </c>
      <c r="AN59" s="190">
        <v>1075</v>
      </c>
      <c r="AO59" s="190">
        <v>1108</v>
      </c>
      <c r="AP59" s="190">
        <v>7446</v>
      </c>
      <c r="AQ59" s="190">
        <v>44258</v>
      </c>
      <c r="AR59" s="190">
        <v>51704</v>
      </c>
      <c r="AS59" s="190">
        <v>7130</v>
      </c>
      <c r="AT59" s="190">
        <v>43660</v>
      </c>
      <c r="AU59" s="190">
        <v>50790</v>
      </c>
      <c r="AV59" s="190">
        <v>316</v>
      </c>
      <c r="AW59" s="190">
        <v>598</v>
      </c>
      <c r="AX59" s="190">
        <v>914</v>
      </c>
      <c r="AY59" s="190">
        <v>180</v>
      </c>
      <c r="AZ59" s="190">
        <v>3051</v>
      </c>
      <c r="BA59" s="190">
        <v>3231</v>
      </c>
      <c r="BB59" s="190">
        <v>159</v>
      </c>
      <c r="BC59" s="190">
        <v>4</v>
      </c>
      <c r="BD59" s="190">
        <v>0</v>
      </c>
      <c r="BE59" s="190">
        <v>1645</v>
      </c>
      <c r="BF59" s="190">
        <v>35</v>
      </c>
      <c r="BG59" s="190">
        <v>14</v>
      </c>
      <c r="BH59" s="190">
        <v>163</v>
      </c>
      <c r="BI59" s="190">
        <v>1694</v>
      </c>
      <c r="BJ59" s="190">
        <v>1857</v>
      </c>
      <c r="BK59" s="190">
        <v>-66</v>
      </c>
      <c r="BL59" s="190">
        <v>66</v>
      </c>
      <c r="BM59" s="190">
        <v>0</v>
      </c>
      <c r="BN59" s="190">
        <v>3</v>
      </c>
      <c r="BO59" s="190">
        <v>31</v>
      </c>
      <c r="BP59" s="190">
        <v>34</v>
      </c>
      <c r="BQ59" s="190">
        <v>32</v>
      </c>
      <c r="BR59" s="190">
        <v>346</v>
      </c>
      <c r="BS59" s="190">
        <v>378</v>
      </c>
      <c r="BT59" s="190">
        <v>48</v>
      </c>
      <c r="BU59" s="190">
        <v>914</v>
      </c>
      <c r="BV59" s="190">
        <v>962</v>
      </c>
      <c r="BW59" s="190">
        <v>7626</v>
      </c>
      <c r="BX59" s="190">
        <v>47309</v>
      </c>
      <c r="BY59" s="190">
        <v>54935</v>
      </c>
      <c r="BZ59" s="190">
        <v>7565</v>
      </c>
      <c r="CA59" s="190">
        <v>46367</v>
      </c>
      <c r="CB59" s="190">
        <v>53932</v>
      </c>
      <c r="CC59" s="190">
        <v>120847</v>
      </c>
      <c r="CD59" s="190">
        <v>214</v>
      </c>
      <c r="CE59" s="190">
        <v>898</v>
      </c>
      <c r="CF59" s="190">
        <v>59</v>
      </c>
      <c r="CG59" s="190">
        <v>736</v>
      </c>
      <c r="CH59" s="190">
        <v>795</v>
      </c>
      <c r="CI59" s="190">
        <v>258</v>
      </c>
      <c r="CJ59" s="190">
        <v>8</v>
      </c>
      <c r="CK59" s="190">
        <v>2</v>
      </c>
      <c r="CL59" s="190">
        <v>206</v>
      </c>
      <c r="CM59" s="190">
        <v>208</v>
      </c>
      <c r="CN59" s="190">
        <v>419</v>
      </c>
      <c r="CO59" s="190">
        <v>3598</v>
      </c>
      <c r="CP59" s="190">
        <v>4017</v>
      </c>
      <c r="CQ59" s="190">
        <v>1</v>
      </c>
      <c r="CR59" s="190">
        <v>7</v>
      </c>
      <c r="CS59" s="190">
        <v>8</v>
      </c>
      <c r="CT59" s="190">
        <v>7207</v>
      </c>
      <c r="CU59" s="190">
        <v>43711</v>
      </c>
      <c r="CV59" s="190">
        <v>50918</v>
      </c>
      <c r="CW59" s="190">
        <v>499</v>
      </c>
      <c r="CX59" s="190">
        <v>2259</v>
      </c>
      <c r="CY59" s="190">
        <v>2758</v>
      </c>
      <c r="CZ59" s="190">
        <v>493</v>
      </c>
      <c r="DA59" s="190">
        <v>2</v>
      </c>
      <c r="DB59" s="190">
        <v>0</v>
      </c>
      <c r="DC59" s="190">
        <v>2094</v>
      </c>
      <c r="DD59" s="190">
        <v>50</v>
      </c>
      <c r="DE59" s="190">
        <v>6</v>
      </c>
      <c r="DF59" s="190">
        <v>495</v>
      </c>
      <c r="DG59" s="190">
        <v>2150</v>
      </c>
      <c r="DH59" s="190">
        <v>2645</v>
      </c>
      <c r="DI59" s="190">
        <v>4</v>
      </c>
      <c r="DJ59" s="190">
        <v>0</v>
      </c>
      <c r="DK59" s="190">
        <v>0</v>
      </c>
      <c r="DL59" s="190">
        <v>106</v>
      </c>
      <c r="DM59" s="190">
        <v>3</v>
      </c>
      <c r="DN59" s="190">
        <v>0</v>
      </c>
      <c r="DO59" s="190">
        <v>4</v>
      </c>
      <c r="DP59" s="190">
        <v>109</v>
      </c>
      <c r="DQ59" s="190">
        <v>113</v>
      </c>
      <c r="DR59" s="190">
        <v>0</v>
      </c>
      <c r="DS59" s="190">
        <v>0</v>
      </c>
      <c r="DT59" s="191">
        <v>0</v>
      </c>
      <c r="DU59" s="172"/>
      <c r="DV59" s="192"/>
      <c r="DX59" s="192"/>
      <c r="DY59" s="192"/>
    </row>
    <row r="60" spans="1:129" s="193" customFormat="1">
      <c r="A60" s="189" t="s">
        <v>325</v>
      </c>
      <c r="B60" s="190">
        <v>215</v>
      </c>
      <c r="C60" s="190">
        <v>35</v>
      </c>
      <c r="D60" s="190">
        <v>228</v>
      </c>
      <c r="E60" s="190">
        <v>141</v>
      </c>
      <c r="F60" s="190">
        <v>1</v>
      </c>
      <c r="G60" s="190">
        <v>2</v>
      </c>
      <c r="H60" s="190">
        <v>3</v>
      </c>
      <c r="I60" s="190">
        <v>0</v>
      </c>
      <c r="J60" s="190">
        <v>69</v>
      </c>
      <c r="K60" s="190">
        <v>69</v>
      </c>
      <c r="L60" s="190">
        <v>0</v>
      </c>
      <c r="M60" s="190">
        <v>24</v>
      </c>
      <c r="N60" s="190">
        <v>24</v>
      </c>
      <c r="O60" s="190">
        <v>0</v>
      </c>
      <c r="P60" s="190">
        <v>45</v>
      </c>
      <c r="Q60" s="190">
        <v>45</v>
      </c>
      <c r="R60" s="190">
        <v>0</v>
      </c>
      <c r="S60" s="190">
        <v>1</v>
      </c>
      <c r="T60" s="190">
        <v>1</v>
      </c>
      <c r="U60" s="190">
        <v>0</v>
      </c>
      <c r="V60" s="190">
        <v>18</v>
      </c>
      <c r="W60" s="190">
        <v>18</v>
      </c>
      <c r="X60" s="190">
        <v>6</v>
      </c>
      <c r="Y60" s="190">
        <v>222</v>
      </c>
      <c r="Z60" s="190">
        <v>228</v>
      </c>
      <c r="AA60" s="190">
        <v>4</v>
      </c>
      <c r="AB60" s="190">
        <v>84</v>
      </c>
      <c r="AC60" s="190">
        <v>88</v>
      </c>
      <c r="AD60" s="190">
        <v>4</v>
      </c>
      <c r="AE60" s="190">
        <v>83</v>
      </c>
      <c r="AF60" s="190">
        <v>87</v>
      </c>
      <c r="AG60" s="190">
        <v>0</v>
      </c>
      <c r="AH60" s="190">
        <v>1</v>
      </c>
      <c r="AI60" s="190">
        <v>1</v>
      </c>
      <c r="AJ60" s="190">
        <v>0</v>
      </c>
      <c r="AK60" s="190">
        <v>0</v>
      </c>
      <c r="AL60" s="190">
        <v>0</v>
      </c>
      <c r="AM60" s="190">
        <v>2</v>
      </c>
      <c r="AN60" s="190">
        <v>138</v>
      </c>
      <c r="AO60" s="190">
        <v>140</v>
      </c>
      <c r="AP60" s="190">
        <v>273</v>
      </c>
      <c r="AQ60" s="190">
        <v>2622</v>
      </c>
      <c r="AR60" s="190">
        <v>2895</v>
      </c>
      <c r="AS60" s="190">
        <v>273</v>
      </c>
      <c r="AT60" s="190">
        <v>2622</v>
      </c>
      <c r="AU60" s="190">
        <v>2895</v>
      </c>
      <c r="AV60" s="190">
        <v>0</v>
      </c>
      <c r="AW60" s="190">
        <v>0</v>
      </c>
      <c r="AX60" s="190">
        <v>0</v>
      </c>
      <c r="AY60" s="190">
        <v>4</v>
      </c>
      <c r="AZ60" s="190">
        <v>253</v>
      </c>
      <c r="BA60" s="190">
        <v>257</v>
      </c>
      <c r="BB60" s="190">
        <v>6</v>
      </c>
      <c r="BC60" s="190">
        <v>0</v>
      </c>
      <c r="BD60" s="190">
        <v>0</v>
      </c>
      <c r="BE60" s="190">
        <v>135</v>
      </c>
      <c r="BF60" s="190">
        <v>0</v>
      </c>
      <c r="BG60" s="190">
        <v>0</v>
      </c>
      <c r="BH60" s="190">
        <v>6</v>
      </c>
      <c r="BI60" s="190">
        <v>135</v>
      </c>
      <c r="BJ60" s="190">
        <v>141</v>
      </c>
      <c r="BK60" s="190">
        <v>-10</v>
      </c>
      <c r="BL60" s="190">
        <v>10</v>
      </c>
      <c r="BM60" s="190">
        <v>0</v>
      </c>
      <c r="BN60" s="190">
        <v>0</v>
      </c>
      <c r="BO60" s="190">
        <v>9</v>
      </c>
      <c r="BP60" s="190">
        <v>9</v>
      </c>
      <c r="BQ60" s="190">
        <v>1</v>
      </c>
      <c r="BR60" s="190">
        <v>37</v>
      </c>
      <c r="BS60" s="190">
        <v>38</v>
      </c>
      <c r="BT60" s="190">
        <v>7</v>
      </c>
      <c r="BU60" s="190">
        <v>62</v>
      </c>
      <c r="BV60" s="190">
        <v>69</v>
      </c>
      <c r="BW60" s="190">
        <v>277</v>
      </c>
      <c r="BX60" s="190">
        <v>2875</v>
      </c>
      <c r="BY60" s="190">
        <v>3152</v>
      </c>
      <c r="BZ60" s="190">
        <v>276</v>
      </c>
      <c r="CA60" s="190">
        <v>2867</v>
      </c>
      <c r="CB60" s="190">
        <v>3143</v>
      </c>
      <c r="CC60" s="190">
        <v>5452</v>
      </c>
      <c r="CD60" s="190">
        <v>1</v>
      </c>
      <c r="CE60" s="190">
        <v>7</v>
      </c>
      <c r="CF60" s="190">
        <v>1</v>
      </c>
      <c r="CG60" s="190">
        <v>6</v>
      </c>
      <c r="CH60" s="190">
        <v>7</v>
      </c>
      <c r="CI60" s="190">
        <v>4</v>
      </c>
      <c r="CJ60" s="190">
        <v>0</v>
      </c>
      <c r="CK60" s="190">
        <v>0</v>
      </c>
      <c r="CL60" s="190">
        <v>2</v>
      </c>
      <c r="CM60" s="190">
        <v>2</v>
      </c>
      <c r="CN60" s="190">
        <v>16</v>
      </c>
      <c r="CO60" s="190">
        <v>243</v>
      </c>
      <c r="CP60" s="190">
        <v>259</v>
      </c>
      <c r="CQ60" s="190">
        <v>15</v>
      </c>
      <c r="CR60" s="190">
        <v>186</v>
      </c>
      <c r="CS60" s="190">
        <v>201</v>
      </c>
      <c r="CT60" s="190">
        <v>261</v>
      </c>
      <c r="CU60" s="190">
        <v>2632</v>
      </c>
      <c r="CV60" s="190">
        <v>2893</v>
      </c>
      <c r="CW60" s="190">
        <v>15</v>
      </c>
      <c r="CX60" s="190">
        <v>126</v>
      </c>
      <c r="CY60" s="190">
        <v>141</v>
      </c>
      <c r="CZ60" s="190">
        <v>15</v>
      </c>
      <c r="DA60" s="190">
        <v>0</v>
      </c>
      <c r="DB60" s="190">
        <v>0</v>
      </c>
      <c r="DC60" s="190">
        <v>126</v>
      </c>
      <c r="DD60" s="190">
        <v>0</v>
      </c>
      <c r="DE60" s="190">
        <v>0</v>
      </c>
      <c r="DF60" s="190">
        <v>15</v>
      </c>
      <c r="DG60" s="190">
        <v>126</v>
      </c>
      <c r="DH60" s="190">
        <v>141</v>
      </c>
      <c r="DI60" s="190">
        <v>0</v>
      </c>
      <c r="DJ60" s="190">
        <v>0</v>
      </c>
      <c r="DK60" s="190">
        <v>0</v>
      </c>
      <c r="DL60" s="190">
        <v>0</v>
      </c>
      <c r="DM60" s="190">
        <v>0</v>
      </c>
      <c r="DN60" s="190">
        <v>0</v>
      </c>
      <c r="DO60" s="190">
        <v>0</v>
      </c>
      <c r="DP60" s="190">
        <v>0</v>
      </c>
      <c r="DQ60" s="190">
        <v>0</v>
      </c>
      <c r="DR60" s="190">
        <v>0</v>
      </c>
      <c r="DS60" s="190">
        <v>0</v>
      </c>
      <c r="DT60" s="191">
        <v>0</v>
      </c>
      <c r="DU60" s="172"/>
      <c r="DV60" s="192"/>
      <c r="DX60" s="192"/>
      <c r="DY60" s="192"/>
    </row>
    <row r="61" spans="1:129" s="193" customFormat="1">
      <c r="A61" s="189" t="s">
        <v>326</v>
      </c>
      <c r="B61" s="190">
        <v>3087</v>
      </c>
      <c r="C61" s="190">
        <v>552</v>
      </c>
      <c r="D61" s="190">
        <v>2652</v>
      </c>
      <c r="E61" s="190">
        <v>1785</v>
      </c>
      <c r="F61" s="190">
        <v>0</v>
      </c>
      <c r="G61" s="190">
        <v>11</v>
      </c>
      <c r="H61" s="190">
        <v>11</v>
      </c>
      <c r="I61" s="190">
        <v>0</v>
      </c>
      <c r="J61" s="190">
        <v>766</v>
      </c>
      <c r="K61" s="190">
        <v>766</v>
      </c>
      <c r="L61" s="190">
        <v>0</v>
      </c>
      <c r="M61" s="190">
        <v>314</v>
      </c>
      <c r="N61" s="190">
        <v>314</v>
      </c>
      <c r="O61" s="190">
        <v>0</v>
      </c>
      <c r="P61" s="190">
        <v>452</v>
      </c>
      <c r="Q61" s="190">
        <v>452</v>
      </c>
      <c r="R61" s="190">
        <v>0</v>
      </c>
      <c r="S61" s="190">
        <v>52</v>
      </c>
      <c r="T61" s="190">
        <v>52</v>
      </c>
      <c r="U61" s="190">
        <v>0</v>
      </c>
      <c r="V61" s="190">
        <v>101</v>
      </c>
      <c r="W61" s="190">
        <v>101</v>
      </c>
      <c r="X61" s="190">
        <v>22</v>
      </c>
      <c r="Y61" s="190">
        <v>1482</v>
      </c>
      <c r="Z61" s="190">
        <v>1504</v>
      </c>
      <c r="AA61" s="190">
        <v>10</v>
      </c>
      <c r="AB61" s="190">
        <v>802</v>
      </c>
      <c r="AC61" s="190">
        <v>812</v>
      </c>
      <c r="AD61" s="190">
        <v>8</v>
      </c>
      <c r="AE61" s="190">
        <v>785</v>
      </c>
      <c r="AF61" s="190">
        <v>793</v>
      </c>
      <c r="AG61" s="190">
        <v>2</v>
      </c>
      <c r="AH61" s="190">
        <v>10</v>
      </c>
      <c r="AI61" s="190">
        <v>12</v>
      </c>
      <c r="AJ61" s="190">
        <v>0</v>
      </c>
      <c r="AK61" s="190">
        <v>7</v>
      </c>
      <c r="AL61" s="190">
        <v>7</v>
      </c>
      <c r="AM61" s="190">
        <v>12</v>
      </c>
      <c r="AN61" s="190">
        <v>680</v>
      </c>
      <c r="AO61" s="190">
        <v>692</v>
      </c>
      <c r="AP61" s="190">
        <v>2704</v>
      </c>
      <c r="AQ61" s="190">
        <v>31371</v>
      </c>
      <c r="AR61" s="190">
        <v>34075</v>
      </c>
      <c r="AS61" s="190">
        <v>2696</v>
      </c>
      <c r="AT61" s="190">
        <v>31386</v>
      </c>
      <c r="AU61" s="190">
        <v>34082</v>
      </c>
      <c r="AV61" s="190">
        <v>8</v>
      </c>
      <c r="AW61" s="190">
        <v>-15</v>
      </c>
      <c r="AX61" s="190">
        <v>-7</v>
      </c>
      <c r="AY61" s="190">
        <v>150</v>
      </c>
      <c r="AZ61" s="190">
        <v>3481</v>
      </c>
      <c r="BA61" s="190">
        <v>3631</v>
      </c>
      <c r="BB61" s="190">
        <v>71</v>
      </c>
      <c r="BC61" s="190">
        <v>1</v>
      </c>
      <c r="BD61" s="190">
        <v>0</v>
      </c>
      <c r="BE61" s="190">
        <v>1679</v>
      </c>
      <c r="BF61" s="190">
        <v>23</v>
      </c>
      <c r="BG61" s="190">
        <v>11</v>
      </c>
      <c r="BH61" s="190">
        <v>72</v>
      </c>
      <c r="BI61" s="190">
        <v>1713</v>
      </c>
      <c r="BJ61" s="190">
        <v>1785</v>
      </c>
      <c r="BK61" s="190">
        <v>-37</v>
      </c>
      <c r="BL61" s="190">
        <v>37</v>
      </c>
      <c r="BM61" s="190">
        <v>0</v>
      </c>
      <c r="BN61" s="190">
        <v>1</v>
      </c>
      <c r="BO61" s="190">
        <v>17</v>
      </c>
      <c r="BP61" s="190">
        <v>18</v>
      </c>
      <c r="BQ61" s="190">
        <v>25</v>
      </c>
      <c r="BR61" s="190">
        <v>481</v>
      </c>
      <c r="BS61" s="190">
        <v>506</v>
      </c>
      <c r="BT61" s="190">
        <v>89</v>
      </c>
      <c r="BU61" s="190">
        <v>1233</v>
      </c>
      <c r="BV61" s="190">
        <v>1322</v>
      </c>
      <c r="BW61" s="190">
        <v>2854</v>
      </c>
      <c r="BX61" s="190">
        <v>34852</v>
      </c>
      <c r="BY61" s="190">
        <v>37706</v>
      </c>
      <c r="BZ61" s="190">
        <v>2827</v>
      </c>
      <c r="CA61" s="190">
        <v>34326</v>
      </c>
      <c r="CB61" s="190">
        <v>37153</v>
      </c>
      <c r="CC61" s="190">
        <v>75784</v>
      </c>
      <c r="CD61" s="190">
        <v>47</v>
      </c>
      <c r="CE61" s="190">
        <v>506</v>
      </c>
      <c r="CF61" s="190">
        <v>27</v>
      </c>
      <c r="CG61" s="190">
        <v>316</v>
      </c>
      <c r="CH61" s="190">
        <v>343</v>
      </c>
      <c r="CI61" s="190">
        <v>273</v>
      </c>
      <c r="CJ61" s="190">
        <v>0</v>
      </c>
      <c r="CK61" s="190">
        <v>0</v>
      </c>
      <c r="CL61" s="190">
        <v>210</v>
      </c>
      <c r="CM61" s="190">
        <v>210</v>
      </c>
      <c r="CN61" s="190">
        <v>137</v>
      </c>
      <c r="CO61" s="190">
        <v>3162</v>
      </c>
      <c r="CP61" s="190">
        <v>3299</v>
      </c>
      <c r="CQ61" s="190">
        <v>0</v>
      </c>
      <c r="CR61" s="190">
        <v>9</v>
      </c>
      <c r="CS61" s="190">
        <v>9</v>
      </c>
      <c r="CT61" s="190">
        <v>2717</v>
      </c>
      <c r="CU61" s="190">
        <v>31690</v>
      </c>
      <c r="CV61" s="190">
        <v>34407</v>
      </c>
      <c r="CW61" s="190">
        <v>194</v>
      </c>
      <c r="CX61" s="190">
        <v>1525</v>
      </c>
      <c r="CY61" s="190">
        <v>1719</v>
      </c>
      <c r="CZ61" s="190">
        <v>192</v>
      </c>
      <c r="DA61" s="190">
        <v>0</v>
      </c>
      <c r="DB61" s="190">
        <v>0</v>
      </c>
      <c r="DC61" s="190">
        <v>1444</v>
      </c>
      <c r="DD61" s="190">
        <v>13</v>
      </c>
      <c r="DE61" s="190">
        <v>1</v>
      </c>
      <c r="DF61" s="190">
        <v>192</v>
      </c>
      <c r="DG61" s="190">
        <v>1458</v>
      </c>
      <c r="DH61" s="190">
        <v>1650</v>
      </c>
      <c r="DI61" s="190">
        <v>2</v>
      </c>
      <c r="DJ61" s="190">
        <v>0</v>
      </c>
      <c r="DK61" s="190">
        <v>0</v>
      </c>
      <c r="DL61" s="190">
        <v>67</v>
      </c>
      <c r="DM61" s="190">
        <v>0</v>
      </c>
      <c r="DN61" s="190">
        <v>0</v>
      </c>
      <c r="DO61" s="190">
        <v>2</v>
      </c>
      <c r="DP61" s="190">
        <v>67</v>
      </c>
      <c r="DQ61" s="190">
        <v>69</v>
      </c>
      <c r="DR61" s="190">
        <v>0</v>
      </c>
      <c r="DS61" s="190">
        <v>10</v>
      </c>
      <c r="DT61" s="191">
        <v>10</v>
      </c>
      <c r="DU61" s="172"/>
      <c r="DV61" s="192"/>
      <c r="DX61" s="192"/>
      <c r="DY61" s="192"/>
    </row>
    <row r="62" spans="1:129" s="193" customFormat="1">
      <c r="A62" s="189" t="s">
        <v>327</v>
      </c>
      <c r="B62" s="190">
        <v>820</v>
      </c>
      <c r="C62" s="190">
        <v>64</v>
      </c>
      <c r="D62" s="190">
        <v>918</v>
      </c>
      <c r="E62" s="190">
        <v>462</v>
      </c>
      <c r="F62" s="190">
        <v>5</v>
      </c>
      <c r="G62" s="190">
        <v>17</v>
      </c>
      <c r="H62" s="190">
        <v>22</v>
      </c>
      <c r="I62" s="190">
        <v>0</v>
      </c>
      <c r="J62" s="190">
        <v>424</v>
      </c>
      <c r="K62" s="190">
        <v>424</v>
      </c>
      <c r="L62" s="190">
        <v>0</v>
      </c>
      <c r="M62" s="190">
        <v>261</v>
      </c>
      <c r="N62" s="190">
        <v>261</v>
      </c>
      <c r="O62" s="190">
        <v>0</v>
      </c>
      <c r="P62" s="190">
        <v>163</v>
      </c>
      <c r="Q62" s="190">
        <v>163</v>
      </c>
      <c r="R62" s="190">
        <v>0</v>
      </c>
      <c r="S62" s="190">
        <v>17</v>
      </c>
      <c r="T62" s="190">
        <v>17</v>
      </c>
      <c r="U62" s="190">
        <v>0</v>
      </c>
      <c r="V62" s="190">
        <v>32</v>
      </c>
      <c r="W62" s="190">
        <v>32</v>
      </c>
      <c r="X62" s="190">
        <v>8</v>
      </c>
      <c r="Y62" s="190">
        <v>224</v>
      </c>
      <c r="Z62" s="190">
        <v>232</v>
      </c>
      <c r="AA62" s="190">
        <v>8</v>
      </c>
      <c r="AB62" s="190">
        <v>224</v>
      </c>
      <c r="AC62" s="190">
        <v>232</v>
      </c>
      <c r="AD62" s="190">
        <v>7</v>
      </c>
      <c r="AE62" s="190">
        <v>216</v>
      </c>
      <c r="AF62" s="190">
        <v>223</v>
      </c>
      <c r="AG62" s="190">
        <v>0</v>
      </c>
      <c r="AH62" s="190">
        <v>7</v>
      </c>
      <c r="AI62" s="190">
        <v>7</v>
      </c>
      <c r="AJ62" s="190">
        <v>1</v>
      </c>
      <c r="AK62" s="190">
        <v>1</v>
      </c>
      <c r="AL62" s="190">
        <v>2</v>
      </c>
      <c r="AM62" s="190">
        <v>0</v>
      </c>
      <c r="AN62" s="190">
        <v>0</v>
      </c>
      <c r="AO62" s="190">
        <v>0</v>
      </c>
      <c r="AP62" s="190">
        <v>876</v>
      </c>
      <c r="AQ62" s="190">
        <v>8739</v>
      </c>
      <c r="AR62" s="190">
        <v>9615</v>
      </c>
      <c r="AS62" s="190">
        <v>855</v>
      </c>
      <c r="AT62" s="190">
        <v>8699</v>
      </c>
      <c r="AU62" s="190">
        <v>9554</v>
      </c>
      <c r="AV62" s="190">
        <v>21</v>
      </c>
      <c r="AW62" s="190">
        <v>40</v>
      </c>
      <c r="AX62" s="190">
        <v>61</v>
      </c>
      <c r="AY62" s="190">
        <v>54</v>
      </c>
      <c r="AZ62" s="190">
        <v>816</v>
      </c>
      <c r="BA62" s="190">
        <v>870</v>
      </c>
      <c r="BB62" s="190">
        <v>30</v>
      </c>
      <c r="BC62" s="190">
        <v>1</v>
      </c>
      <c r="BD62" s="190">
        <v>0</v>
      </c>
      <c r="BE62" s="190">
        <v>423</v>
      </c>
      <c r="BF62" s="190">
        <v>5</v>
      </c>
      <c r="BG62" s="190">
        <v>3</v>
      </c>
      <c r="BH62" s="190">
        <v>31</v>
      </c>
      <c r="BI62" s="190">
        <v>431</v>
      </c>
      <c r="BJ62" s="190">
        <v>462</v>
      </c>
      <c r="BK62" s="190">
        <v>-29</v>
      </c>
      <c r="BL62" s="190">
        <v>29</v>
      </c>
      <c r="BM62" s="190">
        <v>0</v>
      </c>
      <c r="BN62" s="190">
        <v>2</v>
      </c>
      <c r="BO62" s="190">
        <v>25</v>
      </c>
      <c r="BP62" s="190">
        <v>27</v>
      </c>
      <c r="BQ62" s="190">
        <v>7</v>
      </c>
      <c r="BR62" s="190">
        <v>42</v>
      </c>
      <c r="BS62" s="190">
        <v>49</v>
      </c>
      <c r="BT62" s="190">
        <v>43</v>
      </c>
      <c r="BU62" s="190">
        <v>289</v>
      </c>
      <c r="BV62" s="190">
        <v>332</v>
      </c>
      <c r="BW62" s="190">
        <v>930</v>
      </c>
      <c r="BX62" s="190">
        <v>9555</v>
      </c>
      <c r="BY62" s="190">
        <v>10485</v>
      </c>
      <c r="BZ62" s="190">
        <v>890</v>
      </c>
      <c r="CA62" s="190">
        <v>9344</v>
      </c>
      <c r="CB62" s="190">
        <v>10234</v>
      </c>
      <c r="CC62" s="190">
        <v>19969</v>
      </c>
      <c r="CD62" s="190">
        <v>14</v>
      </c>
      <c r="CE62" s="190">
        <v>274</v>
      </c>
      <c r="CF62" s="190">
        <v>39</v>
      </c>
      <c r="CG62" s="190">
        <v>154</v>
      </c>
      <c r="CH62" s="190">
        <v>193</v>
      </c>
      <c r="CI62" s="190">
        <v>84</v>
      </c>
      <c r="CJ62" s="190">
        <v>0</v>
      </c>
      <c r="CK62" s="190">
        <v>1</v>
      </c>
      <c r="CL62" s="190">
        <v>57</v>
      </c>
      <c r="CM62" s="190">
        <v>58</v>
      </c>
      <c r="CN62" s="190">
        <v>52</v>
      </c>
      <c r="CO62" s="190">
        <v>963</v>
      </c>
      <c r="CP62" s="190">
        <v>1015</v>
      </c>
      <c r="CQ62" s="190">
        <v>0</v>
      </c>
      <c r="CR62" s="190">
        <v>0</v>
      </c>
      <c r="CS62" s="190">
        <v>0</v>
      </c>
      <c r="CT62" s="190">
        <v>878</v>
      </c>
      <c r="CU62" s="190">
        <v>8592</v>
      </c>
      <c r="CV62" s="190">
        <v>9470</v>
      </c>
      <c r="CW62" s="190">
        <v>66</v>
      </c>
      <c r="CX62" s="190">
        <v>572</v>
      </c>
      <c r="CY62" s="190">
        <v>638</v>
      </c>
      <c r="CZ62" s="190">
        <v>59</v>
      </c>
      <c r="DA62" s="190">
        <v>4</v>
      </c>
      <c r="DB62" s="190">
        <v>0</v>
      </c>
      <c r="DC62" s="190">
        <v>448</v>
      </c>
      <c r="DD62" s="190">
        <v>17</v>
      </c>
      <c r="DE62" s="190">
        <v>1</v>
      </c>
      <c r="DF62" s="190">
        <v>63</v>
      </c>
      <c r="DG62" s="190">
        <v>466</v>
      </c>
      <c r="DH62" s="190">
        <v>529</v>
      </c>
      <c r="DI62" s="190">
        <v>3</v>
      </c>
      <c r="DJ62" s="190">
        <v>0</v>
      </c>
      <c r="DK62" s="190">
        <v>0</v>
      </c>
      <c r="DL62" s="190">
        <v>101</v>
      </c>
      <c r="DM62" s="190">
        <v>5</v>
      </c>
      <c r="DN62" s="190">
        <v>0</v>
      </c>
      <c r="DO62" s="190">
        <v>3</v>
      </c>
      <c r="DP62" s="190">
        <v>106</v>
      </c>
      <c r="DQ62" s="190">
        <v>109</v>
      </c>
      <c r="DR62" s="190">
        <v>0</v>
      </c>
      <c r="DS62" s="190">
        <v>0</v>
      </c>
      <c r="DT62" s="191">
        <v>0</v>
      </c>
      <c r="DU62" s="172"/>
      <c r="DV62" s="192"/>
      <c r="DX62" s="192"/>
      <c r="DY62" s="192"/>
    </row>
    <row r="63" spans="1:129" s="193" customFormat="1" ht="18" customHeight="1" thickBot="1">
      <c r="A63" s="194" t="s">
        <v>328</v>
      </c>
      <c r="B63" s="195">
        <v>423</v>
      </c>
      <c r="C63" s="195">
        <v>94</v>
      </c>
      <c r="D63" s="195">
        <v>411</v>
      </c>
      <c r="E63" s="195">
        <v>231</v>
      </c>
      <c r="F63" s="195">
        <v>0</v>
      </c>
      <c r="G63" s="195">
        <v>1</v>
      </c>
      <c r="H63" s="195">
        <v>1</v>
      </c>
      <c r="I63" s="195">
        <v>0</v>
      </c>
      <c r="J63" s="195">
        <v>169</v>
      </c>
      <c r="K63" s="195">
        <v>169</v>
      </c>
      <c r="L63" s="195">
        <v>0</v>
      </c>
      <c r="M63" s="195">
        <v>62</v>
      </c>
      <c r="N63" s="195">
        <v>62</v>
      </c>
      <c r="O63" s="195">
        <v>0</v>
      </c>
      <c r="P63" s="195">
        <v>107</v>
      </c>
      <c r="Q63" s="195">
        <v>107</v>
      </c>
      <c r="R63" s="195">
        <v>0</v>
      </c>
      <c r="S63" s="195">
        <v>1</v>
      </c>
      <c r="T63" s="195">
        <v>1</v>
      </c>
      <c r="U63" s="195">
        <v>0</v>
      </c>
      <c r="V63" s="195">
        <v>11</v>
      </c>
      <c r="W63" s="195">
        <v>11</v>
      </c>
      <c r="X63" s="195">
        <v>10</v>
      </c>
      <c r="Y63" s="195">
        <v>401</v>
      </c>
      <c r="Z63" s="195">
        <v>411</v>
      </c>
      <c r="AA63" s="195">
        <v>6</v>
      </c>
      <c r="AB63" s="195">
        <v>179</v>
      </c>
      <c r="AC63" s="195">
        <v>185</v>
      </c>
      <c r="AD63" s="195">
        <v>6</v>
      </c>
      <c r="AE63" s="195">
        <v>173</v>
      </c>
      <c r="AF63" s="195">
        <v>179</v>
      </c>
      <c r="AG63" s="195">
        <v>0</v>
      </c>
      <c r="AH63" s="195">
        <v>3</v>
      </c>
      <c r="AI63" s="195">
        <v>3</v>
      </c>
      <c r="AJ63" s="195">
        <v>0</v>
      </c>
      <c r="AK63" s="195">
        <v>3</v>
      </c>
      <c r="AL63" s="195">
        <v>3</v>
      </c>
      <c r="AM63" s="195">
        <v>4</v>
      </c>
      <c r="AN63" s="195">
        <v>222</v>
      </c>
      <c r="AO63" s="195">
        <v>226</v>
      </c>
      <c r="AP63" s="195">
        <v>755</v>
      </c>
      <c r="AQ63" s="195">
        <v>4951</v>
      </c>
      <c r="AR63" s="195">
        <v>5706</v>
      </c>
      <c r="AS63" s="195">
        <v>755</v>
      </c>
      <c r="AT63" s="195">
        <v>4951</v>
      </c>
      <c r="AU63" s="195">
        <v>5706</v>
      </c>
      <c r="AV63" s="195">
        <v>0</v>
      </c>
      <c r="AW63" s="195">
        <v>0</v>
      </c>
      <c r="AX63" s="195">
        <v>0</v>
      </c>
      <c r="AY63" s="195">
        <v>47</v>
      </c>
      <c r="AZ63" s="195">
        <v>427</v>
      </c>
      <c r="BA63" s="195">
        <v>474</v>
      </c>
      <c r="BB63" s="195">
        <v>9</v>
      </c>
      <c r="BC63" s="195">
        <v>0</v>
      </c>
      <c r="BD63" s="195">
        <v>0</v>
      </c>
      <c r="BE63" s="195">
        <v>220</v>
      </c>
      <c r="BF63" s="195">
        <v>2</v>
      </c>
      <c r="BG63" s="195">
        <v>0</v>
      </c>
      <c r="BH63" s="195">
        <v>9</v>
      </c>
      <c r="BI63" s="195">
        <v>222</v>
      </c>
      <c r="BJ63" s="195">
        <v>231</v>
      </c>
      <c r="BK63" s="195">
        <v>0</v>
      </c>
      <c r="BL63" s="195">
        <v>0</v>
      </c>
      <c r="BM63" s="195">
        <v>0</v>
      </c>
      <c r="BN63" s="195">
        <v>7</v>
      </c>
      <c r="BO63" s="195">
        <v>35</v>
      </c>
      <c r="BP63" s="195">
        <v>42</v>
      </c>
      <c r="BQ63" s="195">
        <v>1</v>
      </c>
      <c r="BR63" s="195">
        <v>35</v>
      </c>
      <c r="BS63" s="195">
        <v>36</v>
      </c>
      <c r="BT63" s="195">
        <v>30</v>
      </c>
      <c r="BU63" s="195">
        <v>135</v>
      </c>
      <c r="BV63" s="195">
        <v>165</v>
      </c>
      <c r="BW63" s="195">
        <v>802</v>
      </c>
      <c r="BX63" s="195">
        <v>5378</v>
      </c>
      <c r="BY63" s="195">
        <v>6180</v>
      </c>
      <c r="BZ63" s="195">
        <v>796</v>
      </c>
      <c r="CA63" s="195">
        <v>5351</v>
      </c>
      <c r="CB63" s="195">
        <v>6147</v>
      </c>
      <c r="CC63" s="195">
        <v>13256</v>
      </c>
      <c r="CD63" s="195">
        <v>0</v>
      </c>
      <c r="CE63" s="195">
        <v>41</v>
      </c>
      <c r="CF63" s="195">
        <v>6</v>
      </c>
      <c r="CG63" s="195">
        <v>24</v>
      </c>
      <c r="CH63" s="195">
        <v>30</v>
      </c>
      <c r="CI63" s="195">
        <v>3</v>
      </c>
      <c r="CJ63" s="195">
        <v>0</v>
      </c>
      <c r="CK63" s="195">
        <v>0</v>
      </c>
      <c r="CL63" s="195">
        <v>3</v>
      </c>
      <c r="CM63" s="195">
        <v>3</v>
      </c>
      <c r="CN63" s="195">
        <v>42</v>
      </c>
      <c r="CO63" s="195">
        <v>536</v>
      </c>
      <c r="CP63" s="195">
        <v>578</v>
      </c>
      <c r="CQ63" s="195">
        <v>0</v>
      </c>
      <c r="CR63" s="195">
        <v>0</v>
      </c>
      <c r="CS63" s="195">
        <v>0</v>
      </c>
      <c r="CT63" s="195">
        <v>760</v>
      </c>
      <c r="CU63" s="195">
        <v>4842</v>
      </c>
      <c r="CV63" s="195">
        <v>5602</v>
      </c>
      <c r="CW63" s="195">
        <v>52</v>
      </c>
      <c r="CX63" s="195">
        <v>221</v>
      </c>
      <c r="CY63" s="195">
        <v>273</v>
      </c>
      <c r="CZ63" s="195">
        <v>52</v>
      </c>
      <c r="DA63" s="195">
        <v>0</v>
      </c>
      <c r="DB63" s="195">
        <v>0</v>
      </c>
      <c r="DC63" s="195">
        <v>207</v>
      </c>
      <c r="DD63" s="195">
        <v>1</v>
      </c>
      <c r="DE63" s="195">
        <v>0</v>
      </c>
      <c r="DF63" s="195">
        <v>52</v>
      </c>
      <c r="DG63" s="195">
        <v>208</v>
      </c>
      <c r="DH63" s="195">
        <v>260</v>
      </c>
      <c r="DI63" s="195">
        <v>0</v>
      </c>
      <c r="DJ63" s="195">
        <v>0</v>
      </c>
      <c r="DK63" s="195">
        <v>0</v>
      </c>
      <c r="DL63" s="195">
        <v>13</v>
      </c>
      <c r="DM63" s="195">
        <v>0</v>
      </c>
      <c r="DN63" s="195">
        <v>0</v>
      </c>
      <c r="DO63" s="195">
        <v>0</v>
      </c>
      <c r="DP63" s="195">
        <v>13</v>
      </c>
      <c r="DQ63" s="195">
        <v>13</v>
      </c>
      <c r="DR63" s="195">
        <v>0</v>
      </c>
      <c r="DS63" s="195">
        <v>0</v>
      </c>
      <c r="DT63" s="196">
        <v>0</v>
      </c>
      <c r="DU63" s="172"/>
      <c r="DV63" s="197" t="s">
        <v>329</v>
      </c>
      <c r="DX63" s="192"/>
      <c r="DY63" s="192"/>
    </row>
    <row r="64" spans="1:129" s="193" customFormat="1" ht="15.75" thickTop="1">
      <c r="A64" s="208" t="s">
        <v>330</v>
      </c>
      <c r="B64" s="209">
        <f>SUBTOTAL(109,Oct16Data[Cell 1])</f>
        <v>133163</v>
      </c>
      <c r="C64" s="209">
        <f>SUBTOTAL(109,Oct16Data[Cell 2])</f>
        <v>32114</v>
      </c>
      <c r="D64" s="209">
        <f>SUBTOTAL(109,Oct16Data[Cell 3])</f>
        <v>133462</v>
      </c>
      <c r="E64" s="209">
        <f>SUBTOTAL(109,Oct16Data[Cell 4])</f>
        <v>88437</v>
      </c>
      <c r="F64" s="209">
        <f>SUBTOTAL(109,Oct16Data[Cell 5])</f>
        <v>240</v>
      </c>
      <c r="G64" s="209">
        <f>SUBTOTAL(109,Oct16Data[Cell 6])</f>
        <v>1822</v>
      </c>
      <c r="H64" s="209">
        <f>SUBTOTAL(109,Oct16Data[Cell 7])</f>
        <v>2062</v>
      </c>
      <c r="I64" s="209">
        <f>SUBTOTAL(109,Oct16Data[Cell 8])</f>
        <v>60</v>
      </c>
      <c r="J64" s="209">
        <f>SUBTOTAL(109,Oct16Data[Cell 9])</f>
        <v>39912</v>
      </c>
      <c r="K64" s="209">
        <f>SUBTOTAL(109,Oct16Data[Cell 10])</f>
        <v>39972</v>
      </c>
      <c r="L64" s="209">
        <f>SUBTOTAL(109,Oct16Data[Cell 11])</f>
        <v>36</v>
      </c>
      <c r="M64" s="209">
        <f>SUBTOTAL(109,Oct16Data[Cell 12])</f>
        <v>22285</v>
      </c>
      <c r="N64" s="209">
        <f>SUBTOTAL(109,Oct16Data[Cell 13])</f>
        <v>22321</v>
      </c>
      <c r="O64" s="209">
        <f>SUBTOTAL(109,Oct16Data[Cell 14])</f>
        <v>24</v>
      </c>
      <c r="P64" s="209">
        <f>SUBTOTAL(109,Oct16Data[Cell 15])</f>
        <v>17627</v>
      </c>
      <c r="Q64" s="209">
        <f>SUBTOTAL(109,Oct16Data[Cell 16])</f>
        <v>17651</v>
      </c>
      <c r="R64" s="209">
        <f>SUBTOTAL(109,Oct16Data[Cell 17])</f>
        <v>11</v>
      </c>
      <c r="S64" s="209">
        <f>SUBTOTAL(109,Oct16Data[Cell 18])</f>
        <v>2020</v>
      </c>
      <c r="T64" s="209">
        <f>SUBTOTAL(109,Oct16Data[Cell 19])</f>
        <v>2031</v>
      </c>
      <c r="U64" s="209">
        <f>SUBTOTAL(109,Oct16Data[Cell 20])</f>
        <v>0</v>
      </c>
      <c r="V64" s="209">
        <f>SUBTOTAL(109,Oct16Data[Cell 21])</f>
        <v>5053</v>
      </c>
      <c r="W64" s="209">
        <f>SUBTOTAL(109,Oct16Data[Cell 22])</f>
        <v>5053</v>
      </c>
      <c r="X64" s="209">
        <f>SUBTOTAL(109,Oct16Data[Cell 23])</f>
        <v>4977</v>
      </c>
      <c r="Y64" s="209">
        <f>SUBTOTAL(109,Oct16Data[Cell 24])</f>
        <v>111678</v>
      </c>
      <c r="Z64" s="209">
        <f>SUBTOTAL(109,Oct16Data[Cell 25])</f>
        <v>116655</v>
      </c>
      <c r="AA64" s="209">
        <f>SUBTOTAL(109,Oct16Data[Cell 26])</f>
        <v>3219</v>
      </c>
      <c r="AB64" s="209">
        <f>SUBTOTAL(109,Oct16Data[Cell 27])</f>
        <v>46211</v>
      </c>
      <c r="AC64" s="209">
        <f>SUBTOTAL(109,Oct16Data[Cell 28])</f>
        <v>49430</v>
      </c>
      <c r="AD64" s="209">
        <f>SUBTOTAL(109,Oct16Data[Cell 29])</f>
        <v>2705</v>
      </c>
      <c r="AE64" s="209">
        <f>SUBTOTAL(109,Oct16Data[Cell 30])</f>
        <v>42916</v>
      </c>
      <c r="AF64" s="209">
        <f>SUBTOTAL(109,Oct16Data[Cell 31])</f>
        <v>45621</v>
      </c>
      <c r="AG64" s="209">
        <f>SUBTOTAL(109,Oct16Data[Cell 32])</f>
        <v>194</v>
      </c>
      <c r="AH64" s="209">
        <f>SUBTOTAL(109,Oct16Data[Cell 33])</f>
        <v>1554</v>
      </c>
      <c r="AI64" s="209">
        <f>SUBTOTAL(109,Oct16Data[Cell 34])</f>
        <v>1748</v>
      </c>
      <c r="AJ64" s="209">
        <f>SUBTOTAL(109,Oct16Data[Cell 35])</f>
        <v>320</v>
      </c>
      <c r="AK64" s="209">
        <f>SUBTOTAL(109,Oct16Data[Cell 36])</f>
        <v>1741</v>
      </c>
      <c r="AL64" s="209">
        <f>SUBTOTAL(109,Oct16Data[Cell 37])</f>
        <v>2061</v>
      </c>
      <c r="AM64" s="209">
        <f>SUBTOTAL(109,Oct16Data[Cell 38])</f>
        <v>1758</v>
      </c>
      <c r="AN64" s="209">
        <f>SUBTOTAL(109,Oct16Data[Cell 39])</f>
        <v>65467</v>
      </c>
      <c r="AO64" s="209">
        <f>SUBTOTAL(109,Oct16Data[Cell 40])</f>
        <v>67225</v>
      </c>
      <c r="AP64" s="209">
        <f>SUBTOTAL(109,Oct16Data[Cell 41])</f>
        <v>242045</v>
      </c>
      <c r="AQ64" s="209">
        <f>SUBTOTAL(109,Oct16Data[Cell 42])</f>
        <v>1635281</v>
      </c>
      <c r="AR64" s="209">
        <f>SUBTOTAL(109,Oct16Data[Cell 43])</f>
        <v>1877326</v>
      </c>
      <c r="AS64" s="209">
        <f>SUBTOTAL(109,Oct16Data[Cell 44])</f>
        <v>241184</v>
      </c>
      <c r="AT64" s="209">
        <f>SUBTOTAL(109,Oct16Data[Cell 45])</f>
        <v>1628213</v>
      </c>
      <c r="AU64" s="209">
        <f>SUBTOTAL(109,Oct16Data[Cell 46])</f>
        <v>1869397</v>
      </c>
      <c r="AV64" s="209">
        <f>SUBTOTAL(109,Oct16Data[Cell 47])</f>
        <v>861</v>
      </c>
      <c r="AW64" s="209">
        <f>SUBTOTAL(109,Oct16Data[Cell 48])</f>
        <v>7068</v>
      </c>
      <c r="AX64" s="209">
        <f>SUBTOTAL(109,Oct16Data[Cell 49])</f>
        <v>7929</v>
      </c>
      <c r="AY64" s="209">
        <f>SUBTOTAL(109,Oct16Data[Cell 50])</f>
        <v>16685</v>
      </c>
      <c r="AZ64" s="209">
        <f>SUBTOTAL(109,Oct16Data[Cell 51])</f>
        <v>138388</v>
      </c>
      <c r="BA64" s="209">
        <f>SUBTOTAL(109,Oct16Data[Cell 52])</f>
        <v>155073</v>
      </c>
      <c r="BB64" s="209">
        <f>SUBTOTAL(109,Oct16Data[Cell 53])</f>
        <v>6374</v>
      </c>
      <c r="BC64" s="209">
        <f>SUBTOTAL(109,Oct16Data[Cell 54])</f>
        <v>142</v>
      </c>
      <c r="BD64" s="209">
        <f>SUBTOTAL(109,Oct16Data[Cell 55])</f>
        <v>33</v>
      </c>
      <c r="BE64" s="209">
        <f>SUBTOTAL(109,Oct16Data[Cell 56])</f>
        <v>80200</v>
      </c>
      <c r="BF64" s="209">
        <f>SUBTOTAL(109,Oct16Data[Cell 57])</f>
        <v>1022</v>
      </c>
      <c r="BG64" s="209">
        <f>SUBTOTAL(109,Oct16Data[Cell 58])</f>
        <v>666</v>
      </c>
      <c r="BH64" s="209">
        <f>SUBTOTAL(109,Oct16Data[Cell 59])</f>
        <v>6549</v>
      </c>
      <c r="BI64" s="209">
        <f>SUBTOTAL(109,Oct16Data[Cell 60])</f>
        <v>81888</v>
      </c>
      <c r="BJ64" s="209">
        <f>SUBTOTAL(109,Oct16Data[Cell 61])</f>
        <v>88437</v>
      </c>
      <c r="BK64" s="209">
        <f>SUBTOTAL(109,Oct16Data[Cell 62])</f>
        <v>1647</v>
      </c>
      <c r="BL64" s="209">
        <f>SUBTOTAL(109,Oct16Data[Cell 63])</f>
        <v>-1647</v>
      </c>
      <c r="BM64" s="209">
        <f>SUBTOTAL(109,Oct16Data[Cell 64])</f>
        <v>0</v>
      </c>
      <c r="BN64" s="209">
        <f>SUBTOTAL(109,Oct16Data[Cell 65])</f>
        <v>434</v>
      </c>
      <c r="BO64" s="209">
        <f>SUBTOTAL(109,Oct16Data[Cell 66])</f>
        <v>2136</v>
      </c>
      <c r="BP64" s="209">
        <f>SUBTOTAL(109,Oct16Data[Cell 67])</f>
        <v>2570</v>
      </c>
      <c r="BQ64" s="209">
        <f>SUBTOTAL(109,Oct16Data[Cell 68])</f>
        <v>981</v>
      </c>
      <c r="BR64" s="209">
        <f>SUBTOTAL(109,Oct16Data[Cell 69])</f>
        <v>10635</v>
      </c>
      <c r="BS64" s="209">
        <f>SUBTOTAL(109,Oct16Data[Cell 70])</f>
        <v>11616</v>
      </c>
      <c r="BT64" s="209">
        <f>SUBTOTAL(109,Oct16Data[Cell 71])</f>
        <v>7074</v>
      </c>
      <c r="BU64" s="209">
        <f>SUBTOTAL(109,Oct16Data[Cell 72])</f>
        <v>45376</v>
      </c>
      <c r="BV64" s="209">
        <f>SUBTOTAL(109,Oct16Data[Cell 73])</f>
        <v>52450</v>
      </c>
      <c r="BW64" s="209">
        <f>SUBTOTAL(109,Oct16Data[Cell 74])</f>
        <v>258730</v>
      </c>
      <c r="BX64" s="209">
        <f>SUBTOTAL(109,Oct16Data[Cell 75])</f>
        <v>1773669</v>
      </c>
      <c r="BY64" s="209">
        <f>SUBTOTAL(109,Oct16Data[Cell 76])</f>
        <v>2032399</v>
      </c>
      <c r="BZ64" s="209">
        <f>SUBTOTAL(109,Oct16Data[Cell 77])</f>
        <v>253647</v>
      </c>
      <c r="CA64" s="209">
        <f>SUBTOTAL(109,Oct16Data[Cell 78])</f>
        <v>1744078</v>
      </c>
      <c r="CB64" s="209">
        <f>SUBTOTAL(109,Oct16Data[Cell 79])</f>
        <v>1997725</v>
      </c>
      <c r="CC64" s="209">
        <f>SUBTOTAL(109,Oct16Data[Cell 80])</f>
        <v>4181252</v>
      </c>
      <c r="CD64" s="209">
        <f>SUBTOTAL(109,Oct16Data[Cell 81])</f>
        <v>2611</v>
      </c>
      <c r="CE64" s="209">
        <f>SUBTOTAL(109,Oct16Data[Cell 82])</f>
        <v>29414</v>
      </c>
      <c r="CF64" s="209">
        <f>SUBTOTAL(109,Oct16Data[Cell 83])</f>
        <v>4754</v>
      </c>
      <c r="CG64" s="209">
        <f>SUBTOTAL(109,Oct16Data[Cell 84])</f>
        <v>19703</v>
      </c>
      <c r="CH64" s="209">
        <f>SUBTOTAL(109,Oct16Data[Cell 85])</f>
        <v>24457</v>
      </c>
      <c r="CI64" s="209">
        <f>SUBTOTAL(109,Oct16Data[Cell 86])</f>
        <v>12430</v>
      </c>
      <c r="CJ64" s="209">
        <f>SUBTOTAL(109,Oct16Data[Cell 87])</f>
        <v>1159</v>
      </c>
      <c r="CK64" s="209">
        <f>SUBTOTAL(109,Oct16Data[Cell 88])</f>
        <v>329</v>
      </c>
      <c r="CL64" s="209">
        <f>SUBTOTAL(109,Oct16Data[Cell 89])</f>
        <v>9888</v>
      </c>
      <c r="CM64" s="209">
        <f>SUBTOTAL(109,Oct16Data[Cell 90])</f>
        <v>10217</v>
      </c>
      <c r="CN64" s="209">
        <f>SUBTOTAL(109,Oct16Data[Cell 91])</f>
        <v>12988</v>
      </c>
      <c r="CO64" s="209">
        <f>SUBTOTAL(109,Oct16Data[Cell 92])</f>
        <v>142200</v>
      </c>
      <c r="CP64" s="209">
        <f>SUBTOTAL(109,Oct16Data[Cell 93])</f>
        <v>155188</v>
      </c>
      <c r="CQ64" s="209">
        <f>SUBTOTAL(109,Oct16Data[Cell 94])</f>
        <v>76</v>
      </c>
      <c r="CR64" s="209">
        <f>SUBTOTAL(109,Oct16Data[Cell 95])</f>
        <v>648</v>
      </c>
      <c r="CS64" s="209">
        <f>SUBTOTAL(109,Oct16Data[Cell 96])</f>
        <v>724</v>
      </c>
      <c r="CT64" s="209">
        <f>SUBTOTAL(109,Oct16Data[Cell 97])</f>
        <v>245742</v>
      </c>
      <c r="CU64" s="209">
        <f>SUBTOTAL(109,Oct16Data[Cell 98])</f>
        <v>1631469</v>
      </c>
      <c r="CV64" s="209">
        <f>SUBTOTAL(109,Oct16Data[Cell 99])</f>
        <v>1877211</v>
      </c>
      <c r="CW64" s="209">
        <f>SUBTOTAL(109,Oct16Data[Cell 100])</f>
        <v>15566</v>
      </c>
      <c r="CX64" s="209">
        <f>SUBTOTAL(109,Oct16Data[Cell 101])</f>
        <v>71495</v>
      </c>
      <c r="CY64" s="209">
        <f>SUBTOTAL(109,Oct16Data[Cell 102])</f>
        <v>87061</v>
      </c>
      <c r="CZ64" s="209">
        <f>SUBTOTAL(109,Oct16Data[Cell 103])</f>
        <v>15018</v>
      </c>
      <c r="DA64" s="209">
        <f>SUBTOTAL(109,Oct16Data[Cell 104])</f>
        <v>305</v>
      </c>
      <c r="DB64" s="209">
        <f>SUBTOTAL(109,Oct16Data[Cell 105])</f>
        <v>5</v>
      </c>
      <c r="DC64" s="209">
        <f>SUBTOTAL(109,Oct16Data[Cell 106])</f>
        <v>65925</v>
      </c>
      <c r="DD64" s="209">
        <f>SUBTOTAL(109,Oct16Data[Cell 107])</f>
        <v>954</v>
      </c>
      <c r="DE64" s="209">
        <f>SUBTOTAL(109,Oct16Data[Cell 108])</f>
        <v>265</v>
      </c>
      <c r="DF64" s="209">
        <f>SUBTOTAL(109,Oct16Data[Cell 109])</f>
        <v>15328</v>
      </c>
      <c r="DG64" s="209">
        <f>SUBTOTAL(109,Oct16Data[Cell 110])</f>
        <v>67144</v>
      </c>
      <c r="DH64" s="209">
        <f>SUBTOTAL(109,Oct16Data[Cell 111])</f>
        <v>82472</v>
      </c>
      <c r="DI64" s="209">
        <f>SUBTOTAL(109,Oct16Data[Cell 112])</f>
        <v>234</v>
      </c>
      <c r="DJ64" s="209">
        <f>SUBTOTAL(109,Oct16Data[Cell 113])</f>
        <v>4</v>
      </c>
      <c r="DK64" s="209">
        <f>SUBTOTAL(109,Oct16Data[Cell 114])</f>
        <v>0</v>
      </c>
      <c r="DL64" s="209">
        <f>SUBTOTAL(109,Oct16Data[Cell 115])</f>
        <v>4225</v>
      </c>
      <c r="DM64" s="209">
        <f>SUBTOTAL(109,Oct16Data[Cell 116])</f>
        <v>101</v>
      </c>
      <c r="DN64" s="209">
        <f>SUBTOTAL(109,Oct16Data[Cell 117])</f>
        <v>25</v>
      </c>
      <c r="DO64" s="209">
        <f>SUBTOTAL(109,Oct16Data[Cell 118])</f>
        <v>238</v>
      </c>
      <c r="DP64" s="209">
        <f>SUBTOTAL(109,Oct16Data[Cell 119])</f>
        <v>4351</v>
      </c>
      <c r="DQ64" s="209">
        <f>SUBTOTAL(109,Oct16Data[Cell 120])</f>
        <v>4589</v>
      </c>
      <c r="DR64" s="209">
        <f>SUBTOTAL(109,Oct16Data[Cell 121])</f>
        <v>1</v>
      </c>
      <c r="DS64" s="209">
        <f>SUBTOTAL(109,Oct16Data[Cell 122])</f>
        <v>22</v>
      </c>
      <c r="DT64" s="209">
        <f>SUBTOTAL(109,Oct16Data[Cell 123])</f>
        <v>23</v>
      </c>
      <c r="DU64" s="210"/>
      <c r="DV64" s="200">
        <v>26206928</v>
      </c>
      <c r="DX64" s="192"/>
      <c r="DY64" s="192"/>
    </row>
  </sheetData>
  <conditionalFormatting sqref="B7:DT63">
    <cfRule type="containsBlanks" dxfId="1531" priority="2">
      <formula>LEN(TRIM(B7))=0</formula>
    </cfRule>
  </conditionalFormatting>
  <conditionalFormatting sqref="B6:DT6">
    <cfRule type="containsBlanks" dxfId="1385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10" orientation="portrait" r:id="rId1"/>
  <headerFooter scaleWithDoc="0" alignWithMargins="0"/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8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14</vt:i4>
      </vt:variant>
    </vt:vector>
  </HeadingPairs>
  <TitlesOfParts>
    <vt:vector size="39" baseType="lpstr">
      <vt:lpstr>Release Summary</vt:lpstr>
      <vt:lpstr>Jul16 Statewide</vt:lpstr>
      <vt:lpstr>Jul16</vt:lpstr>
      <vt:lpstr>Aug16 Statewide</vt:lpstr>
      <vt:lpstr>Aug16</vt:lpstr>
      <vt:lpstr>Sep16 Statewide</vt:lpstr>
      <vt:lpstr>Sep16</vt:lpstr>
      <vt:lpstr>Oct16 Statewide</vt:lpstr>
      <vt:lpstr>Oct16</vt:lpstr>
      <vt:lpstr>Nov16 Statewide</vt:lpstr>
      <vt:lpstr>Nov16</vt:lpstr>
      <vt:lpstr>Dec16 Statewide</vt:lpstr>
      <vt:lpstr>Dec16</vt:lpstr>
      <vt:lpstr>Jan17 Statewide</vt:lpstr>
      <vt:lpstr>Jan17</vt:lpstr>
      <vt:lpstr>Feb17 Statewide</vt:lpstr>
      <vt:lpstr>Feb17</vt:lpstr>
      <vt:lpstr>Mar17 Statewide</vt:lpstr>
      <vt:lpstr>Mar17</vt:lpstr>
      <vt:lpstr>Apr17 Statewide</vt:lpstr>
      <vt:lpstr>Apr17</vt:lpstr>
      <vt:lpstr>May17 Statewide</vt:lpstr>
      <vt:lpstr>May17</vt:lpstr>
      <vt:lpstr>Jun17 Statewide</vt:lpstr>
      <vt:lpstr>Jun17</vt:lpstr>
      <vt:lpstr>'Release Summary'!Print_Area</vt:lpstr>
      <vt:lpstr>TitleRegion1.a4.c16.1</vt:lpstr>
      <vt:lpstr>TitleRegion1.a5.dt64.10</vt:lpstr>
      <vt:lpstr>TitleRegion1.a5.dt64.12</vt:lpstr>
      <vt:lpstr>TitleRegion1.a5.dt64.14</vt:lpstr>
      <vt:lpstr>TitleRegion1.a5.dt64.16</vt:lpstr>
      <vt:lpstr>TitleRegion1.a5.dt64.18</vt:lpstr>
      <vt:lpstr>TitleRegion1.a5.dt64.20</vt:lpstr>
      <vt:lpstr>TitleRegion1.a5.dt64.22</vt:lpstr>
      <vt:lpstr>TitleRegion1.a5.dt64.24</vt:lpstr>
      <vt:lpstr>TitleRegion1.a5.dt64.26</vt:lpstr>
      <vt:lpstr>TitleRegion1.a5.dt64.4</vt:lpstr>
      <vt:lpstr>TitleRegion1.a5.dt64.6</vt:lpstr>
      <vt:lpstr>TitleRegion1.a5.dt64.8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Table Release CF296 FY16-17</dc:title>
  <dc:creator>Jacquelyn Alvarez</dc:creator>
  <cp:lastModifiedBy>Jacquelyn Neri</cp:lastModifiedBy>
  <cp:lastPrinted>2018-02-14T18:30:50Z</cp:lastPrinted>
  <dcterms:created xsi:type="dcterms:W3CDTF">2018-02-14T18:22:59Z</dcterms:created>
  <dcterms:modified xsi:type="dcterms:W3CDTF">2018-02-14T18:38:32Z</dcterms:modified>
</cp:coreProperties>
</file>