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5.xml" ContentType="application/vnd.openxmlformats-officedocument.spreadsheetml.tab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tables/table6.xml" ContentType="application/vnd.openxmlformats-officedocument.spreadsheetml.tab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greaves\Desktop\"/>
    </mc:Choice>
  </mc:AlternateContent>
  <bookViews>
    <workbookView xWindow="240" yWindow="45" windowWidth="24780" windowHeight="12150" tabRatio="925"/>
  </bookViews>
  <sheets>
    <sheet name="Release Summary" sheetId="17" r:id="rId1"/>
    <sheet name="Jul17 Statewide" sheetId="5" r:id="rId2"/>
    <sheet name="Jul17" sheetId="6" r:id="rId3"/>
    <sheet name="Aug17 Statewide" sheetId="7" r:id="rId4"/>
    <sheet name="Aug17" sheetId="8" r:id="rId5"/>
    <sheet name="Sep17 Statewide" sheetId="9" r:id="rId6"/>
    <sheet name="Sep17" sheetId="10" r:id="rId7"/>
    <sheet name="Oct17 Statewide" sheetId="11" r:id="rId8"/>
    <sheet name="Oct17" sheetId="12" r:id="rId9"/>
    <sheet name="Nov17 Statewide" sheetId="13" r:id="rId10"/>
    <sheet name="Nov17" sheetId="14" r:id="rId11"/>
    <sheet name="Dec17 Statewide" sheetId="15" r:id="rId12"/>
    <sheet name="Dec17" sheetId="16" r:id="rId13"/>
  </sheets>
  <externalReferences>
    <externalReference r:id="rId14"/>
  </externalReferences>
  <definedNames>
    <definedName name="DataDictionary2" hidden="1">'[1]ACL VALIDATIONS 07-15'!#REF!</definedName>
    <definedName name="_xlnm.Print_Area" localSheetId="4">'Aug17'!$A$1:$DW$64</definedName>
    <definedName name="_xlnm.Print_Area" localSheetId="12">'Dec17'!$A$1:$DW$64</definedName>
    <definedName name="_xlnm.Print_Area" localSheetId="2">'Jul17'!$A$1:$DW$64</definedName>
    <definedName name="_xlnm.Print_Area" localSheetId="10">'Nov17'!$A$1:$DW$64</definedName>
    <definedName name="_xlnm.Print_Area" localSheetId="8">'Oct17'!$A$1:$DW$64</definedName>
    <definedName name="_xlnm.Print_Area" localSheetId="0">'Release Summary'!$A$1:$C$16</definedName>
    <definedName name="_xlnm.Print_Area" localSheetId="6">'Sep17'!$A$1:$DW$64</definedName>
    <definedName name="TitleRegion1.a4.c16.1">ReleaseSummary[[#Headers],[REPORT MONTH]]</definedName>
    <definedName name="TitleRegion1.a5.dt64.10">Oct17Data[[#Headers],[County]]</definedName>
    <definedName name="TitleRegion1.a5.dt64.12">Nov17Data[[#Headers],[County]]</definedName>
    <definedName name="TitleRegion1.a5.dt64.14">Dec17Data[[#Headers],[County]]</definedName>
    <definedName name="TitleRegion1.a5.dt64.4">Jul17Data[[#Headers],[County]]</definedName>
    <definedName name="TitleRegion1.a5.dt64.6">Aug17Data[[#Headers],[County]]</definedName>
    <definedName name="TitleRegion1.a5.dt64.8">Sep17Data[[#Headers],[County]]</definedName>
    <definedName name="Z_53B10681_B06D_11D2_92B8_00104BCA8B71_.wvu.Cols" hidden="1">'[1]ACL VALIDATIONS 07-15'!#REF!</definedName>
    <definedName name="Z_B3F13501_AFB0_11D2_9943_00104BC68B7D_.wvu.Cols" hidden="1">'[1]ACL VALIDATIONS 07-15'!#REF!</definedName>
    <definedName name="Z_D411FE81_CCBD_11D2_9105_00104B9EF16E_.wvu.Cols" hidden="1">'[1]ACL VALIDATIONS 07-15'!#REF!</definedName>
    <definedName name="Z_D98C08E0_1D87_11D3_99EE_00104BC68B70_.wvu.PrintArea" localSheetId="4" hidden="1">'Aug17'!$A$1:$CF$63</definedName>
    <definedName name="Z_D98C08E0_1D87_11D3_99EE_00104BC68B70_.wvu.PrintArea" localSheetId="12" hidden="1">'Dec17'!$A$1:$CF$63</definedName>
    <definedName name="Z_D98C08E0_1D87_11D3_99EE_00104BC68B70_.wvu.PrintArea" localSheetId="2" hidden="1">'Jul17'!$A$1:$CF$63</definedName>
    <definedName name="Z_D98C08E0_1D87_11D3_99EE_00104BC68B70_.wvu.PrintArea" localSheetId="10" hidden="1">'Nov17'!$A$1:$CF$63</definedName>
    <definedName name="Z_D98C08E0_1D87_11D3_99EE_00104BC68B70_.wvu.PrintArea" localSheetId="8" hidden="1">'Oct17'!$A$1:$CF$63</definedName>
    <definedName name="Z_D98C08E0_1D87_11D3_99EE_00104BC68B70_.wvu.PrintArea" localSheetId="6" hidden="1">'Sep17'!$A$1:$CF$63</definedName>
    <definedName name="Z_F94D19A1_B6D3_11D2_9134_00104BD18A22_.wvu.Cols" hidden="1">'[1]ACL VALIDATIONS 07-15'!#REF!</definedName>
  </definedNames>
  <calcPr calcId="171027"/>
</workbook>
</file>

<file path=xl/calcChain.xml><?xml version="1.0" encoding="utf-8"?>
<calcChain xmlns="http://schemas.openxmlformats.org/spreadsheetml/2006/main">
  <c r="B64" i="10" l="1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AF64" i="10"/>
  <c r="AG64" i="10"/>
  <c r="AH64" i="10"/>
  <c r="AI64" i="10"/>
  <c r="AJ64" i="10"/>
  <c r="AK64" i="10"/>
  <c r="AL64" i="10"/>
  <c r="AM64" i="10"/>
  <c r="AN64" i="10"/>
  <c r="AO64" i="10"/>
  <c r="AP64" i="10"/>
  <c r="AQ64" i="10"/>
  <c r="AR64" i="10"/>
  <c r="AS64" i="10"/>
  <c r="AT64" i="10"/>
  <c r="AU64" i="10"/>
  <c r="AV64" i="10"/>
  <c r="AW64" i="10"/>
  <c r="AX64" i="10"/>
  <c r="AY64" i="10"/>
  <c r="AZ64" i="10"/>
  <c r="BA64" i="10"/>
  <c r="BB64" i="10"/>
  <c r="BC64" i="10"/>
  <c r="BD64" i="10"/>
  <c r="BE64" i="10"/>
  <c r="BF64" i="10"/>
  <c r="BG64" i="10"/>
  <c r="BH64" i="10"/>
  <c r="BI64" i="10"/>
  <c r="BJ64" i="10"/>
  <c r="BK64" i="10"/>
  <c r="BL64" i="10"/>
  <c r="BM64" i="10"/>
  <c r="BN64" i="10"/>
  <c r="BO64" i="10"/>
  <c r="BP64" i="10"/>
  <c r="BQ64" i="10"/>
  <c r="BR64" i="10"/>
  <c r="BS64" i="10"/>
  <c r="BT64" i="10"/>
  <c r="BU64" i="10"/>
  <c r="BV64" i="10"/>
  <c r="BW64" i="10"/>
  <c r="BX64" i="10"/>
  <c r="BY64" i="10"/>
  <c r="BZ64" i="10"/>
  <c r="CA64" i="10"/>
  <c r="CB64" i="10"/>
  <c r="CC64" i="10"/>
  <c r="CD64" i="10"/>
  <c r="CE64" i="10"/>
  <c r="CF64" i="10"/>
  <c r="CG64" i="10"/>
  <c r="CH64" i="10"/>
  <c r="CI64" i="10"/>
  <c r="CJ64" i="10"/>
  <c r="CK64" i="10"/>
  <c r="CL64" i="10"/>
  <c r="CM64" i="10"/>
  <c r="CN64" i="10"/>
  <c r="CO64" i="10"/>
  <c r="CP64" i="10"/>
  <c r="CQ64" i="10"/>
  <c r="CR64" i="10"/>
  <c r="CS64" i="10"/>
  <c r="CT64" i="10"/>
  <c r="CU64" i="10"/>
  <c r="CV64" i="10"/>
  <c r="CW64" i="10"/>
  <c r="CX64" i="10"/>
  <c r="CY64" i="10"/>
  <c r="CZ64" i="10"/>
  <c r="DA64" i="10"/>
  <c r="DB64" i="10"/>
  <c r="DC64" i="10"/>
  <c r="DD64" i="10"/>
  <c r="DE64" i="10"/>
  <c r="DF64" i="10"/>
  <c r="DG64" i="10"/>
  <c r="DH64" i="10"/>
  <c r="DI64" i="10"/>
  <c r="DJ64" i="10"/>
  <c r="DK64" i="10"/>
  <c r="DL64" i="10"/>
  <c r="DM64" i="10"/>
  <c r="DN64" i="10"/>
  <c r="DO64" i="10"/>
  <c r="DP64" i="10"/>
  <c r="DQ64" i="10"/>
  <c r="DR64" i="10"/>
  <c r="DS64" i="10"/>
  <c r="DT64" i="10"/>
  <c r="B64" i="14" l="1"/>
  <c r="C64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AP64" i="14"/>
  <c r="AQ64" i="14"/>
  <c r="AR64" i="14"/>
  <c r="AS64" i="14"/>
  <c r="AT64" i="14"/>
  <c r="AU64" i="14"/>
  <c r="AV64" i="14"/>
  <c r="AW64" i="14"/>
  <c r="AX64" i="14"/>
  <c r="AY64" i="14"/>
  <c r="AZ64" i="14"/>
  <c r="BA64" i="14"/>
  <c r="BB64" i="14"/>
  <c r="BC64" i="14"/>
  <c r="BD64" i="14"/>
  <c r="BE64" i="14"/>
  <c r="BF64" i="14"/>
  <c r="BG64" i="14"/>
  <c r="BH64" i="14"/>
  <c r="BI64" i="14"/>
  <c r="BJ64" i="14"/>
  <c r="BK64" i="14"/>
  <c r="BL64" i="14"/>
  <c r="BM64" i="14"/>
  <c r="BN64" i="14"/>
  <c r="BO64" i="14"/>
  <c r="BP64" i="14"/>
  <c r="BQ64" i="14"/>
  <c r="BR64" i="14"/>
  <c r="BS64" i="14"/>
  <c r="BT64" i="14"/>
  <c r="BU64" i="14"/>
  <c r="BV64" i="14"/>
  <c r="BW64" i="14"/>
  <c r="BX64" i="14"/>
  <c r="BY64" i="14"/>
  <c r="BZ64" i="14"/>
  <c r="CA64" i="14"/>
  <c r="CB64" i="14"/>
  <c r="CC64" i="14"/>
  <c r="CD64" i="14"/>
  <c r="CE64" i="14"/>
  <c r="CF64" i="14"/>
  <c r="CG64" i="14"/>
  <c r="CH64" i="14"/>
  <c r="CI64" i="14"/>
  <c r="CJ64" i="14"/>
  <c r="CK64" i="14"/>
  <c r="CL64" i="14"/>
  <c r="CM64" i="14"/>
  <c r="CN64" i="14"/>
  <c r="CO64" i="14"/>
  <c r="CP64" i="14"/>
  <c r="CQ64" i="14"/>
  <c r="CR64" i="14"/>
  <c r="CS64" i="14"/>
  <c r="CT64" i="14"/>
  <c r="CU64" i="14"/>
  <c r="CV64" i="14"/>
  <c r="CW64" i="14"/>
  <c r="CX64" i="14"/>
  <c r="CY64" i="14"/>
  <c r="CZ64" i="14"/>
  <c r="DA64" i="14"/>
  <c r="DB64" i="14"/>
  <c r="DC64" i="14"/>
  <c r="DD64" i="14"/>
  <c r="DE64" i="14"/>
  <c r="DF64" i="14"/>
  <c r="DG64" i="14"/>
  <c r="DH64" i="14"/>
  <c r="DI64" i="14"/>
  <c r="DJ64" i="14"/>
  <c r="DK64" i="14"/>
  <c r="DL64" i="14"/>
  <c r="DM64" i="14"/>
  <c r="DN64" i="14"/>
  <c r="DO64" i="14"/>
  <c r="DP64" i="14"/>
  <c r="DQ64" i="14"/>
  <c r="DR64" i="14"/>
  <c r="DS64" i="14"/>
  <c r="DT64" i="14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Z64" i="6"/>
  <c r="BA64" i="6"/>
  <c r="BB64" i="6"/>
  <c r="BC64" i="6"/>
  <c r="BD64" i="6"/>
  <c r="BE64" i="6"/>
  <c r="BF64" i="6"/>
  <c r="BG64" i="6"/>
  <c r="BH64" i="6"/>
  <c r="BI64" i="6"/>
  <c r="BJ64" i="6"/>
  <c r="BK64" i="6"/>
  <c r="BL64" i="6"/>
  <c r="BM64" i="6"/>
  <c r="BN64" i="6"/>
  <c r="BO64" i="6"/>
  <c r="BP64" i="6"/>
  <c r="BQ64" i="6"/>
  <c r="BR64" i="6"/>
  <c r="BS64" i="6"/>
  <c r="BT64" i="6"/>
  <c r="BU64" i="6"/>
  <c r="BV64" i="6"/>
  <c r="BW64" i="6"/>
  <c r="BX64" i="6"/>
  <c r="BY64" i="6"/>
  <c r="BZ64" i="6"/>
  <c r="CA64" i="6"/>
  <c r="CB64" i="6"/>
  <c r="CC64" i="6"/>
  <c r="CD64" i="6"/>
  <c r="CE64" i="6"/>
  <c r="CF64" i="6"/>
  <c r="CG64" i="6"/>
  <c r="CH64" i="6"/>
  <c r="CI64" i="6"/>
  <c r="CJ64" i="6"/>
  <c r="CK64" i="6"/>
  <c r="CL64" i="6"/>
  <c r="CM64" i="6"/>
  <c r="CN64" i="6"/>
  <c r="CO64" i="6"/>
  <c r="CP64" i="6"/>
  <c r="CQ64" i="6"/>
  <c r="CR64" i="6"/>
  <c r="CS64" i="6"/>
  <c r="CT64" i="6"/>
  <c r="CU64" i="6"/>
  <c r="CV64" i="6"/>
  <c r="CW64" i="6"/>
  <c r="CX64" i="6"/>
  <c r="CY64" i="6"/>
  <c r="CZ64" i="6"/>
  <c r="DA64" i="6"/>
  <c r="DB64" i="6"/>
  <c r="DC64" i="6"/>
  <c r="DD64" i="6"/>
  <c r="DE64" i="6"/>
  <c r="DF64" i="6"/>
  <c r="DG64" i="6"/>
  <c r="DH64" i="6"/>
  <c r="DI64" i="6"/>
  <c r="DJ64" i="6"/>
  <c r="DK64" i="6"/>
  <c r="DL64" i="6"/>
  <c r="DM64" i="6"/>
  <c r="DN64" i="6"/>
  <c r="DO64" i="6"/>
  <c r="DP64" i="6"/>
  <c r="DQ64" i="6"/>
  <c r="DR64" i="6"/>
  <c r="DS64" i="6"/>
  <c r="DT64" i="6"/>
</calcChain>
</file>

<file path=xl/sharedStrings.xml><?xml version="1.0" encoding="utf-8"?>
<sst xmlns="http://schemas.openxmlformats.org/spreadsheetml/2006/main" count="4800" uniqueCount="359">
  <si>
    <t>December 2017</t>
  </si>
  <si>
    <t>November 2017</t>
  </si>
  <si>
    <t>REPORT MONTH</t>
  </si>
  <si>
    <t>RELEASE DATE</t>
  </si>
  <si>
    <t>COMMENTS  a/</t>
  </si>
  <si>
    <t>County not reporting:  Alameda
Counties revising:  Modoc and Santa Barbara</t>
  </si>
  <si>
    <t>County not reporting:  Alameda</t>
  </si>
  <si>
    <t>CALFRESH MONTHLY CASELOAD MOVEMENT</t>
  </si>
  <si>
    <t>STATISTICAL REPORT</t>
  </si>
  <si>
    <t>CF 296</t>
  </si>
  <si>
    <t>STATEWIDE</t>
  </si>
  <si>
    <t>July 2017</t>
  </si>
  <si>
    <t>PART A.  APPLICATIONS FOR CALFRESH</t>
  </si>
  <si>
    <t>TOTAL</t>
  </si>
  <si>
    <t xml:space="preserve">1.  </t>
  </si>
  <si>
    <t>Applications received during the month…………………………………………………………………………………..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</si>
  <si>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a.  </t>
  </si>
  <si>
    <t>Online applications received during the month………………………………………………………………………………………………...…………..……………………………………………………………………………………….…………………………...……………………………………………………………………………..………………………………………………………………………………………....…………………………………</t>
  </si>
  <si>
    <t xml:space="preserve">2.  </t>
  </si>
  <si>
    <t>Applications disposed of during the month (Sum of Items 2a, 2b and 2c)………………………..……………………………………………………………………………………….………..……………………………………………………………………………………….……………………...……………………………………………………...……………………………………</t>
  </si>
  <si>
    <t>a.</t>
  </si>
  <si>
    <t>Applications approved (Same as Item 5a/Cell 61) ……………………………………………………………………………………..……………………………………………………………………………………….………………………………………………………………………………………………………………...………………………………………………………………………………..</t>
  </si>
  <si>
    <t>PACF (A)</t>
  </si>
  <si>
    <t>NACF (B)</t>
  </si>
  <si>
    <t>TOTAL (C)</t>
  </si>
  <si>
    <t>1)</t>
  </si>
  <si>
    <t>Applications approved in over 30 days (CWD caused) ………………..……………………………………………………………………………………….………..……………………………………………………………………………………….………………..……………………………………………………………………………………………………………………………………………………………………………………...…..</t>
  </si>
  <si>
    <t>b.</t>
  </si>
  <si>
    <t>Applications denied (Item 2b1 plus Item 2b2) ………………..……………………………………………………………………………………….………..……………………………………………………………………………………….………………………………………………………………………………………………………………………………………………………………………………………………...……………..….</t>
  </si>
  <si>
    <t>Applications denied because determined ineligible…………………..……………………………………………………………………………………….………..……………………………………………………………………………………….………..……………………………………………………………………………………….………………………………………………………………………………………………</t>
  </si>
  <si>
    <t>2)</t>
  </si>
  <si>
    <t>Applications denied for procedural reasons………………..……………………………………………………………………………………….………..……………………………………………………………………………………….………..……………………………………………………………………………………….………………………………………………………………………………………………………………………………………..</t>
  </si>
  <si>
    <t>3)</t>
  </si>
  <si>
    <t>Applications denied in over 30 days (CWD caused)……………………..……………………………………………………………………………………….………..……………………………………………………………………………………….………………………………………………………………………………………………………………………………………………………………………………………………....</t>
  </si>
  <si>
    <t>c.</t>
  </si>
  <si>
    <t>Applications withdrawn…………………..……………………………………………………………………………………….………..……………………………………………………………………………………….………..……………………………………………………………………………………….………………………………………………………………………….………………………………………………………………………………………………………………………………………………………………...……</t>
  </si>
  <si>
    <t>PART B.  APPLICATIONS PROCESSED UNDER EXPEDITED SERVICES (ES)</t>
  </si>
  <si>
    <t>3.</t>
  </si>
  <si>
    <t>Of the applications disposed of during the month in Item 2, applications processed under ES (Item 3A plus Item 3B)…………..……………………………………………………………………………………….………..……………………………………………………………………………………….………..……………………………………………………………………………………….…………….…</t>
  </si>
  <si>
    <t xml:space="preserve">a. </t>
  </si>
  <si>
    <t xml:space="preserve"> Found entitled to ES (Sum of Items 3a1 through 3a3)……………………………………………..……………………………………………………………………………………….………..……………………………………………………………………………………….………..……………………………………………………………………………………….……………..……………………………………………………</t>
  </si>
  <si>
    <t xml:space="preserve">1)  </t>
  </si>
  <si>
    <t>Benefits issued in 1-3 days……………………………………………………………………………………………………..………………...……………………………………………………………………..………………...……………………………………………………………………..………………...……………………………………………………………………..………………...…………………………..………………...…………………………</t>
  </si>
  <si>
    <t xml:space="preserve">2)  </t>
  </si>
  <si>
    <t>Benefits issued in 4-7 days…………………………………………………………..………………...……………………………………………………………………..………………...……………………………………………………………………..………………...……………………………………………………………………..………………...………………………………………………...………………………….…………………...…………………………</t>
  </si>
  <si>
    <t xml:space="preserve">3)  </t>
  </si>
  <si>
    <t>Benefits issued in over 7 days…………………………………………………………..………………...……………………………………………………………………..………………...……………………………………………………………………..………………...…………………………………………………..…………………………..………………………………………….….…..</t>
  </si>
  <si>
    <t xml:space="preserve">b. </t>
  </si>
  <si>
    <t>Found not entitled to ES…………………………………………………………..………………...……………………………………………………………………..………………...……………………………………………………………………..………………...……………………………………………………………………..………………...……………………………………………………………………..………………...…………………………………………………………………………………………………………………………..….</t>
  </si>
  <si>
    <t>PART C.  CERTIFIED CASELOAD MOVEMENT</t>
  </si>
  <si>
    <t>4.</t>
  </si>
  <si>
    <t>Cases brought forward at the beginning of the month……………………..…………………………………………..………………...……………………………………………………………………..………………...……………………………………………………………………..………………...…………………………………..………………………………………………………………………………………...…………………...………………..</t>
  </si>
  <si>
    <t>Item 8 from last month's report, as reported to CDSS………………………………………………………..………………...……………………………………………………………………..………………...……………………………………………………………………..………………...………………………………………….……………………………………………………………………………………………………………..………..</t>
  </si>
  <si>
    <t>Adjustment (Item 4 minus Item 4a, positive or negative number, explain in the Item 4b Adjustment Explanation box)…………………………………………………..………………...……………………………………………………………………..………………...……………………………………………………………………..………………...…………………………………………………………………………………………………….</t>
  </si>
  <si>
    <t>5.</t>
  </si>
  <si>
    <t>Cases added during the month (Sum of Items 5a through 5e, positive or negative number)………………………………………………………..………………...……………………………………………………………………..………………...……………………………………………………………………..………………...…………………………………………………………………………………………………………..</t>
  </si>
  <si>
    <t>PACF</t>
  </si>
  <si>
    <t>NACF</t>
  </si>
  <si>
    <t>Federal</t>
  </si>
  <si>
    <t>Fed/State</t>
  </si>
  <si>
    <t>State</t>
  </si>
  <si>
    <t>Applications approved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.…………..……………………………………………………………………………………………………………………………………………………………...…………..</t>
  </si>
  <si>
    <t>Change in assistance status from PACF or NACF………………………………………………………………………………………………………………………………………………………………………………………………………………………...…………..…………………………………………………………………………………………………………………………………………………………………………………………………………………...…………..………………...…………………………………………………………………………….</t>
  </si>
  <si>
    <t xml:space="preserve">c.  </t>
  </si>
  <si>
    <t>Inter-County Transfers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.…………..……………………………………………………………………………………………………………………………………………………………………………………………………………...…………..………………………………………………………………...……….</t>
  </si>
  <si>
    <t>d.</t>
  </si>
  <si>
    <t>Cases with eligibility reinstated and benefits pro-rated during the month……………………………………………………………………………………………………………………………………………………………………………………………………………………...…………..……………………………………………………………………………………………………………………………………………………………………………………………………………...…………..………………………………………………………………………..</t>
  </si>
  <si>
    <t>e.</t>
  </si>
  <si>
    <t>Other approvals……………………………………………………………………………………………………………………………………………………………………………………………………………………………………………………...…………..………………………………………………………………………………………………………………………………………………………….……………..….</t>
  </si>
  <si>
    <t xml:space="preserve">6.  </t>
  </si>
  <si>
    <t>Total cases open during the month (Certified eligible to participate during the month)</t>
  </si>
  <si>
    <t>(Item 4 plus Item 5; also sum of Items 6a through 6c)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.…………………………………….………………………………..</t>
  </si>
  <si>
    <t>Pure federal cases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…….……………….</t>
  </si>
  <si>
    <t>Federal persons in Item 6a cases</t>
  </si>
  <si>
    <t>Federal Persons</t>
  </si>
  <si>
    <t>State Persons</t>
  </si>
  <si>
    <t>plus federal persons in Item 6b cases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……</t>
  </si>
  <si>
    <t>Singles</t>
  </si>
  <si>
    <t>Families</t>
  </si>
  <si>
    <t>Federal/State combined cases…………………………………………………………………….……………………………………………………………………</t>
  </si>
  <si>
    <t>Pure state cases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.……………………………………………………………………………………………………………………………………………………………………….……..</t>
  </si>
  <si>
    <t xml:space="preserve">7.  </t>
  </si>
  <si>
    <t>Cases discontinued during the month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………………………………………………………………………..</t>
  </si>
  <si>
    <t>Households discontinued due to recipient failure to complete application process for ongoing benefits (ES only)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.…..</t>
  </si>
  <si>
    <t xml:space="preserve">8.  </t>
  </si>
  <si>
    <t>Cases brought forward at the end of the month (Item 6 minus Item 7)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</t>
  </si>
  <si>
    <t>PART D.  RECERTIFICATIONS</t>
  </si>
  <si>
    <t>9.</t>
  </si>
  <si>
    <t>Recertifications disposed of during the month (Item 9a plus Item 9b)………………………………………………………………………………………………………………………</t>
  </si>
  <si>
    <t>Determined continuing eligible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…..</t>
  </si>
  <si>
    <t>Determined ineligible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</t>
  </si>
  <si>
    <t>10.</t>
  </si>
  <si>
    <t>Overdue recertifications (CWD caused) during the month…………………………………………………………………………………………………………………………………………………………………………………………</t>
  </si>
  <si>
    <t>CDSS use only:</t>
  </si>
  <si>
    <t xml:space="preserve">Not accessible page.  Please go to next sheet for accessible version. </t>
  </si>
  <si>
    <t xml:space="preserve">PART A.  </t>
  </si>
  <si>
    <t>Part B</t>
  </si>
  <si>
    <t>PART C</t>
  </si>
  <si>
    <t>PART D</t>
  </si>
  <si>
    <t xml:space="preserve">Total (C) </t>
  </si>
  <si>
    <t>PACF (Federal)</t>
  </si>
  <si>
    <t>PACF (Fed/State)</t>
  </si>
  <si>
    <t>PACF (State)</t>
  </si>
  <si>
    <t>NACF (Federal)</t>
  </si>
  <si>
    <t>NACF (Fed/State)</t>
  </si>
  <si>
    <t>NACF (State)</t>
  </si>
  <si>
    <t>State Persons: Single</t>
  </si>
  <si>
    <t>State Persons: Families</t>
  </si>
  <si>
    <t>PACF: Federal</t>
  </si>
  <si>
    <t>PACF: Fed/State</t>
  </si>
  <si>
    <t>PACF: State</t>
  </si>
  <si>
    <t>NACF: Federal</t>
  </si>
  <si>
    <t>NACF: Fed/State</t>
  </si>
  <si>
    <t>NACF: State</t>
  </si>
  <si>
    <t>1. Applications received during the month</t>
  </si>
  <si>
    <t>1A. Online applications received during the month</t>
  </si>
  <si>
    <t>2. Applications disposed of during the month (sum of Items 2a through 2c)</t>
  </si>
  <si>
    <t>2A. Applications approved (Same as Item 5A/Cell 61)</t>
  </si>
  <si>
    <t>2A.1) Applications approved in over 30 days (CWD caused)</t>
  </si>
  <si>
    <t>2B. Applications denied (Item 2B1 plus Item 2B2)</t>
  </si>
  <si>
    <t>2B.1) Applications denied because determined ineligible</t>
  </si>
  <si>
    <t>2B.2) Applications denied for procedural reasons</t>
  </si>
  <si>
    <t>2B.C) Applications denied in over 30 days (CWD caused)</t>
  </si>
  <si>
    <t>2C. Applications withdrawn</t>
  </si>
  <si>
    <t>3. Of the applications disposed of during the month in Item 2, applications processed under ES (Item 3A plus Item 3B)</t>
  </si>
  <si>
    <t>3A. Found entitled to ES (Sum of Items 3A1 through 3A3)</t>
  </si>
  <si>
    <t>3A.1) Benefits issued in 1-3 days</t>
  </si>
  <si>
    <t>3A.2) Benefits issued in 4-7 days</t>
  </si>
  <si>
    <t>3A.3) Benefits issued in over 7 days</t>
  </si>
  <si>
    <t>3B. Found not entitled to ES</t>
  </si>
  <si>
    <t>4. Cases brought forward at the beginning of the month</t>
  </si>
  <si>
    <t>4A. Item 8 from last month's report, as reported to CDSS</t>
  </si>
  <si>
    <t>4B. Adjustment (Item 4 minus Item 4A, positive or negative number, explain in the Item 4B Adjustment Explanation)</t>
  </si>
  <si>
    <t>5. Cases added during the month (Sum of Items 5A through 5E, positive or negative number)</t>
  </si>
  <si>
    <t>5A. Applications Approved</t>
  </si>
  <si>
    <t>5B. Change in assistance status from PACF or NACF</t>
  </si>
  <si>
    <t>5C. Inter-County Transfers</t>
  </si>
  <si>
    <t>5D. Cases with eligibility reinstated and benefits pro-rated during the month</t>
  </si>
  <si>
    <t>5E. Other Approvals</t>
  </si>
  <si>
    <t>6. Total cases open during the month (Certified eligible to participate during the month) (Item 4 plus Item 5; also sum of Items 6A through 6C)</t>
  </si>
  <si>
    <t>6A. Pure federal cases</t>
  </si>
  <si>
    <t>6A.1) Federal persons in Item 6A cases plus federal persons in Item 6B cases</t>
  </si>
  <si>
    <t>6B. Federal/State combined cases</t>
  </si>
  <si>
    <t>6C. Pure state cases</t>
  </si>
  <si>
    <t>7. Cases discontinued during the month</t>
  </si>
  <si>
    <t>7A. Households discontinued due to recipient failure to complete application process for ongoing benefits (ES only)</t>
  </si>
  <si>
    <t>8. Cases brought forward at the end of the month (Item 6 minus Item 7)</t>
  </si>
  <si>
    <t>9. Recertifications disposed of during the month (Item 9A plus Item 9B)</t>
  </si>
  <si>
    <t>9A. Determined continuing eligible</t>
  </si>
  <si>
    <t>9B. Determined ineligible</t>
  </si>
  <si>
    <t>10. Overdue recertifications (CWD caused) during the month</t>
  </si>
  <si>
    <t>County</t>
  </si>
  <si>
    <t>Cell 1</t>
  </si>
  <si>
    <t>Cell 2</t>
  </si>
  <si>
    <t>Cell 3</t>
  </si>
  <si>
    <t>Cell 4</t>
  </si>
  <si>
    <t>Cell 5</t>
  </si>
  <si>
    <t>Cell 6</t>
  </si>
  <si>
    <t>Cell 7</t>
  </si>
  <si>
    <t>Cell 8</t>
  </si>
  <si>
    <t>Cell 9</t>
  </si>
  <si>
    <t>Cell 10</t>
  </si>
  <si>
    <t>Cell 11</t>
  </si>
  <si>
    <t>Cell 12</t>
  </si>
  <si>
    <t>Cell 13</t>
  </si>
  <si>
    <t>Cell 14</t>
  </si>
  <si>
    <t>Cell 15</t>
  </si>
  <si>
    <t>Cell 16</t>
  </si>
  <si>
    <t>Cell 17</t>
  </si>
  <si>
    <t>Cell 18</t>
  </si>
  <si>
    <t>Cell 19</t>
  </si>
  <si>
    <t>Cell 20</t>
  </si>
  <si>
    <t>Cell 21</t>
  </si>
  <si>
    <t>Cell 22</t>
  </si>
  <si>
    <t>Cell 23</t>
  </si>
  <si>
    <t>Cell 24</t>
  </si>
  <si>
    <t>Cell 25</t>
  </si>
  <si>
    <t>Cell 26</t>
  </si>
  <si>
    <t>Cell 27</t>
  </si>
  <si>
    <t>Cell 28</t>
  </si>
  <si>
    <t>Cell 29</t>
  </si>
  <si>
    <t>Cell 30</t>
  </si>
  <si>
    <t>Cell 31</t>
  </si>
  <si>
    <t>Cell 32</t>
  </si>
  <si>
    <t>Cell 33</t>
  </si>
  <si>
    <t>Cell 34</t>
  </si>
  <si>
    <t>Cell 35</t>
  </si>
  <si>
    <t>Cell 36</t>
  </si>
  <si>
    <t>Cell 37</t>
  </si>
  <si>
    <t>Cell 38</t>
  </si>
  <si>
    <t>Cell 39</t>
  </si>
  <si>
    <t>Cell 40</t>
  </si>
  <si>
    <t>Cell 41</t>
  </si>
  <si>
    <t>Cell 42</t>
  </si>
  <si>
    <t>Cell 43</t>
  </si>
  <si>
    <t>Cell 44</t>
  </si>
  <si>
    <t>Cell 45</t>
  </si>
  <si>
    <t>Cell 46</t>
  </si>
  <si>
    <t>Cell 47</t>
  </si>
  <si>
    <t>Cell 48</t>
  </si>
  <si>
    <t>Cell 49</t>
  </si>
  <si>
    <t>Cell 50</t>
  </si>
  <si>
    <t>Cell 51</t>
  </si>
  <si>
    <t>Cell 52</t>
  </si>
  <si>
    <t>Cell 53</t>
  </si>
  <si>
    <t>Cell 54</t>
  </si>
  <si>
    <t>Cell 55</t>
  </si>
  <si>
    <t>Cell 56</t>
  </si>
  <si>
    <t>Cell 57</t>
  </si>
  <si>
    <t>Cell 58</t>
  </si>
  <si>
    <t>Cell 59</t>
  </si>
  <si>
    <t>Cell 60</t>
  </si>
  <si>
    <t>Cell 61</t>
  </si>
  <si>
    <t>Cell 62</t>
  </si>
  <si>
    <t>Cell 63</t>
  </si>
  <si>
    <t>Cell 64</t>
  </si>
  <si>
    <t>Cell 65</t>
  </si>
  <si>
    <t>Cell 66</t>
  </si>
  <si>
    <t>Cell 67</t>
  </si>
  <si>
    <t>Cell 68</t>
  </si>
  <si>
    <t>Cell 69</t>
  </si>
  <si>
    <t>Cell 70</t>
  </si>
  <si>
    <t>Cell 71</t>
  </si>
  <si>
    <t>Cell 72</t>
  </si>
  <si>
    <t>Cell 73</t>
  </si>
  <si>
    <t>Cell 74</t>
  </si>
  <si>
    <t>Cell 75</t>
  </si>
  <si>
    <t>Cell 76</t>
  </si>
  <si>
    <t>Cell 77</t>
  </si>
  <si>
    <t>Cell 78</t>
  </si>
  <si>
    <t>Cell 79</t>
  </si>
  <si>
    <t>Cell 80</t>
  </si>
  <si>
    <t>Cell 81</t>
  </si>
  <si>
    <t>Cell 82</t>
  </si>
  <si>
    <t>Cell 83</t>
  </si>
  <si>
    <t>Cell 84</t>
  </si>
  <si>
    <t>Cell 85</t>
  </si>
  <si>
    <t>Cell 86</t>
  </si>
  <si>
    <t>Cell 87</t>
  </si>
  <si>
    <t>Cell 88</t>
  </si>
  <si>
    <t>Cell 89</t>
  </si>
  <si>
    <t>Cell 90</t>
  </si>
  <si>
    <t>Cell 91</t>
  </si>
  <si>
    <t>Cell 92</t>
  </si>
  <si>
    <t>Cell 93</t>
  </si>
  <si>
    <t>Cell 94</t>
  </si>
  <si>
    <t>Cell 95</t>
  </si>
  <si>
    <t>Cell 96</t>
  </si>
  <si>
    <t>Cell 97</t>
  </si>
  <si>
    <t>Cell 98</t>
  </si>
  <si>
    <t>Cell 99</t>
  </si>
  <si>
    <t>Cell 100</t>
  </si>
  <si>
    <t>Cell 101</t>
  </si>
  <si>
    <t>Cell 102</t>
  </si>
  <si>
    <t>Cell 103</t>
  </si>
  <si>
    <t>Cell 104</t>
  </si>
  <si>
    <t>Cell 105</t>
  </si>
  <si>
    <t>Cell 106</t>
  </si>
  <si>
    <t>Cell 107</t>
  </si>
  <si>
    <t>Cell 108</t>
  </si>
  <si>
    <t>Cell 109</t>
  </si>
  <si>
    <t>Cell 110</t>
  </si>
  <si>
    <t>Cell 111</t>
  </si>
  <si>
    <t>Cell 112</t>
  </si>
  <si>
    <t>Cell 113</t>
  </si>
  <si>
    <t>Cell 114</t>
  </si>
  <si>
    <t>Cell 115</t>
  </si>
  <si>
    <t>Cell 116</t>
  </si>
  <si>
    <t>Cell 117</t>
  </si>
  <si>
    <t>Cell 118</t>
  </si>
  <si>
    <t>Cell 119</t>
  </si>
  <si>
    <t>Cell 120</t>
  </si>
  <si>
    <t>Cell 121</t>
  </si>
  <si>
    <t>Cell 122</t>
  </si>
  <si>
    <t>Cell 123</t>
  </si>
  <si>
    <r>
      <t xml:space="preserve">Alameda  </t>
    </r>
    <r>
      <rPr>
        <b/>
        <sz val="12"/>
        <color theme="1"/>
        <rFont val="Arial"/>
        <family val="2"/>
      </rPr>
      <t>a/</t>
    </r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</si>
  <si>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</si>
  <si>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</si>
  <si>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</si>
  <si>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</si>
  <si>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</si>
  <si>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</si>
  <si>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</si>
  <si>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</si>
  <si>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</si>
  <si>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</si>
  <si>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</si>
  <si>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</si>
  <si>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</si>
  <si>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</si>
  <si>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</si>
  <si>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</si>
  <si>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</si>
  <si>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</si>
  <si>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</si>
  <si>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</si>
  <si>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</si>
  <si>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</si>
  <si>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</si>
  <si>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</si>
  <si>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</si>
  <si>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</si>
  <si>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</si>
  <si>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</si>
  <si>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</si>
  <si>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</si>
  <si>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</si>
  <si>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</si>
  <si>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</si>
  <si>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</si>
  <si>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</si>
  <si>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</si>
  <si>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</si>
  <si>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</si>
  <si>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</si>
  <si>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</si>
  <si>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</si>
  <si>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</si>
  <si>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</si>
  <si>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</si>
  <si>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</si>
  <si>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</si>
  <si>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</si>
  <si>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</si>
  <si>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</si>
  <si>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</si>
  <si>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</si>
  <si>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</si>
  <si>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</si>
  <si>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</si>
  <si>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</si>
  <si>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</si>
  <si>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</si>
  <si>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CDSS Use Only:</t>
  </si>
  <si>
    <t xml:space="preserve">Statewide </t>
  </si>
  <si>
    <t/>
  </si>
  <si>
    <t>July 2017 (Accessible sheet). Data table begins in Cell A5. Item descriptions are contained within input messages in Row 5.</t>
  </si>
  <si>
    <t>August 2017</t>
  </si>
  <si>
    <t>August 2017 (Accessible sheet). Data table begins in Cell A5. Item descriptions are contained within input messages in Row 5.</t>
  </si>
  <si>
    <t>September 2017</t>
  </si>
  <si>
    <t>September 2017 (Accessible sheet). Data table begins in Cell A5. Item descriptions are contained within input messages in Row 5.</t>
  </si>
  <si>
    <t>October 2017</t>
  </si>
  <si>
    <t>October 2017 (Accessible sheet). Data table begins in Cell A5. Item descriptions are contained within input messages in Row 5.</t>
  </si>
  <si>
    <t>November 2017 (Accessible sheet). Data table begins in Cell A5. Item descriptions are contained within input messages in Row 5.</t>
  </si>
  <si>
    <t>December 2017 (Accessible sheet). Data table begins in Cell A5. Item descriptions are contained within input messages in Row 5.</t>
  </si>
  <si>
    <t>CalFresh Monthly Caseload Movement
Statistical Report (CF 296)</t>
  </si>
  <si>
    <t>Fiscal Year 2017-18 Release Summary</t>
  </si>
  <si>
    <t>January 2018</t>
  </si>
  <si>
    <t>February 2018</t>
  </si>
  <si>
    <t>March 2018</t>
  </si>
  <si>
    <t>April 2018</t>
  </si>
  <si>
    <t>May 2018</t>
  </si>
  <si>
    <t>June 2018</t>
  </si>
  <si>
    <t>Only county level sheets are accessible. Please use hyperlinks in Column A to go to accessible sheets</t>
  </si>
  <si>
    <t xml:space="preserve">County not reporting:  Alameda
County data now included:  El Dorado </t>
  </si>
  <si>
    <r>
      <t xml:space="preserve">Modoc </t>
    </r>
    <r>
      <rPr>
        <b/>
        <sz val="12"/>
        <color theme="1"/>
        <rFont val="Arial"/>
        <family val="2"/>
      </rPr>
      <t xml:space="preserve"> a/</t>
    </r>
  </si>
  <si>
    <r>
      <t xml:space="preserve">Santa Barbara </t>
    </r>
    <r>
      <rPr>
        <b/>
        <sz val="12"/>
        <color theme="1"/>
        <rFont val="Arial"/>
        <family val="2"/>
      </rPr>
      <t xml:space="preserve"> a/</t>
    </r>
  </si>
  <si>
    <r>
      <t xml:space="preserve">El Dorado  </t>
    </r>
    <r>
      <rPr>
        <b/>
        <sz val="12"/>
        <color theme="1"/>
        <rFont val="Arial"/>
        <family val="2"/>
      </rPr>
      <t>a/</t>
    </r>
  </si>
  <si>
    <t xml:space="preserve">Santa Clara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</si>
</sst>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0_)"/>
    <numFmt numFmtId="166" formatCode="mm/dd/yy;@"/>
    <numFmt numFmtId="167" formatCode="mmmm\ d\,\ yyyy"/>
    <numFmt numFmtId="168" formatCode="mmm\ yyyy"/>
    <numFmt numFmtId="169" formatCode="0_);[Red]\(0\)"/>
    <numFmt numFmtId="170" formatCode="0_);\(0\)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ourier"/>
      <family val="3"/>
    </font>
    <font>
      <sz val="9"/>
      <color theme="0"/>
      <name val="Univers"/>
    </font>
    <font>
      <sz val="10"/>
      <name val="Geneva"/>
    </font>
    <font>
      <sz val="10"/>
      <color theme="0"/>
      <name val="Arial"/>
      <family val="2"/>
    </font>
    <font>
      <sz val="10"/>
      <name val="Arial"/>
      <family val="2"/>
    </font>
    <font>
      <b/>
      <sz val="13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9"/>
      <name val="Univers"/>
      <family val="2"/>
    </font>
    <font>
      <sz val="10"/>
      <name val="Helv"/>
    </font>
    <font>
      <sz val="7"/>
      <color indexed="12"/>
      <name val="Arial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u/>
      <sz val="10"/>
      <color indexed="12"/>
      <name val="Courier"/>
      <family val="3"/>
    </font>
    <font>
      <u/>
      <sz val="10"/>
      <color indexed="12"/>
      <name val="Helv"/>
    </font>
    <font>
      <u/>
      <sz val="10"/>
      <color theme="10"/>
      <name val="Geneva"/>
    </font>
    <font>
      <u/>
      <sz val="10"/>
      <color indexed="12"/>
      <name val="Univers"/>
      <family val="2"/>
    </font>
    <font>
      <u/>
      <sz val="10"/>
      <color indexed="12"/>
      <name val="Geneva"/>
    </font>
    <font>
      <u/>
      <sz val="9"/>
      <color indexed="12"/>
      <name val="Univers"/>
      <family val="2"/>
    </font>
    <font>
      <sz val="10"/>
      <name val="Univers"/>
      <family val="2"/>
    </font>
    <font>
      <sz val="8"/>
      <name val="Arial"/>
      <family val="2"/>
    </font>
    <font>
      <sz val="9"/>
      <name val="Univers"/>
    </font>
    <font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6"/>
      <name val="Calibri"/>
      <family val="2"/>
      <scheme val="minor"/>
    </font>
    <font>
      <sz val="9"/>
      <color rgb="FF0000FF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6"/>
      <name val="Calibri"/>
      <family val="2"/>
      <scheme val="minor"/>
    </font>
    <font>
      <b/>
      <sz val="9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u/>
      <sz val="11"/>
      <color theme="10"/>
      <name val="Calibri"/>
      <family val="2"/>
      <scheme val="minor"/>
    </font>
    <font>
      <u/>
      <sz val="12"/>
      <color theme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339">
    <xf numFmtId="0" fontId="0" fillId="0" borderId="0"/>
    <xf numFmtId="37" fontId="17" fillId="0" borderId="0"/>
    <xf numFmtId="0" fontId="19" fillId="0" borderId="0"/>
    <xf numFmtId="0" fontId="24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4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4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4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4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4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4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4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4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4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4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4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6" fillId="3" borderId="0" applyNumberFormat="0" applyBorder="0" applyAlignment="0" applyProtection="0"/>
    <xf numFmtId="0" fontId="10" fillId="6" borderId="4" applyNumberFormat="0" applyAlignment="0" applyProtection="0"/>
    <xf numFmtId="0" fontId="12" fillId="7" borderId="7" applyNumberFormat="0" applyAlignment="0" applyProtection="0"/>
    <xf numFmtId="43" fontId="2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14" fillId="0" borderId="0" applyNumberFormat="0" applyFill="0" applyBorder="0" applyAlignment="0" applyProtection="0"/>
    <xf numFmtId="37" fontId="27" fillId="0" borderId="11">
      <alignment horizontal="left"/>
      <protection locked="0"/>
    </xf>
    <xf numFmtId="0" fontId="5" fillId="2" borderId="0" applyNumberFormat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8" fillId="5" borderId="4" applyNumberFormat="0" applyAlignment="0" applyProtection="0"/>
    <xf numFmtId="0" fontId="11" fillId="0" borderId="6" applyNumberFormat="0" applyFill="0" applyAlignment="0" applyProtection="0"/>
    <xf numFmtId="0" fontId="7" fillId="4" borderId="0" applyNumberFormat="0" applyBorder="0" applyAlignment="0" applyProtection="0"/>
    <xf numFmtId="0" fontId="24" fillId="0" borderId="0"/>
    <xf numFmtId="0" fontId="25" fillId="0" borderId="0"/>
    <xf numFmtId="0" fontId="26" fillId="0" borderId="0"/>
    <xf numFmtId="0" fontId="26" fillId="0" borderId="0"/>
    <xf numFmtId="0" fontId="1" fillId="0" borderId="0"/>
    <xf numFmtId="165" fontId="36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21" fillId="0" borderId="0"/>
    <xf numFmtId="165" fontId="36" fillId="0" borderId="0" applyProtection="0"/>
    <xf numFmtId="0" fontId="1" fillId="0" borderId="0"/>
    <xf numFmtId="0" fontId="1" fillId="0" borderId="0"/>
    <xf numFmtId="0" fontId="37" fillId="0" borderId="0"/>
    <xf numFmtId="0" fontId="1" fillId="0" borderId="0"/>
    <xf numFmtId="0" fontId="1" fillId="0" borderId="0"/>
    <xf numFmtId="0" fontId="21" fillId="0" borderId="0"/>
    <xf numFmtId="0" fontId="1" fillId="0" borderId="0"/>
    <xf numFmtId="37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9" fillId="0" borderId="0"/>
    <xf numFmtId="0" fontId="2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9" fillId="0" borderId="0"/>
    <xf numFmtId="0" fontId="19" fillId="0" borderId="0"/>
    <xf numFmtId="0" fontId="26" fillId="0" borderId="0"/>
    <xf numFmtId="37" fontId="17" fillId="0" borderId="0"/>
    <xf numFmtId="0" fontId="21" fillId="0" borderId="0"/>
    <xf numFmtId="37" fontId="17" fillId="0" borderId="0"/>
    <xf numFmtId="0" fontId="21" fillId="0" borderId="0"/>
    <xf numFmtId="0" fontId="21" fillId="0" borderId="0"/>
    <xf numFmtId="0" fontId="25" fillId="0" borderId="0"/>
    <xf numFmtId="0" fontId="25" fillId="0" borderId="0"/>
    <xf numFmtId="37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7" fillId="0" borderId="0"/>
    <xf numFmtId="0" fontId="26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7" fillId="0" borderId="0"/>
    <xf numFmtId="168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7" fillId="0" borderId="0"/>
    <xf numFmtId="0" fontId="1" fillId="0" borderId="0"/>
    <xf numFmtId="0" fontId="1" fillId="0" borderId="0"/>
    <xf numFmtId="0" fontId="3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37" fontId="17" fillId="0" borderId="0"/>
    <xf numFmtId="37" fontId="17" fillId="0" borderId="0"/>
    <xf numFmtId="0" fontId="1" fillId="0" borderId="0"/>
    <xf numFmtId="37" fontId="17" fillId="0" borderId="0"/>
    <xf numFmtId="0" fontId="21" fillId="0" borderId="0"/>
    <xf numFmtId="165" fontId="17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37" fontId="17" fillId="0" borderId="0"/>
    <xf numFmtId="0" fontId="21" fillId="0" borderId="0"/>
    <xf numFmtId="0" fontId="24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24" fillId="8" borderId="8" applyNumberFormat="0" applyFont="0" applyAlignment="0" applyProtection="0"/>
    <xf numFmtId="0" fontId="24" fillId="8" borderId="8" applyNumberFormat="0" applyFont="0" applyAlignment="0" applyProtection="0"/>
    <xf numFmtId="0" fontId="24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9" fillId="6" borderId="5" applyNumberFormat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5" fillId="0" borderId="9" applyNumberFormat="0" applyFill="0" applyAlignment="0" applyProtection="0"/>
    <xf numFmtId="0" fontId="13" fillId="0" borderId="0" applyNumberFormat="0" applyFill="0" applyBorder="0" applyAlignment="0" applyProtection="0"/>
    <xf numFmtId="0" fontId="56" fillId="0" borderId="0" applyNumberFormat="0" applyFill="0" applyBorder="0" applyAlignment="0" applyProtection="0"/>
  </cellStyleXfs>
  <cellXfs count="211">
    <xf numFmtId="0" fontId="0" fillId="0" borderId="0" xfId="0"/>
    <xf numFmtId="0" fontId="20" fillId="0" borderId="0" xfId="2" applyFont="1" applyAlignment="1" applyProtection="1">
      <alignment vertical="top"/>
      <protection locked="0"/>
    </xf>
    <xf numFmtId="0" fontId="21" fillId="0" borderId="0" xfId="2" applyFont="1" applyAlignment="1">
      <alignment vertical="top"/>
    </xf>
    <xf numFmtId="0" fontId="20" fillId="0" borderId="0" xfId="2" applyFont="1" applyAlignment="1">
      <alignment vertical="top"/>
    </xf>
    <xf numFmtId="0" fontId="23" fillId="33" borderId="16" xfId="2" applyFont="1" applyFill="1" applyBorder="1" applyAlignment="1">
      <alignment horizontal="center" vertical="center"/>
    </xf>
    <xf numFmtId="0" fontId="23" fillId="33" borderId="17" xfId="2" applyFont="1" applyFill="1" applyBorder="1" applyAlignment="1">
      <alignment horizontal="center" vertical="center" wrapText="1"/>
    </xf>
    <xf numFmtId="0" fontId="23" fillId="33" borderId="18" xfId="2" applyFont="1" applyFill="1" applyBorder="1" applyAlignment="1">
      <alignment horizontal="left" vertical="center" wrapText="1"/>
    </xf>
    <xf numFmtId="17" fontId="24" fillId="33" borderId="15" xfId="2" quotePrefix="1" applyNumberFormat="1" applyFont="1" applyFill="1" applyBorder="1" applyAlignment="1">
      <alignment vertical="center"/>
    </xf>
    <xf numFmtId="0" fontId="24" fillId="33" borderId="14" xfId="2" applyFont="1" applyFill="1" applyBorder="1" applyAlignment="1" applyProtection="1">
      <alignment horizontal="left" vertical="center" wrapText="1"/>
      <protection locked="0"/>
    </xf>
    <xf numFmtId="14" fontId="21" fillId="0" borderId="0" xfId="2" applyNumberFormat="1" applyFont="1" applyAlignment="1">
      <alignment vertical="top"/>
    </xf>
    <xf numFmtId="0" fontId="21" fillId="0" borderId="0" xfId="2" applyFont="1" applyAlignment="1">
      <alignment vertical="top" wrapText="1"/>
    </xf>
    <xf numFmtId="17" fontId="24" fillId="33" borderId="20" xfId="2" quotePrefix="1" applyNumberFormat="1" applyFont="1" applyFill="1" applyBorder="1" applyAlignment="1">
      <alignment vertical="center"/>
    </xf>
    <xf numFmtId="0" fontId="24" fillId="33" borderId="22" xfId="2" applyFont="1" applyFill="1" applyBorder="1" applyAlignment="1" applyProtection="1">
      <alignment horizontal="left" vertical="center" wrapText="1"/>
      <protection locked="0"/>
    </xf>
    <xf numFmtId="0" fontId="19" fillId="0" borderId="0" xfId="2"/>
    <xf numFmtId="0" fontId="21" fillId="0" borderId="0" xfId="2" applyFont="1" applyAlignment="1">
      <alignment horizontal="left" vertical="center" wrapText="1"/>
    </xf>
    <xf numFmtId="37" fontId="39" fillId="0" borderId="11" xfId="308" applyFont="1" applyBorder="1" applyAlignment="1">
      <alignment horizontal="left" vertical="center"/>
    </xf>
    <xf numFmtId="37" fontId="40" fillId="0" borderId="12" xfId="308" applyFont="1" applyBorder="1" applyAlignment="1"/>
    <xf numFmtId="37" fontId="40" fillId="0" borderId="12" xfId="308" applyFont="1" applyBorder="1"/>
    <xf numFmtId="37" fontId="41" fillId="0" borderId="12" xfId="308" applyFont="1" applyBorder="1"/>
    <xf numFmtId="37" fontId="41" fillId="0" borderId="12" xfId="308" applyFont="1" applyBorder="1" applyAlignment="1">
      <alignment vertical="top"/>
    </xf>
    <xf numFmtId="37" fontId="40" fillId="0" borderId="13" xfId="308" applyFont="1" applyBorder="1"/>
    <xf numFmtId="37" fontId="41" fillId="0" borderId="0" xfId="308" applyFont="1"/>
    <xf numFmtId="37" fontId="40" fillId="0" borderId="0" xfId="308" applyFont="1"/>
    <xf numFmtId="37" fontId="41" fillId="0" borderId="0" xfId="308" applyFont="1" applyAlignment="1">
      <alignment vertical="top"/>
    </xf>
    <xf numFmtId="37" fontId="42" fillId="0" borderId="0" xfId="308" applyFont="1" applyAlignment="1">
      <alignment vertical="center"/>
    </xf>
    <xf numFmtId="37" fontId="42" fillId="0" borderId="0" xfId="308" applyFont="1" applyAlignment="1">
      <alignment horizontal="right" vertical="center"/>
    </xf>
    <xf numFmtId="37" fontId="43" fillId="0" borderId="0" xfId="308" applyFont="1"/>
    <xf numFmtId="0" fontId="44" fillId="33" borderId="0" xfId="326" applyFont="1" applyFill="1" applyBorder="1" applyAlignment="1" applyProtection="1">
      <protection hidden="1"/>
    </xf>
    <xf numFmtId="0" fontId="45" fillId="0" borderId="0" xfId="326" applyFont="1" applyFill="1" applyBorder="1" applyAlignment="1" applyProtection="1">
      <protection hidden="1"/>
    </xf>
    <xf numFmtId="0" fontId="46" fillId="0" borderId="20" xfId="326" applyFont="1" applyFill="1" applyBorder="1" applyAlignment="1" applyProtection="1">
      <protection hidden="1"/>
    </xf>
    <xf numFmtId="37" fontId="43" fillId="0" borderId="0" xfId="308" applyFont="1" applyAlignment="1"/>
    <xf numFmtId="37" fontId="40" fillId="0" borderId="0" xfId="308" applyFont="1" applyAlignment="1"/>
    <xf numFmtId="0" fontId="44" fillId="0" borderId="22" xfId="326" applyFont="1" applyFill="1" applyBorder="1" applyAlignment="1" applyProtection="1">
      <protection hidden="1"/>
    </xf>
    <xf numFmtId="0" fontId="44" fillId="0" borderId="0" xfId="326" applyFont="1" applyFill="1" applyBorder="1" applyAlignment="1" applyProtection="1">
      <protection hidden="1"/>
    </xf>
    <xf numFmtId="0" fontId="44" fillId="0" borderId="20" xfId="326" applyFont="1" applyFill="1" applyBorder="1" applyAlignment="1" applyProtection="1">
      <protection hidden="1"/>
    </xf>
    <xf numFmtId="0" fontId="44" fillId="0" borderId="0" xfId="326" applyFont="1" applyFill="1" applyAlignment="1" applyProtection="1">
      <protection hidden="1"/>
    </xf>
    <xf numFmtId="0" fontId="46" fillId="0" borderId="22" xfId="326" applyFont="1" applyFill="1" applyBorder="1" applyAlignment="1" applyProtection="1">
      <alignment horizontal="left" vertical="center" wrapText="1"/>
      <protection hidden="1"/>
    </xf>
    <xf numFmtId="0" fontId="46" fillId="0" borderId="0" xfId="326" applyFont="1" applyFill="1" applyBorder="1" applyAlignment="1" applyProtection="1">
      <alignment wrapText="1"/>
      <protection hidden="1"/>
    </xf>
    <xf numFmtId="0" fontId="45" fillId="0" borderId="0" xfId="326" applyFont="1" applyFill="1" applyBorder="1" applyAlignment="1" applyProtection="1">
      <alignment wrapText="1"/>
      <protection hidden="1"/>
    </xf>
    <xf numFmtId="0" fontId="45" fillId="0" borderId="0" xfId="326" applyFont="1" applyFill="1" applyBorder="1" applyAlignment="1" applyProtection="1">
      <alignment vertical="top" wrapText="1"/>
      <protection hidden="1"/>
    </xf>
    <xf numFmtId="0" fontId="46" fillId="0" borderId="20" xfId="326" applyFont="1" applyFill="1" applyBorder="1" applyAlignment="1" applyProtection="1">
      <alignment wrapText="1"/>
      <protection hidden="1"/>
    </xf>
    <xf numFmtId="37" fontId="48" fillId="0" borderId="0" xfId="308" applyFont="1"/>
    <xf numFmtId="37" fontId="48" fillId="0" borderId="0" xfId="308" applyFont="1" applyAlignment="1">
      <alignment vertical="top"/>
    </xf>
    <xf numFmtId="37" fontId="43" fillId="0" borderId="22" xfId="117" quotePrefix="1" applyNumberFormat="1" applyFont="1" applyBorder="1" applyAlignment="1" applyProtection="1">
      <alignment horizontal="left"/>
    </xf>
    <xf numFmtId="37" fontId="41" fillId="35" borderId="11" xfId="117" quotePrefix="1" applyFont="1" applyFill="1" applyBorder="1" applyAlignment="1" applyProtection="1">
      <alignment vertical="top"/>
    </xf>
    <xf numFmtId="37" fontId="41" fillId="35" borderId="12" xfId="117" quotePrefix="1" applyFont="1" applyFill="1" applyBorder="1" applyAlignment="1" applyProtection="1">
      <alignment vertical="top"/>
    </xf>
    <xf numFmtId="37" fontId="41" fillId="35" borderId="13" xfId="117" quotePrefix="1" applyFont="1" applyFill="1" applyBorder="1" applyAlignment="1" applyProtection="1">
      <alignment vertical="top"/>
    </xf>
    <xf numFmtId="37" fontId="41" fillId="0" borderId="14" xfId="117" quotePrefix="1" applyFont="1" applyBorder="1" applyAlignment="1" applyProtection="1">
      <alignment horizontal="left" vertical="top"/>
    </xf>
    <xf numFmtId="169" fontId="43" fillId="0" borderId="15" xfId="117" applyNumberFormat="1" applyFont="1" applyBorder="1" applyAlignment="1" applyProtection="1">
      <protection locked="0"/>
    </xf>
    <xf numFmtId="37" fontId="43" fillId="0" borderId="0" xfId="117" applyNumberFormat="1" applyFont="1" applyBorder="1" applyAlignment="1" applyProtection="1">
      <alignment horizontal="left"/>
    </xf>
    <xf numFmtId="37" fontId="41" fillId="35" borderId="22" xfId="117" quotePrefix="1" applyFont="1" applyFill="1" applyBorder="1" applyAlignment="1" applyProtection="1">
      <alignment vertical="top"/>
    </xf>
    <xf numFmtId="37" fontId="41" fillId="35" borderId="0" xfId="117" quotePrefix="1" applyFont="1" applyFill="1" applyBorder="1" applyAlignment="1" applyProtection="1">
      <alignment vertical="top"/>
    </xf>
    <xf numFmtId="37" fontId="41" fillId="35" borderId="20" xfId="117" quotePrefix="1" applyFont="1" applyFill="1" applyBorder="1" applyAlignment="1" applyProtection="1">
      <alignment vertical="top"/>
    </xf>
    <xf numFmtId="37" fontId="41" fillId="0" borderId="23" xfId="117" quotePrefix="1" applyFont="1" applyBorder="1" applyAlignment="1" applyProtection="1">
      <alignment horizontal="left" vertical="top"/>
    </xf>
    <xf numFmtId="169" fontId="43" fillId="0" borderId="15" xfId="117" quotePrefix="1" applyNumberFormat="1" applyFont="1" applyBorder="1" applyAlignment="1" applyProtection="1">
      <protection locked="0"/>
    </xf>
    <xf numFmtId="37" fontId="43" fillId="0" borderId="0" xfId="308" applyFont="1" applyAlignment="1">
      <alignment vertical="center"/>
    </xf>
    <xf numFmtId="37" fontId="43" fillId="0" borderId="0" xfId="117" applyFont="1" applyBorder="1" applyAlignment="1" applyProtection="1"/>
    <xf numFmtId="37" fontId="41" fillId="35" borderId="14" xfId="117" quotePrefix="1" applyFont="1" applyFill="1" applyBorder="1" applyAlignment="1" applyProtection="1">
      <alignment vertical="top"/>
    </xf>
    <xf numFmtId="37" fontId="41" fillId="35" borderId="10" xfId="117" quotePrefix="1" applyFont="1" applyFill="1" applyBorder="1" applyAlignment="1" applyProtection="1">
      <alignment vertical="top"/>
    </xf>
    <xf numFmtId="37" fontId="41" fillId="35" borderId="15" xfId="117" quotePrefix="1" applyFont="1" applyFill="1" applyBorder="1" applyAlignment="1" applyProtection="1">
      <alignment vertical="top"/>
    </xf>
    <xf numFmtId="37" fontId="41" fillId="0" borderId="11" xfId="117" quotePrefix="1" applyFont="1" applyBorder="1" applyAlignment="1" applyProtection="1">
      <alignment horizontal="left" vertical="top"/>
    </xf>
    <xf numFmtId="37" fontId="43" fillId="0" borderId="20" xfId="117" applyFont="1" applyBorder="1" applyAlignment="1" applyProtection="1"/>
    <xf numFmtId="37" fontId="41" fillId="36" borderId="22" xfId="117" quotePrefix="1" applyFont="1" applyFill="1" applyBorder="1" applyAlignment="1" applyProtection="1">
      <alignment horizontal="left" vertical="top"/>
    </xf>
    <xf numFmtId="37" fontId="43" fillId="0" borderId="22" xfId="117" applyNumberFormat="1" applyFont="1" applyBorder="1" applyAlignment="1" applyProtection="1">
      <alignment horizontal="left"/>
    </xf>
    <xf numFmtId="37" fontId="43" fillId="0" borderId="0" xfId="117" applyNumberFormat="1" applyFont="1" applyBorder="1" applyAlignment="1" applyProtection="1"/>
    <xf numFmtId="37" fontId="41" fillId="36" borderId="11" xfId="117" quotePrefix="1" applyFont="1" applyFill="1" applyBorder="1" applyAlignment="1" applyProtection="1">
      <alignment horizontal="left" vertical="top"/>
    </xf>
    <xf numFmtId="37" fontId="43" fillId="0" borderId="22" xfId="117" applyNumberFormat="1" applyFont="1" applyBorder="1" applyAlignment="1" applyProtection="1"/>
    <xf numFmtId="37" fontId="43" fillId="0" borderId="0" xfId="117" quotePrefix="1" applyNumberFormat="1" applyFont="1" applyBorder="1" applyAlignment="1" applyProtection="1"/>
    <xf numFmtId="37" fontId="43" fillId="0" borderId="22" xfId="117" quotePrefix="1" applyFont="1" applyBorder="1" applyAlignment="1" applyProtection="1">
      <alignment horizontal="left"/>
    </xf>
    <xf numFmtId="37" fontId="41" fillId="36" borderId="14" xfId="117" quotePrefix="1" applyFont="1" applyFill="1" applyBorder="1" applyAlignment="1" applyProtection="1">
      <alignment horizontal="left" vertical="top"/>
    </xf>
    <xf numFmtId="37" fontId="41" fillId="36" borderId="23" xfId="117" quotePrefix="1" applyFont="1" applyFill="1" applyBorder="1" applyAlignment="1" applyProtection="1">
      <alignment horizontal="left" vertical="top"/>
    </xf>
    <xf numFmtId="37" fontId="43" fillId="0" borderId="22" xfId="117" applyFont="1" applyBorder="1" applyAlignment="1" applyProtection="1">
      <alignment horizontal="left"/>
    </xf>
    <xf numFmtId="37" fontId="43" fillId="0" borderId="0" xfId="117" quotePrefix="1" applyFont="1" applyBorder="1" applyAlignment="1" applyProtection="1"/>
    <xf numFmtId="37" fontId="43" fillId="0" borderId="0" xfId="117" applyFont="1" applyBorder="1" applyAlignment="1" applyProtection="1">
      <alignment horizontal="left"/>
    </xf>
    <xf numFmtId="37" fontId="43" fillId="0" borderId="0" xfId="117" applyFont="1" applyBorder="1" applyAlignment="1" applyProtection="1">
      <alignment vertical="top"/>
    </xf>
    <xf numFmtId="37" fontId="43" fillId="35" borderId="11" xfId="117" applyFont="1" applyFill="1" applyBorder="1" applyAlignment="1" applyProtection="1">
      <alignment vertical="top"/>
    </xf>
    <xf numFmtId="37" fontId="43" fillId="35" borderId="12" xfId="117" applyFont="1" applyFill="1" applyBorder="1" applyAlignment="1" applyProtection="1">
      <alignment vertical="top"/>
    </xf>
    <xf numFmtId="37" fontId="43" fillId="35" borderId="13" xfId="117" applyFont="1" applyFill="1" applyBorder="1" applyAlignment="1" applyProtection="1">
      <alignment vertical="top"/>
    </xf>
    <xf numFmtId="37" fontId="43" fillId="0" borderId="0" xfId="189" applyFont="1"/>
    <xf numFmtId="37" fontId="43" fillId="35" borderId="14" xfId="117" applyFont="1" applyFill="1" applyBorder="1" applyAlignment="1" applyProtection="1">
      <alignment vertical="top"/>
    </xf>
    <xf numFmtId="37" fontId="43" fillId="35" borderId="10" xfId="117" applyFont="1" applyFill="1" applyBorder="1" applyAlignment="1" applyProtection="1">
      <alignment vertical="top"/>
    </xf>
    <xf numFmtId="37" fontId="43" fillId="35" borderId="15" xfId="117" applyFont="1" applyFill="1" applyBorder="1" applyAlignment="1" applyProtection="1">
      <alignment vertical="top"/>
    </xf>
    <xf numFmtId="37" fontId="41" fillId="33" borderId="23" xfId="117" quotePrefix="1" applyFont="1" applyFill="1" applyBorder="1" applyAlignment="1" applyProtection="1">
      <alignment horizontal="left" vertical="top"/>
    </xf>
    <xf numFmtId="37" fontId="41" fillId="36" borderId="24" xfId="117" quotePrefix="1" applyFont="1" applyFill="1" applyBorder="1" applyAlignment="1" applyProtection="1">
      <alignment horizontal="left" vertical="top"/>
    </xf>
    <xf numFmtId="170" fontId="43" fillId="0" borderId="15" xfId="117" applyNumberFormat="1" applyFont="1" applyBorder="1" applyAlignment="1" applyProtection="1">
      <protection locked="0"/>
    </xf>
    <xf numFmtId="37" fontId="41" fillId="0" borderId="24" xfId="117" quotePrefix="1" applyFont="1" applyBorder="1" applyAlignment="1" applyProtection="1">
      <alignment horizontal="left" vertical="top"/>
    </xf>
    <xf numFmtId="37" fontId="41" fillId="35" borderId="23" xfId="117" quotePrefix="1" applyFont="1" applyFill="1" applyBorder="1" applyAlignment="1" applyProtection="1">
      <alignment vertical="top"/>
    </xf>
    <xf numFmtId="37" fontId="41" fillId="35" borderId="24" xfId="117" quotePrefix="1" applyFont="1" applyFill="1" applyBorder="1" applyAlignment="1" applyProtection="1">
      <alignment vertical="top"/>
    </xf>
    <xf numFmtId="37" fontId="41" fillId="35" borderId="25" xfId="117" quotePrefix="1" applyFont="1" applyFill="1" applyBorder="1" applyAlignment="1" applyProtection="1">
      <alignment vertical="top"/>
    </xf>
    <xf numFmtId="37" fontId="41" fillId="0" borderId="22" xfId="117" quotePrefix="1" applyFont="1" applyBorder="1" applyAlignment="1" applyProtection="1">
      <alignment horizontal="left" vertical="top"/>
    </xf>
    <xf numFmtId="37" fontId="43" fillId="0" borderId="0" xfId="117" quotePrefix="1" applyFont="1" applyBorder="1" applyAlignment="1" applyProtection="1">
      <alignment horizontal="left"/>
    </xf>
    <xf numFmtId="37" fontId="41" fillId="0" borderId="23" xfId="117" applyFont="1" applyBorder="1" applyAlignment="1" applyProtection="1">
      <alignment horizontal="left" vertical="top"/>
    </xf>
    <xf numFmtId="37" fontId="41" fillId="0" borderId="14" xfId="117" applyFont="1" applyBorder="1" applyAlignment="1" applyProtection="1">
      <alignment horizontal="left" vertical="top"/>
    </xf>
    <xf numFmtId="37" fontId="43" fillId="33" borderId="22" xfId="117" quotePrefix="1" applyFont="1" applyFill="1" applyBorder="1" applyAlignment="1" applyProtection="1">
      <alignment horizontal="left"/>
    </xf>
    <xf numFmtId="37" fontId="43" fillId="33" borderId="0" xfId="117" applyFont="1" applyFill="1" applyBorder="1" applyAlignment="1" applyProtection="1">
      <alignment horizontal="left"/>
    </xf>
    <xf numFmtId="37" fontId="41" fillId="36" borderId="11" xfId="189" quotePrefix="1" applyFont="1" applyFill="1" applyBorder="1" applyAlignment="1" applyProtection="1">
      <alignment horizontal="left" vertical="top"/>
    </xf>
    <xf numFmtId="37" fontId="41" fillId="36" borderId="14" xfId="189" quotePrefix="1" applyFont="1" applyFill="1" applyBorder="1" applyAlignment="1" applyProtection="1">
      <alignment horizontal="left" vertical="top"/>
    </xf>
    <xf numFmtId="37" fontId="41" fillId="35" borderId="11" xfId="117" applyFont="1" applyFill="1" applyBorder="1" applyAlignment="1" applyProtection="1">
      <alignment vertical="top"/>
    </xf>
    <xf numFmtId="37" fontId="41" fillId="35" borderId="12" xfId="117" applyFont="1" applyFill="1" applyBorder="1" applyAlignment="1" applyProtection="1">
      <alignment vertical="top"/>
    </xf>
    <xf numFmtId="37" fontId="41" fillId="35" borderId="13" xfId="117" applyFont="1" applyFill="1" applyBorder="1" applyAlignment="1" applyProtection="1">
      <alignment vertical="top"/>
    </xf>
    <xf numFmtId="0" fontId="51" fillId="0" borderId="0" xfId="2" applyFont="1" applyAlignment="1">
      <alignment horizontal="left" vertical="center"/>
    </xf>
    <xf numFmtId="37" fontId="41" fillId="35" borderId="14" xfId="117" applyFont="1" applyFill="1" applyBorder="1" applyAlignment="1" applyProtection="1">
      <alignment vertical="top"/>
    </xf>
    <xf numFmtId="37" fontId="41" fillId="35" borderId="10" xfId="117" applyFont="1" applyFill="1" applyBorder="1" applyAlignment="1" applyProtection="1">
      <alignment vertical="top"/>
    </xf>
    <xf numFmtId="37" fontId="41" fillId="35" borderId="15" xfId="117" applyFont="1" applyFill="1" applyBorder="1" applyAlignment="1" applyProtection="1">
      <alignment vertical="top"/>
    </xf>
    <xf numFmtId="0" fontId="49" fillId="0" borderId="0" xfId="2" applyFont="1" applyAlignment="1">
      <alignment horizontal="left" vertical="center"/>
    </xf>
    <xf numFmtId="37" fontId="41" fillId="36" borderId="23" xfId="189" quotePrefix="1" applyFont="1" applyFill="1" applyBorder="1" applyAlignment="1" applyProtection="1">
      <alignment horizontal="left" vertical="top"/>
    </xf>
    <xf numFmtId="0" fontId="43" fillId="0" borderId="0" xfId="2" applyFont="1" applyAlignment="1">
      <alignment horizontal="left" vertical="center"/>
    </xf>
    <xf numFmtId="0" fontId="43" fillId="0" borderId="0" xfId="146" applyFont="1" applyAlignment="1">
      <alignment vertical="top"/>
    </xf>
    <xf numFmtId="37" fontId="43" fillId="0" borderId="14" xfId="117" applyFont="1" applyBorder="1" applyAlignment="1" applyProtection="1">
      <alignment horizontal="left"/>
    </xf>
    <xf numFmtId="37" fontId="41" fillId="0" borderId="23" xfId="189" quotePrefix="1" applyFont="1" applyBorder="1" applyAlignment="1" applyProtection="1">
      <alignment horizontal="left" vertical="top"/>
    </xf>
    <xf numFmtId="37" fontId="43" fillId="0" borderId="0" xfId="117" applyFont="1"/>
    <xf numFmtId="37" fontId="40" fillId="0" borderId="0" xfId="308" applyFont="1" applyAlignment="1">
      <alignment horizontal="left" vertical="center"/>
    </xf>
    <xf numFmtId="37" fontId="41" fillId="0" borderId="14" xfId="308" applyFont="1" applyBorder="1"/>
    <xf numFmtId="37" fontId="41" fillId="0" borderId="10" xfId="308" applyFont="1" applyBorder="1" applyAlignment="1">
      <alignment horizontal="right"/>
    </xf>
    <xf numFmtId="37" fontId="40" fillId="0" borderId="15" xfId="308" applyFont="1" applyBorder="1"/>
    <xf numFmtId="17" fontId="52" fillId="33" borderId="11" xfId="117" quotePrefix="1" applyNumberFormat="1" applyFont="1" applyFill="1" applyBorder="1" applyAlignment="1" applyProtection="1">
      <alignment horizontal="left" vertical="center"/>
    </xf>
    <xf numFmtId="37" fontId="17" fillId="0" borderId="0" xfId="117"/>
    <xf numFmtId="37" fontId="53" fillId="33" borderId="0" xfId="117" applyFont="1" applyFill="1" applyAlignment="1">
      <alignment horizontal="center" vertical="center"/>
    </xf>
    <xf numFmtId="37" fontId="53" fillId="33" borderId="0" xfId="117" applyFont="1" applyFill="1" applyBorder="1" applyAlignment="1">
      <alignment horizontal="center" vertical="center"/>
    </xf>
    <xf numFmtId="37" fontId="17" fillId="0" borderId="26" xfId="117" applyBorder="1"/>
    <xf numFmtId="0" fontId="54" fillId="33" borderId="26" xfId="117" applyNumberFormat="1" applyFont="1" applyFill="1" applyBorder="1" applyAlignment="1" applyProtection="1">
      <alignment horizontal="center" vertical="center"/>
    </xf>
    <xf numFmtId="0" fontId="54" fillId="33" borderId="26" xfId="117" quotePrefix="1" applyNumberFormat="1" applyFont="1" applyFill="1" applyBorder="1" applyAlignment="1">
      <alignment horizontal="center" vertical="center"/>
    </xf>
    <xf numFmtId="0" fontId="54" fillId="33" borderId="26" xfId="117" applyNumberFormat="1" applyFont="1" applyFill="1" applyBorder="1" applyAlignment="1" applyProtection="1">
      <alignment vertical="center" wrapText="1"/>
    </xf>
    <xf numFmtId="0" fontId="55" fillId="33" borderId="26" xfId="117" applyNumberFormat="1" applyFont="1" applyFill="1" applyBorder="1" applyAlignment="1" applyProtection="1">
      <alignment vertical="center" wrapText="1"/>
    </xf>
    <xf numFmtId="0" fontId="54" fillId="33" borderId="26" xfId="117" applyNumberFormat="1" applyFont="1" applyFill="1" applyBorder="1" applyAlignment="1" applyProtection="1">
      <alignment horizontal="center" vertical="center" wrapText="1"/>
    </xf>
    <xf numFmtId="0" fontId="54" fillId="33" borderId="26" xfId="117" applyNumberFormat="1" applyFont="1" applyFill="1" applyBorder="1" applyAlignment="1">
      <alignment horizontal="center" vertical="center"/>
    </xf>
    <xf numFmtId="0" fontId="54" fillId="33" borderId="26" xfId="117" applyNumberFormat="1" applyFont="1" applyFill="1" applyBorder="1" applyAlignment="1">
      <alignment horizontal="center" vertical="center" wrapText="1"/>
    </xf>
    <xf numFmtId="37" fontId="54" fillId="0" borderId="26" xfId="117" applyFont="1" applyBorder="1" applyAlignment="1">
      <alignment horizontal="center" vertical="center"/>
    </xf>
    <xf numFmtId="49" fontId="54" fillId="33" borderId="27" xfId="117" applyNumberFormat="1" applyFont="1" applyFill="1" applyBorder="1" applyAlignment="1" applyProtection="1">
      <alignment horizontal="center" vertical="top" wrapText="1"/>
    </xf>
    <xf numFmtId="37" fontId="24" fillId="33" borderId="26" xfId="117" applyFont="1" applyFill="1" applyBorder="1" applyAlignment="1">
      <alignment horizontal="left" vertical="center"/>
    </xf>
    <xf numFmtId="37" fontId="24" fillId="33" borderId="26" xfId="117" applyFont="1" applyFill="1" applyBorder="1" applyAlignment="1">
      <alignment horizontal="center" vertical="center"/>
    </xf>
    <xf numFmtId="37" fontId="53" fillId="33" borderId="0" xfId="117" applyFont="1" applyFill="1" applyAlignment="1">
      <alignment vertical="top"/>
    </xf>
    <xf numFmtId="37" fontId="53" fillId="33" borderId="0" xfId="117" applyFont="1" applyFill="1" applyBorder="1" applyAlignment="1">
      <alignment vertical="top"/>
    </xf>
    <xf numFmtId="37" fontId="24" fillId="33" borderId="25" xfId="117" applyFont="1" applyFill="1" applyBorder="1" applyAlignment="1" applyProtection="1">
      <alignment horizontal="left" vertical="center"/>
      <protection locked="0"/>
    </xf>
    <xf numFmtId="3" fontId="24" fillId="33" borderId="26" xfId="117" applyNumberFormat="1" applyFont="1" applyFill="1" applyBorder="1" applyAlignment="1">
      <alignment horizontal="center" vertical="center"/>
    </xf>
    <xf numFmtId="3" fontId="24" fillId="33" borderId="23" xfId="117" applyNumberFormat="1" applyFont="1" applyFill="1" applyBorder="1" applyAlignment="1">
      <alignment horizontal="center" vertical="center"/>
    </xf>
    <xf numFmtId="37" fontId="53" fillId="33" borderId="0" xfId="117" applyFont="1" applyFill="1" applyAlignment="1">
      <alignment horizontal="center"/>
    </xf>
    <xf numFmtId="37" fontId="53" fillId="33" borderId="0" xfId="117" applyFont="1" applyFill="1" applyBorder="1" applyAlignment="1">
      <alignment horizontal="center"/>
    </xf>
    <xf numFmtId="37" fontId="24" fillId="33" borderId="28" xfId="117" applyFont="1" applyFill="1" applyBorder="1" applyAlignment="1" applyProtection="1">
      <alignment horizontal="left" vertical="center"/>
      <protection locked="0"/>
    </xf>
    <xf numFmtId="3" fontId="24" fillId="33" borderId="29" xfId="117" applyNumberFormat="1" applyFont="1" applyFill="1" applyBorder="1" applyAlignment="1">
      <alignment horizontal="center" vertical="center"/>
    </xf>
    <xf numFmtId="3" fontId="24" fillId="33" borderId="30" xfId="117" applyNumberFormat="1" applyFont="1" applyFill="1" applyBorder="1" applyAlignment="1">
      <alignment horizontal="center" vertical="center"/>
    </xf>
    <xf numFmtId="0" fontId="53" fillId="0" borderId="26" xfId="143" applyFont="1" applyFill="1" applyBorder="1" applyAlignment="1">
      <alignment horizontal="center" wrapText="1"/>
    </xf>
    <xf numFmtId="0" fontId="24" fillId="33" borderId="20" xfId="117" applyNumberFormat="1" applyFont="1" applyFill="1" applyBorder="1" applyAlignment="1" applyProtection="1">
      <alignment horizontal="left" vertical="center"/>
      <protection locked="0"/>
    </xf>
    <xf numFmtId="3" fontId="24" fillId="33" borderId="22" xfId="117" applyNumberFormat="1" applyFont="1" applyFill="1" applyBorder="1" applyAlignment="1" applyProtection="1">
      <alignment horizontal="center" vertical="center"/>
    </xf>
    <xf numFmtId="37" fontId="53" fillId="33" borderId="26" xfId="117" applyFont="1" applyFill="1" applyBorder="1" applyAlignment="1">
      <alignment horizontal="center"/>
    </xf>
    <xf numFmtId="37" fontId="53" fillId="33" borderId="0" xfId="117" applyFont="1" applyFill="1" applyAlignment="1">
      <alignment horizontal="left"/>
    </xf>
    <xf numFmtId="49" fontId="18" fillId="33" borderId="10" xfId="117" applyNumberFormat="1" applyFont="1" applyFill="1" applyBorder="1" applyAlignment="1" applyProtection="1">
      <protection locked="0" hidden="1"/>
    </xf>
    <xf numFmtId="17" fontId="57" fillId="33" borderId="15" xfId="338" quotePrefix="1" applyNumberFormat="1" applyFont="1" applyFill="1" applyBorder="1" applyAlignment="1">
      <alignment vertical="center"/>
    </xf>
    <xf numFmtId="164" fontId="24" fillId="33" borderId="19" xfId="2" quotePrefix="1" applyNumberFormat="1" applyFont="1" applyFill="1" applyBorder="1" applyAlignment="1" applyProtection="1">
      <alignment horizontal="center" vertical="center"/>
    </xf>
    <xf numFmtId="164" fontId="24" fillId="33" borderId="21" xfId="2" quotePrefix="1" applyNumberFormat="1" applyFont="1" applyFill="1" applyBorder="1" applyAlignment="1" applyProtection="1">
      <alignment horizontal="center" vertical="center"/>
    </xf>
    <xf numFmtId="37" fontId="40" fillId="0" borderId="0" xfId="308" applyFont="1" applyAlignment="1">
      <alignment vertical="center"/>
    </xf>
    <xf numFmtId="37" fontId="40" fillId="0" borderId="0" xfId="308" applyFont="1" applyAlignment="1">
      <alignment horizontal="right" vertical="center"/>
    </xf>
    <xf numFmtId="169" fontId="50" fillId="36" borderId="25" xfId="117" applyNumberFormat="1" applyFont="1" applyFill="1" applyBorder="1" applyAlignment="1" applyProtection="1"/>
    <xf numFmtId="169" fontId="50" fillId="36" borderId="20" xfId="117" quotePrefix="1" applyNumberFormat="1" applyFont="1" applyFill="1" applyBorder="1" applyAlignment="1" applyProtection="1"/>
    <xf numFmtId="169" fontId="50" fillId="36" borderId="15" xfId="117" applyNumberFormat="1" applyFont="1" applyFill="1" applyBorder="1" applyAlignment="1" applyProtection="1"/>
    <xf numFmtId="169" fontId="50" fillId="36" borderId="13" xfId="117" quotePrefix="1" applyNumberFormat="1" applyFont="1" applyFill="1" applyBorder="1" applyAlignment="1" applyProtection="1"/>
    <xf numFmtId="170" fontId="50" fillId="36" borderId="25" xfId="117" applyNumberFormat="1" applyFont="1" applyFill="1" applyBorder="1" applyAlignment="1" applyProtection="1"/>
    <xf numFmtId="170" fontId="50" fillId="36" borderId="13" xfId="117" quotePrefix="1" applyNumberFormat="1" applyFont="1" applyFill="1" applyBorder="1" applyAlignment="1" applyProtection="1"/>
    <xf numFmtId="169" fontId="50" fillId="36" borderId="13" xfId="117" applyNumberFormat="1" applyFont="1" applyFill="1" applyBorder="1" applyAlignment="1" applyProtection="1"/>
    <xf numFmtId="169" fontId="50" fillId="36" borderId="25" xfId="117" applyNumberFormat="1" applyFont="1" applyFill="1" applyBorder="1" applyAlignment="1" applyProtection="1">
      <alignment horizontal="right" vertical="top"/>
    </xf>
    <xf numFmtId="169" fontId="50" fillId="36" borderId="25" xfId="117" quotePrefix="1" applyNumberFormat="1" applyFont="1" applyFill="1" applyBorder="1" applyAlignment="1" applyProtection="1"/>
    <xf numFmtId="169" fontId="50" fillId="36" borderId="13" xfId="117" applyNumberFormat="1" applyFont="1" applyFill="1" applyBorder="1" applyAlignment="1" applyProtection="1">
      <alignment horizontal="right"/>
    </xf>
    <xf numFmtId="169" fontId="50" fillId="36" borderId="12" xfId="117" applyNumberFormat="1" applyFont="1" applyFill="1" applyBorder="1" applyAlignment="1" applyProtection="1">
      <alignment horizontal="right"/>
    </xf>
    <xf numFmtId="169" fontId="50" fillId="36" borderId="15" xfId="117" applyNumberFormat="1" applyFont="1" applyFill="1" applyBorder="1" applyAlignment="1" applyProtection="1">
      <alignment horizontal="right" vertical="top"/>
    </xf>
    <xf numFmtId="169" fontId="50" fillId="36" borderId="15" xfId="117" quotePrefix="1" applyNumberFormat="1" applyFont="1" applyFill="1" applyBorder="1" applyAlignment="1" applyProtection="1"/>
    <xf numFmtId="169" fontId="50" fillId="36" borderId="25" xfId="117" applyNumberFormat="1" applyFont="1" applyFill="1" applyBorder="1" applyAlignment="1" applyProtection="1">
      <alignment horizontal="right"/>
    </xf>
    <xf numFmtId="0" fontId="22" fillId="0" borderId="11" xfId="2" applyFont="1" applyBorder="1" applyAlignment="1">
      <alignment horizontal="center" vertical="top" wrapText="1"/>
    </xf>
    <xf numFmtId="0" fontId="22" fillId="0" borderId="12" xfId="2" applyFont="1" applyBorder="1" applyAlignment="1">
      <alignment horizontal="center" vertical="top"/>
    </xf>
    <xf numFmtId="0" fontId="22" fillId="0" borderId="13" xfId="2" applyFont="1" applyBorder="1" applyAlignment="1">
      <alignment horizontal="center" vertical="top"/>
    </xf>
    <xf numFmtId="0" fontId="22" fillId="0" borderId="14" xfId="2" applyFont="1" applyBorder="1" applyAlignment="1">
      <alignment horizontal="center" vertical="top" wrapText="1"/>
    </xf>
    <xf numFmtId="0" fontId="22" fillId="0" borderId="10" xfId="2" applyFont="1" applyBorder="1" applyAlignment="1">
      <alignment horizontal="center" vertical="top" wrapText="1"/>
    </xf>
    <xf numFmtId="0" fontId="22" fillId="0" borderId="15" xfId="2" applyFont="1" applyBorder="1" applyAlignment="1">
      <alignment horizontal="center" vertical="top" wrapText="1"/>
    </xf>
    <xf numFmtId="37" fontId="43" fillId="0" borderId="0" xfId="117" applyFont="1" applyBorder="1" applyAlignment="1" applyProtection="1">
      <alignment horizontal="left"/>
    </xf>
    <xf numFmtId="37" fontId="43" fillId="0" borderId="20" xfId="117" applyFont="1" applyBorder="1" applyAlignment="1" applyProtection="1">
      <alignment horizontal="left"/>
    </xf>
    <xf numFmtId="37" fontId="43" fillId="0" borderId="10" xfId="117" applyFont="1" applyBorder="1" applyAlignment="1" applyProtection="1">
      <alignment horizontal="left"/>
    </xf>
    <xf numFmtId="37" fontId="43" fillId="0" borderId="15" xfId="117" applyFont="1" applyBorder="1" applyAlignment="1" applyProtection="1">
      <alignment horizontal="left"/>
    </xf>
    <xf numFmtId="37" fontId="49" fillId="34" borderId="23" xfId="117" applyNumberFormat="1" applyFont="1" applyFill="1" applyBorder="1" applyAlignment="1" applyProtection="1">
      <alignment horizontal="left"/>
    </xf>
    <xf numFmtId="37" fontId="49" fillId="34" borderId="24" xfId="117" applyNumberFormat="1" applyFont="1" applyFill="1" applyBorder="1" applyAlignment="1" applyProtection="1">
      <alignment horizontal="left"/>
    </xf>
    <xf numFmtId="37" fontId="49" fillId="34" borderId="25" xfId="117" applyNumberFormat="1" applyFont="1" applyFill="1" applyBorder="1" applyAlignment="1" applyProtection="1">
      <alignment horizontal="left"/>
    </xf>
    <xf numFmtId="37" fontId="40" fillId="0" borderId="26" xfId="308" applyFont="1" applyBorder="1" applyAlignment="1" applyProtection="1">
      <alignment horizontal="left" vertical="top" wrapText="1"/>
      <protection hidden="1"/>
    </xf>
    <xf numFmtId="37" fontId="50" fillId="34" borderId="23" xfId="117" applyFont="1" applyFill="1" applyBorder="1" applyAlignment="1" applyProtection="1">
      <alignment horizontal="center" vertical="center"/>
    </xf>
    <xf numFmtId="37" fontId="50" fillId="34" borderId="25" xfId="117" applyFont="1" applyFill="1" applyBorder="1" applyAlignment="1" applyProtection="1">
      <alignment horizontal="center" vertical="center"/>
    </xf>
    <xf numFmtId="37" fontId="50" fillId="34" borderId="23" xfId="117" applyFont="1" applyFill="1" applyBorder="1" applyAlignment="1" applyProtection="1">
      <alignment horizontal="center" vertical="top"/>
    </xf>
    <xf numFmtId="37" fontId="50" fillId="34" borderId="25" xfId="117" applyFont="1" applyFill="1" applyBorder="1" applyAlignment="1" applyProtection="1">
      <alignment horizontal="center" vertical="top"/>
    </xf>
    <xf numFmtId="37" fontId="50" fillId="34" borderId="24" xfId="117" applyFont="1" applyFill="1" applyBorder="1" applyAlignment="1" applyProtection="1">
      <alignment horizontal="center" vertical="center"/>
    </xf>
    <xf numFmtId="37" fontId="43" fillId="33" borderId="0" xfId="117" applyFont="1" applyFill="1" applyBorder="1" applyAlignment="1" applyProtection="1">
      <alignment horizontal="left"/>
    </xf>
    <xf numFmtId="37" fontId="43" fillId="33" borderId="20" xfId="117" applyFont="1" applyFill="1" applyBorder="1" applyAlignment="1" applyProtection="1">
      <alignment horizontal="left"/>
    </xf>
    <xf numFmtId="37" fontId="43" fillId="0" borderId="0" xfId="117" applyFont="1" applyFill="1" applyBorder="1" applyAlignment="1" applyProtection="1">
      <alignment horizontal="left"/>
    </xf>
    <xf numFmtId="37" fontId="43" fillId="0" borderId="20" xfId="117" applyFont="1" applyFill="1" applyBorder="1" applyAlignment="1" applyProtection="1">
      <alignment horizontal="left"/>
    </xf>
    <xf numFmtId="37" fontId="43" fillId="0" borderId="0" xfId="117" applyFont="1" applyBorder="1" applyAlignment="1" applyProtection="1"/>
    <xf numFmtId="37" fontId="43" fillId="0" borderId="20" xfId="117" applyFont="1" applyBorder="1" applyAlignment="1" applyProtection="1"/>
    <xf numFmtId="37" fontId="43" fillId="0" borderId="0" xfId="117" applyFont="1" applyFill="1" applyBorder="1" applyAlignment="1" applyProtection="1"/>
    <xf numFmtId="37" fontId="43" fillId="0" borderId="20" xfId="117" applyFont="1" applyFill="1" applyBorder="1" applyAlignment="1" applyProtection="1"/>
    <xf numFmtId="37" fontId="43" fillId="0" borderId="10" xfId="117" applyFont="1" applyBorder="1" applyAlignment="1" applyProtection="1"/>
    <xf numFmtId="37" fontId="43" fillId="0" borderId="15" xfId="117" applyFont="1" applyBorder="1" applyAlignment="1" applyProtection="1"/>
    <xf numFmtId="37" fontId="43" fillId="0" borderId="10" xfId="117" quotePrefix="1" applyNumberFormat="1" applyFont="1" applyFill="1" applyBorder="1" applyAlignment="1" applyProtection="1"/>
    <xf numFmtId="37" fontId="43" fillId="0" borderId="15" xfId="117" quotePrefix="1" applyNumberFormat="1" applyFont="1" applyFill="1" applyBorder="1" applyAlignment="1" applyProtection="1"/>
    <xf numFmtId="37" fontId="43" fillId="0" borderId="12" xfId="117" applyFont="1" applyBorder="1" applyAlignment="1" applyProtection="1"/>
    <xf numFmtId="37" fontId="43" fillId="0" borderId="13" xfId="117" applyFont="1" applyBorder="1" applyAlignment="1" applyProtection="1"/>
    <xf numFmtId="37" fontId="43" fillId="0" borderId="0" xfId="117" applyNumberFormat="1" applyFont="1" applyBorder="1" applyAlignment="1" applyProtection="1"/>
    <xf numFmtId="37" fontId="43" fillId="0" borderId="20" xfId="117" applyNumberFormat="1" applyFont="1" applyBorder="1" applyAlignment="1" applyProtection="1"/>
    <xf numFmtId="37" fontId="43" fillId="0" borderId="0" xfId="117" applyNumberFormat="1" applyFont="1" applyBorder="1" applyAlignment="1" applyProtection="1">
      <alignment horizontal="left"/>
    </xf>
    <xf numFmtId="37" fontId="43" fillId="0" borderId="20" xfId="117" applyNumberFormat="1" applyFont="1" applyBorder="1" applyAlignment="1" applyProtection="1">
      <alignment horizontal="left"/>
    </xf>
    <xf numFmtId="0" fontId="44" fillId="33" borderId="22" xfId="326" applyFont="1" applyFill="1" applyBorder="1" applyAlignment="1" applyProtection="1">
      <alignment horizontal="left"/>
      <protection hidden="1"/>
    </xf>
    <xf numFmtId="0" fontId="44" fillId="33" borderId="0" xfId="326" applyFont="1" applyFill="1" applyBorder="1" applyAlignment="1" applyProtection="1">
      <alignment horizontal="left"/>
      <protection hidden="1"/>
    </xf>
    <xf numFmtId="0" fontId="47" fillId="0" borderId="23" xfId="308" applyNumberFormat="1" applyFont="1" applyBorder="1" applyAlignment="1">
      <alignment horizontal="center" vertical="center"/>
    </xf>
    <xf numFmtId="0" fontId="47" fillId="0" borderId="24" xfId="308" applyNumberFormat="1" applyFont="1" applyBorder="1" applyAlignment="1">
      <alignment horizontal="center" vertical="center"/>
    </xf>
    <xf numFmtId="49" fontId="47" fillId="0" borderId="23" xfId="308" quotePrefix="1" applyNumberFormat="1" applyFont="1" applyBorder="1" applyAlignment="1" applyProtection="1">
      <alignment horizontal="center" vertical="center" wrapText="1"/>
    </xf>
    <xf numFmtId="49" fontId="47" fillId="0" borderId="24" xfId="308" applyNumberFormat="1" applyFont="1" applyBorder="1" applyAlignment="1" applyProtection="1">
      <alignment horizontal="center" vertical="center" wrapText="1"/>
    </xf>
    <xf numFmtId="49" fontId="47" fillId="0" borderId="25" xfId="308" applyNumberFormat="1" applyFont="1" applyBorder="1" applyAlignment="1" applyProtection="1">
      <alignment horizontal="center" vertical="center" wrapText="1"/>
    </xf>
    <xf numFmtId="37" fontId="50" fillId="34" borderId="24" xfId="117" applyFont="1" applyFill="1" applyBorder="1" applyAlignment="1" applyProtection="1">
      <alignment horizontal="center" vertical="top"/>
    </xf>
  </cellXfs>
  <cellStyles count="339">
    <cellStyle name="20% - Accent1 2" xfId="3"/>
    <cellStyle name="20% - Accent1 3" xfId="4"/>
    <cellStyle name="20% - Accent1 3 2" xfId="5"/>
    <cellStyle name="20% - Accent2 2" xfId="6"/>
    <cellStyle name="20% - Accent2 3" xfId="7"/>
    <cellStyle name="20% - Accent2 3 2" xfId="8"/>
    <cellStyle name="20% - Accent3 2" xfId="9"/>
    <cellStyle name="20% - Accent3 3" xfId="10"/>
    <cellStyle name="20% - Accent3 3 2" xfId="11"/>
    <cellStyle name="20% - Accent4 2" xfId="12"/>
    <cellStyle name="20% - Accent4 3" xfId="13"/>
    <cellStyle name="20% - Accent4 3 2" xfId="14"/>
    <cellStyle name="20% - Accent5 2" xfId="15"/>
    <cellStyle name="20% - Accent5 3" xfId="16"/>
    <cellStyle name="20% - Accent5 3 2" xfId="17"/>
    <cellStyle name="20% - Accent6 2" xfId="18"/>
    <cellStyle name="20% - Accent6 3" xfId="19"/>
    <cellStyle name="20% - Accent6 3 2" xfId="20"/>
    <cellStyle name="40% - Accent1 2" xfId="21"/>
    <cellStyle name="40% - Accent1 3" xfId="22"/>
    <cellStyle name="40% - Accent1 3 2" xfId="23"/>
    <cellStyle name="40% - Accent2 2" xfId="24"/>
    <cellStyle name="40% - Accent2 3" xfId="25"/>
    <cellStyle name="40% - Accent2 3 2" xfId="26"/>
    <cellStyle name="40% - Accent3 2" xfId="27"/>
    <cellStyle name="40% - Accent3 3" xfId="28"/>
    <cellStyle name="40% - Accent3 3 2" xfId="29"/>
    <cellStyle name="40% - Accent4 2" xfId="30"/>
    <cellStyle name="40% - Accent4 3" xfId="31"/>
    <cellStyle name="40% - Accent4 3 2" xfId="32"/>
    <cellStyle name="40% - Accent5 2" xfId="33"/>
    <cellStyle name="40% - Accent5 3" xfId="34"/>
    <cellStyle name="40% - Accent5 3 2" xfId="35"/>
    <cellStyle name="40% - Accent6 2" xfId="36"/>
    <cellStyle name="40% - Accent6 3" xfId="37"/>
    <cellStyle name="40% - Accent6 3 2" xfId="38"/>
    <cellStyle name="60% - Accent1 2" xfId="39"/>
    <cellStyle name="60% - Accent2 2" xfId="40"/>
    <cellStyle name="60% - Accent3 2" xfId="41"/>
    <cellStyle name="60% - Accent4 2" xfId="42"/>
    <cellStyle name="60% - Accent5 2" xfId="43"/>
    <cellStyle name="60% - Accent6 2" xfId="44"/>
    <cellStyle name="Accent1 2" xfId="45"/>
    <cellStyle name="Accent2 2" xfId="46"/>
    <cellStyle name="Accent3 2" xfId="47"/>
    <cellStyle name="Accent4 2" xfId="48"/>
    <cellStyle name="Accent5 2" xfId="49"/>
    <cellStyle name="Accent6 2" xfId="50"/>
    <cellStyle name="Bad 2" xfId="51"/>
    <cellStyle name="Calculation 2" xfId="52"/>
    <cellStyle name="Check Cell 2" xfId="53"/>
    <cellStyle name="Comma 2" xfId="54"/>
    <cellStyle name="Comma 2 2" xfId="55"/>
    <cellStyle name="Comma 3" xfId="56"/>
    <cellStyle name="Comma 4" xfId="57"/>
    <cellStyle name="Comma 5" xfId="58"/>
    <cellStyle name="Comma 6" xfId="59"/>
    <cellStyle name="Currency 2" xfId="60"/>
    <cellStyle name="Currency 2 2" xfId="61"/>
    <cellStyle name="Currency 3" xfId="62"/>
    <cellStyle name="Currency 3 2" xfId="63"/>
    <cellStyle name="Currency 4" xfId="64"/>
    <cellStyle name="Explanatory Text 2" xfId="65"/>
    <cellStyle name="general" xfId="66"/>
    <cellStyle name="Good 2" xfId="67"/>
    <cellStyle name="Heading 1 2" xfId="68"/>
    <cellStyle name="Heading 2 2" xfId="69"/>
    <cellStyle name="Heading 3 2" xfId="70"/>
    <cellStyle name="Heading 4 2" xfId="71"/>
    <cellStyle name="Hyperlink" xfId="338" builtinId="8"/>
    <cellStyle name="Hyperlink 2" xfId="72"/>
    <cellStyle name="Hyperlink 3" xfId="73"/>
    <cellStyle name="Hyperlink 3 2" xfId="74"/>
    <cellStyle name="Hyperlink 4" xfId="75"/>
    <cellStyle name="Hyperlink 4 2" xfId="76"/>
    <cellStyle name="Hyperlink 4 3" xfId="77"/>
    <cellStyle name="Hyperlink 5" xfId="78"/>
    <cellStyle name="Hyperlink 5 2" xfId="79"/>
    <cellStyle name="Hyperlink 5 3" xfId="80"/>
    <cellStyle name="Hyperlink 5 4" xfId="81"/>
    <cellStyle name="Hyperlink 6" xfId="82"/>
    <cellStyle name="Hyperlink 7" xfId="83"/>
    <cellStyle name="Hyperlink 8" xfId="84"/>
    <cellStyle name="Input 2" xfId="85"/>
    <cellStyle name="Linked Cell 2" xfId="86"/>
    <cellStyle name="Neutral 2" xfId="87"/>
    <cellStyle name="Normal" xfId="0" builtinId="0"/>
    <cellStyle name="Normal 10" xfId="88"/>
    <cellStyle name="Normal 10 2" xfId="89"/>
    <cellStyle name="Normal 10 3" xfId="90"/>
    <cellStyle name="Normal 11" xfId="91"/>
    <cellStyle name="Normal 11 2" xfId="92"/>
    <cellStyle name="Normal 11 2 2" xfId="93"/>
    <cellStyle name="Normal 11 2 2 2" xfId="94"/>
    <cellStyle name="Normal 11 2 2 2 2" xfId="95"/>
    <cellStyle name="Normal 11 2 2 3" xfId="96"/>
    <cellStyle name="Normal 11 2 3" xfId="97"/>
    <cellStyle name="Normal 11 2 3 2" xfId="98"/>
    <cellStyle name="Normal 11 2 4" xfId="99"/>
    <cellStyle name="Normal 11 3" xfId="100"/>
    <cellStyle name="Normal 11 3 2" xfId="101"/>
    <cellStyle name="Normal 11 3 2 2" xfId="102"/>
    <cellStyle name="Normal 11 3 3" xfId="103"/>
    <cellStyle name="Normal 11 4" xfId="104"/>
    <cellStyle name="Normal 11 4 2" xfId="105"/>
    <cellStyle name="Normal 11 5" xfId="106"/>
    <cellStyle name="Normal 11 6" xfId="107"/>
    <cellStyle name="Normal 11 7" xfId="108"/>
    <cellStyle name="Normal 12" xfId="109"/>
    <cellStyle name="Normal 12 2" xfId="110"/>
    <cellStyle name="Normal 12 2 2" xfId="111"/>
    <cellStyle name="Normal 13" xfId="112"/>
    <cellStyle name="Normal 13 2" xfId="113"/>
    <cellStyle name="Normal 13 2 2" xfId="114"/>
    <cellStyle name="Normal 13 3" xfId="115"/>
    <cellStyle name="Normal 14" xfId="116"/>
    <cellStyle name="Normal 14 2" xfId="117"/>
    <cellStyle name="Normal 14 2 2" xfId="118"/>
    <cellStyle name="Normal 14 2 2 2" xfId="119"/>
    <cellStyle name="Normal 14 3" xfId="120"/>
    <cellStyle name="Normal 14 3 2" xfId="121"/>
    <cellStyle name="Normal 14 4" xfId="122"/>
    <cellStyle name="Normal 15" xfId="123"/>
    <cellStyle name="Normal 15 2" xfId="124"/>
    <cellStyle name="Normal 15 2 2" xfId="125"/>
    <cellStyle name="Normal 15 3" xfId="126"/>
    <cellStyle name="Normal 16" xfId="127"/>
    <cellStyle name="Normal 16 2" xfId="128"/>
    <cellStyle name="Normal 16 2 2" xfId="129"/>
    <cellStyle name="Normal 16 3" xfId="130"/>
    <cellStyle name="Normal 17" xfId="131"/>
    <cellStyle name="Normal 17 2" xfId="132"/>
    <cellStyle name="Normal 17 2 2" xfId="133"/>
    <cellStyle name="Normal 17 3" xfId="134"/>
    <cellStyle name="Normal 18" xfId="135"/>
    <cellStyle name="Normal 18 2" xfId="136"/>
    <cellStyle name="Normal 18 2 2" xfId="137"/>
    <cellStyle name="Normal 18 3" xfId="138"/>
    <cellStyle name="Normal 19" xfId="139"/>
    <cellStyle name="Normal 19 2" xfId="140"/>
    <cellStyle name="Normal 19 2 2" xfId="141"/>
    <cellStyle name="Normal 19 3" xfId="142"/>
    <cellStyle name="Normal 2" xfId="1"/>
    <cellStyle name="Normal 2 2" xfId="143"/>
    <cellStyle name="Normal 2 2 2" xfId="144"/>
    <cellStyle name="Normal 2 2 2 2" xfId="2"/>
    <cellStyle name="Normal 2 2 3" xfId="145"/>
    <cellStyle name="Normal 2 3" xfId="146"/>
    <cellStyle name="Normal 2 3 2" xfId="147"/>
    <cellStyle name="Normal 2 3 3" xfId="148"/>
    <cellStyle name="Normal 2 4" xfId="149"/>
    <cellStyle name="Normal 2 5" xfId="150"/>
    <cellStyle name="Normal 2 6" xfId="151"/>
    <cellStyle name="Normal 20" xfId="152"/>
    <cellStyle name="Normal 20 2" xfId="153"/>
    <cellStyle name="Normal 20 2 2" xfId="154"/>
    <cellStyle name="Normal 20 3" xfId="155"/>
    <cellStyle name="Normal 21" xfId="156"/>
    <cellStyle name="Normal 21 2" xfId="157"/>
    <cellStyle name="Normal 21 2 2" xfId="158"/>
    <cellStyle name="Normal 21 3" xfId="159"/>
    <cellStyle name="Normal 22" xfId="160"/>
    <cellStyle name="Normal 22 2" xfId="161"/>
    <cellStyle name="Normal 22 2 2" xfId="162"/>
    <cellStyle name="Normal 22 3" xfId="163"/>
    <cellStyle name="Normal 23" xfId="164"/>
    <cellStyle name="Normal 23 2" xfId="165"/>
    <cellStyle name="Normal 23 2 2" xfId="166"/>
    <cellStyle name="Normal 23 3" xfId="167"/>
    <cellStyle name="Normal 24" xfId="168"/>
    <cellStyle name="Normal 24 2" xfId="169"/>
    <cellStyle name="Normal 24 2 2" xfId="170"/>
    <cellStyle name="Normal 24 3" xfId="171"/>
    <cellStyle name="Normal 25" xfId="172"/>
    <cellStyle name="Normal 25 2" xfId="173"/>
    <cellStyle name="Normal 25 2 2" xfId="174"/>
    <cellStyle name="Normal 25 3" xfId="175"/>
    <cellStyle name="Normal 26" xfId="176"/>
    <cellStyle name="Normal 26 2" xfId="177"/>
    <cellStyle name="Normal 26 2 2" xfId="178"/>
    <cellStyle name="Normal 26 3" xfId="179"/>
    <cellStyle name="Normal 27" xfId="180"/>
    <cellStyle name="Normal 28" xfId="181"/>
    <cellStyle name="Normal 28 2" xfId="182"/>
    <cellStyle name="Normal 29" xfId="183"/>
    <cellStyle name="Normal 29 2" xfId="184"/>
    <cellStyle name="Normal 3" xfId="185"/>
    <cellStyle name="Normal 3 2" xfId="186"/>
    <cellStyle name="Normal 3 2 2" xfId="187"/>
    <cellStyle name="Normal 3 2 3" xfId="188"/>
    <cellStyle name="Normal 3 3" xfId="189"/>
    <cellStyle name="Normal 3 3 2" xfId="190"/>
    <cellStyle name="Normal 3 3 3" xfId="191"/>
    <cellStyle name="Normal 3 4" xfId="192"/>
    <cellStyle name="Normal 3 5" xfId="193"/>
    <cellStyle name="Normal 3 6" xfId="194"/>
    <cellStyle name="Normal 3 6 2" xfId="195"/>
    <cellStyle name="Normal 3 7" xfId="196"/>
    <cellStyle name="Normal 30" xfId="197"/>
    <cellStyle name="Normal 30 2" xfId="198"/>
    <cellStyle name="Normal 31" xfId="199"/>
    <cellStyle name="Normal 31 2" xfId="200"/>
    <cellStyle name="Normal 32" xfId="201"/>
    <cellStyle name="Normal 32 2" xfId="202"/>
    <cellStyle name="Normal 33" xfId="203"/>
    <cellStyle name="Normal 33 2" xfId="204"/>
    <cellStyle name="Normal 34" xfId="205"/>
    <cellStyle name="Normal 34 2" xfId="206"/>
    <cellStyle name="Normal 35" xfId="207"/>
    <cellStyle name="Normal 35 2" xfId="208"/>
    <cellStyle name="Normal 36" xfId="209"/>
    <cellStyle name="Normal 36 2" xfId="210"/>
    <cellStyle name="Normal 37" xfId="211"/>
    <cellStyle name="Normal 37 2" xfId="212"/>
    <cellStyle name="Normal 38" xfId="213"/>
    <cellStyle name="Normal 38 2" xfId="214"/>
    <cellStyle name="Normal 39" xfId="215"/>
    <cellStyle name="Normal 39 2" xfId="216"/>
    <cellStyle name="Normal 4" xfId="217"/>
    <cellStyle name="Normal 4 2" xfId="218"/>
    <cellStyle name="Normal 4 2 2" xfId="219"/>
    <cellStyle name="Normal 4 3" xfId="220"/>
    <cellStyle name="Normal 40" xfId="221"/>
    <cellStyle name="Normal 40 2" xfId="222"/>
    <cellStyle name="Normal 41" xfId="223"/>
    <cellStyle name="Normal 41 2" xfId="224"/>
    <cellStyle name="Normal 42" xfId="225"/>
    <cellStyle name="Normal 42 2" xfId="226"/>
    <cellStyle name="Normal 43" xfId="227"/>
    <cellStyle name="Normal 43 2" xfId="228"/>
    <cellStyle name="Normal 44" xfId="229"/>
    <cellStyle name="Normal 44 2" xfId="230"/>
    <cellStyle name="Normal 45" xfId="231"/>
    <cellStyle name="Normal 45 2" xfId="232"/>
    <cellStyle name="Normal 46" xfId="233"/>
    <cellStyle name="Normal 46 2" xfId="234"/>
    <cellStyle name="Normal 47" xfId="235"/>
    <cellStyle name="Normal 47 2" xfId="236"/>
    <cellStyle name="Normal 48" xfId="237"/>
    <cellStyle name="Normal 48 2" xfId="238"/>
    <cellStyle name="Normal 49" xfId="239"/>
    <cellStyle name="Normal 49 2" xfId="240"/>
    <cellStyle name="Normal 5" xfId="241"/>
    <cellStyle name="Normal 5 2" xfId="242"/>
    <cellStyle name="Normal 5 3" xfId="243"/>
    <cellStyle name="Normal 50" xfId="244"/>
    <cellStyle name="Normal 50 2" xfId="245"/>
    <cellStyle name="Normal 51" xfId="246"/>
    <cellStyle name="Normal 51 2" xfId="247"/>
    <cellStyle name="Normal 52" xfId="248"/>
    <cellStyle name="Normal 52 2" xfId="249"/>
    <cellStyle name="Normal 53" xfId="250"/>
    <cellStyle name="Normal 53 2" xfId="251"/>
    <cellStyle name="Normal 54" xfId="252"/>
    <cellStyle name="Normal 54 2" xfId="253"/>
    <cellStyle name="Normal 55" xfId="254"/>
    <cellStyle name="Normal 55 2" xfId="255"/>
    <cellStyle name="Normal 56" xfId="256"/>
    <cellStyle name="Normal 56 2" xfId="257"/>
    <cellStyle name="Normal 57" xfId="258"/>
    <cellStyle name="Normal 57 2" xfId="259"/>
    <cellStyle name="Normal 58" xfId="260"/>
    <cellStyle name="Normal 58 2" xfId="261"/>
    <cellStyle name="Normal 59" xfId="262"/>
    <cellStyle name="Normal 59 2" xfId="263"/>
    <cellStyle name="Normal 6" xfId="264"/>
    <cellStyle name="Normal 6 2" xfId="265"/>
    <cellStyle name="Normal 60" xfId="266"/>
    <cellStyle name="Normal 60 2" xfId="267"/>
    <cellStyle name="Normal 61" xfId="268"/>
    <cellStyle name="Normal 61 2" xfId="269"/>
    <cellStyle name="Normal 62" xfId="270"/>
    <cellStyle name="Normal 62 2" xfId="271"/>
    <cellStyle name="Normal 63" xfId="272"/>
    <cellStyle name="Normal 63 2" xfId="273"/>
    <cellStyle name="Normal 64" xfId="274"/>
    <cellStyle name="Normal 64 2" xfId="275"/>
    <cellStyle name="Normal 65" xfId="276"/>
    <cellStyle name="Normal 65 2" xfId="277"/>
    <cellStyle name="Normal 66" xfId="278"/>
    <cellStyle name="Normal 66 2" xfId="279"/>
    <cellStyle name="Normal 67" xfId="280"/>
    <cellStyle name="Normal 67 2" xfId="281"/>
    <cellStyle name="Normal 68" xfId="282"/>
    <cellStyle name="Normal 68 2" xfId="283"/>
    <cellStyle name="Normal 69" xfId="284"/>
    <cellStyle name="Normal 69 2" xfId="285"/>
    <cellStyle name="Normal 7" xfId="286"/>
    <cellStyle name="Normal 70" xfId="287"/>
    <cellStyle name="Normal 70 2" xfId="288"/>
    <cellStyle name="Normal 71" xfId="289"/>
    <cellStyle name="Normal 72" xfId="290"/>
    <cellStyle name="Normal 72 2" xfId="291"/>
    <cellStyle name="Normal 73" xfId="292"/>
    <cellStyle name="Normal 73 2" xfId="293"/>
    <cellStyle name="Normal 74" xfId="294"/>
    <cellStyle name="Normal 74 2" xfId="295"/>
    <cellStyle name="Normal 75" xfId="296"/>
    <cellStyle name="Normal 75 2" xfId="297"/>
    <cellStyle name="Normal 76" xfId="298"/>
    <cellStyle name="Normal 76 2" xfId="299"/>
    <cellStyle name="Normal 77" xfId="300"/>
    <cellStyle name="Normal 77 2" xfId="301"/>
    <cellStyle name="Normal 78" xfId="302"/>
    <cellStyle name="Normal 79" xfId="303"/>
    <cellStyle name="Normal 8" xfId="304"/>
    <cellStyle name="Normal 8 2" xfId="305"/>
    <cellStyle name="Normal 8 3" xfId="306"/>
    <cellStyle name="Normal 80" xfId="307"/>
    <cellStyle name="Normal 9" xfId="308"/>
    <cellStyle name="Normal 9 2" xfId="309"/>
    <cellStyle name="Normal 9 3" xfId="310"/>
    <cellStyle name="Normal 9 3 2" xfId="311"/>
    <cellStyle name="Normal 9 3 2 2" xfId="312"/>
    <cellStyle name="Normal 9 3 2 2 2" xfId="313"/>
    <cellStyle name="Normal 9 3 2 3" xfId="314"/>
    <cellStyle name="Normal 9 3 3" xfId="315"/>
    <cellStyle name="Normal 9 3 3 2" xfId="316"/>
    <cellStyle name="Normal 9 3 4" xfId="317"/>
    <cellStyle name="Normal 9 4" xfId="318"/>
    <cellStyle name="Normal 9 4 2" xfId="319"/>
    <cellStyle name="Normal 9 4 2 2" xfId="320"/>
    <cellStyle name="Normal 9 4 3" xfId="321"/>
    <cellStyle name="Normal 9 5" xfId="322"/>
    <cellStyle name="Normal 9 5 2" xfId="323"/>
    <cellStyle name="Normal 9 6" xfId="324"/>
    <cellStyle name="Normal 9 7" xfId="325"/>
    <cellStyle name="Normal_296 4Wkbk" xfId="326"/>
    <cellStyle name="Note 2" xfId="327"/>
    <cellStyle name="Note 2 2" xfId="328"/>
    <cellStyle name="Note 3" xfId="329"/>
    <cellStyle name="Note 4" xfId="330"/>
    <cellStyle name="Note 4 2" xfId="331"/>
    <cellStyle name="Output 2" xfId="332"/>
    <cellStyle name="Percent 2" xfId="333"/>
    <cellStyle name="Percent 2 2" xfId="334"/>
    <cellStyle name="Percent 3" xfId="335"/>
    <cellStyle name="Total 2" xfId="336"/>
    <cellStyle name="Warning Text 2" xfId="337"/>
  </cellStyles>
  <dxfs count="15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[$-409]mmmm\ d\,\ yyyy;@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2" formatCode="mmm\-yy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double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fill>
        <patternFill>
          <fgColor indexed="64"/>
          <bgColor theme="0"/>
        </patternFill>
      </fill>
    </dxf>
    <dxf>
      <border outline="0"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fill>
        <patternFill>
          <fgColor indexed="64"/>
          <bgColor theme="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238125</xdr:colOff>
      <xdr:row>21</xdr:row>
      <xdr:rowOff>0</xdr:rowOff>
    </xdr:from>
    <xdr:to>
      <xdr:col>16</xdr:col>
      <xdr:colOff>238125</xdr:colOff>
      <xdr:row>22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238125</xdr:colOff>
      <xdr:row>23</xdr:row>
      <xdr:rowOff>38100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4100-000003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238125</xdr:colOff>
      <xdr:row>24</xdr:row>
      <xdr:rowOff>38100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4100-000004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238125</xdr:colOff>
      <xdr:row>25</xdr:row>
      <xdr:rowOff>38100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0000000-0008-0000-4100-000005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21</xdr:row>
      <xdr:rowOff>0</xdr:rowOff>
    </xdr:from>
    <xdr:to>
      <xdr:col>16</xdr:col>
      <xdr:colOff>342900</xdr:colOff>
      <xdr:row>22</xdr:row>
      <xdr:rowOff>38100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00000000-0008-0000-4100-000006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342900</xdr:colOff>
      <xdr:row>23</xdr:row>
      <xdr:rowOff>76200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00000000-0008-0000-4100-000007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342900</xdr:colOff>
      <xdr:row>24</xdr:row>
      <xdr:rowOff>38100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00000000-0008-0000-4100-000008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342900</xdr:colOff>
      <xdr:row>25</xdr:row>
      <xdr:rowOff>38100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00000000-0008-0000-4100-000009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2" name="Text Box 0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4200-00000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00000000-0008-0000-4200-00000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4200-00000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id="{00000000-0008-0000-4200-00000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id="{00000000-0008-0000-4200-00000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8" name="Text Box 6">
          <a:extLst>
            <a:ext uri="{FF2B5EF4-FFF2-40B4-BE49-F238E27FC236}">
              <a16:creationId xmlns:a16="http://schemas.microsoft.com/office/drawing/2014/main" id="{00000000-0008-0000-4200-00000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9" name="Text Box 7">
          <a:extLst>
            <a:ext uri="{FF2B5EF4-FFF2-40B4-BE49-F238E27FC236}">
              <a16:creationId xmlns:a16="http://schemas.microsoft.com/office/drawing/2014/main" id="{00000000-0008-0000-4200-00000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0" name="Text Box 0">
          <a:extLst>
            <a:ext uri="{FF2B5EF4-FFF2-40B4-BE49-F238E27FC236}">
              <a16:creationId xmlns:a16="http://schemas.microsoft.com/office/drawing/2014/main" id="{00000000-0008-0000-4200-00000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id="{00000000-0008-0000-4200-00000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00000000-0008-0000-4200-00000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3" name="Text Box 3">
          <a:extLst>
            <a:ext uri="{FF2B5EF4-FFF2-40B4-BE49-F238E27FC236}">
              <a16:creationId xmlns:a16="http://schemas.microsoft.com/office/drawing/2014/main" id="{00000000-0008-0000-4200-00000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4" name="Text Box 4">
          <a:extLst>
            <a:ext uri="{FF2B5EF4-FFF2-40B4-BE49-F238E27FC236}">
              <a16:creationId xmlns:a16="http://schemas.microsoft.com/office/drawing/2014/main" id="{00000000-0008-0000-4200-00000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5" name="Text Box 5">
          <a:extLst>
            <a:ext uri="{FF2B5EF4-FFF2-40B4-BE49-F238E27FC236}">
              <a16:creationId xmlns:a16="http://schemas.microsoft.com/office/drawing/2014/main" id="{00000000-0008-0000-4200-00000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6" name="Text Box 6">
          <a:extLst>
            <a:ext uri="{FF2B5EF4-FFF2-40B4-BE49-F238E27FC236}">
              <a16:creationId xmlns:a16="http://schemas.microsoft.com/office/drawing/2014/main" id="{00000000-0008-0000-4200-00001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7" name="Text Box 7">
          <a:extLst>
            <a:ext uri="{FF2B5EF4-FFF2-40B4-BE49-F238E27FC236}">
              <a16:creationId xmlns:a16="http://schemas.microsoft.com/office/drawing/2014/main" id="{00000000-0008-0000-4200-00001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18" name="Text Box 0">
          <a:extLst>
            <a:ext uri="{FF2B5EF4-FFF2-40B4-BE49-F238E27FC236}">
              <a16:creationId xmlns:a16="http://schemas.microsoft.com/office/drawing/2014/main" id="{00000000-0008-0000-4200-00001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19" name="Text Box 1">
          <a:extLst>
            <a:ext uri="{FF2B5EF4-FFF2-40B4-BE49-F238E27FC236}">
              <a16:creationId xmlns:a16="http://schemas.microsoft.com/office/drawing/2014/main" id="{00000000-0008-0000-4200-00001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0" name="Text Box 2">
          <a:extLst>
            <a:ext uri="{FF2B5EF4-FFF2-40B4-BE49-F238E27FC236}">
              <a16:creationId xmlns:a16="http://schemas.microsoft.com/office/drawing/2014/main" id="{00000000-0008-0000-4200-00001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1" name="Text Box 3">
          <a:extLst>
            <a:ext uri="{FF2B5EF4-FFF2-40B4-BE49-F238E27FC236}">
              <a16:creationId xmlns:a16="http://schemas.microsoft.com/office/drawing/2014/main" id="{00000000-0008-0000-4200-00001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2" name="Text Box 4">
          <a:extLst>
            <a:ext uri="{FF2B5EF4-FFF2-40B4-BE49-F238E27FC236}">
              <a16:creationId xmlns:a16="http://schemas.microsoft.com/office/drawing/2014/main" id="{00000000-0008-0000-4200-00001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3" name="Text Box 5">
          <a:extLst>
            <a:ext uri="{FF2B5EF4-FFF2-40B4-BE49-F238E27FC236}">
              <a16:creationId xmlns:a16="http://schemas.microsoft.com/office/drawing/2014/main" id="{00000000-0008-0000-4200-00001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4" name="Text Box 6">
          <a:extLst>
            <a:ext uri="{FF2B5EF4-FFF2-40B4-BE49-F238E27FC236}">
              <a16:creationId xmlns:a16="http://schemas.microsoft.com/office/drawing/2014/main" id="{00000000-0008-0000-4200-00001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5" name="Text Box 7">
          <a:extLst>
            <a:ext uri="{FF2B5EF4-FFF2-40B4-BE49-F238E27FC236}">
              <a16:creationId xmlns:a16="http://schemas.microsoft.com/office/drawing/2014/main" id="{00000000-0008-0000-4200-00001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6" name="Text Box 0">
          <a:extLst>
            <a:ext uri="{FF2B5EF4-FFF2-40B4-BE49-F238E27FC236}">
              <a16:creationId xmlns:a16="http://schemas.microsoft.com/office/drawing/2014/main" id="{00000000-0008-0000-4200-00001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7" name="Text Box 1">
          <a:extLst>
            <a:ext uri="{FF2B5EF4-FFF2-40B4-BE49-F238E27FC236}">
              <a16:creationId xmlns:a16="http://schemas.microsoft.com/office/drawing/2014/main" id="{00000000-0008-0000-4200-00001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8" name="Text Box 2">
          <a:extLst>
            <a:ext uri="{FF2B5EF4-FFF2-40B4-BE49-F238E27FC236}">
              <a16:creationId xmlns:a16="http://schemas.microsoft.com/office/drawing/2014/main" id="{00000000-0008-0000-4200-00001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9" name="Text Box 3">
          <a:extLst>
            <a:ext uri="{FF2B5EF4-FFF2-40B4-BE49-F238E27FC236}">
              <a16:creationId xmlns:a16="http://schemas.microsoft.com/office/drawing/2014/main" id="{00000000-0008-0000-4200-00001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0" name="Text Box 4">
          <a:extLst>
            <a:ext uri="{FF2B5EF4-FFF2-40B4-BE49-F238E27FC236}">
              <a16:creationId xmlns:a16="http://schemas.microsoft.com/office/drawing/2014/main" id="{00000000-0008-0000-4200-00001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1" name="Text Box 5">
          <a:extLst>
            <a:ext uri="{FF2B5EF4-FFF2-40B4-BE49-F238E27FC236}">
              <a16:creationId xmlns:a16="http://schemas.microsoft.com/office/drawing/2014/main" id="{00000000-0008-0000-4200-00001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2" name="Text Box 6">
          <a:extLst>
            <a:ext uri="{FF2B5EF4-FFF2-40B4-BE49-F238E27FC236}">
              <a16:creationId xmlns:a16="http://schemas.microsoft.com/office/drawing/2014/main" id="{00000000-0008-0000-4200-00002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3" name="Text Box 7">
          <a:extLst>
            <a:ext uri="{FF2B5EF4-FFF2-40B4-BE49-F238E27FC236}">
              <a16:creationId xmlns:a16="http://schemas.microsoft.com/office/drawing/2014/main" id="{00000000-0008-0000-4200-00002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4" name="Text Box 0">
          <a:extLst>
            <a:ext uri="{FF2B5EF4-FFF2-40B4-BE49-F238E27FC236}">
              <a16:creationId xmlns:a16="http://schemas.microsoft.com/office/drawing/2014/main" id="{00000000-0008-0000-4200-00002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5" name="Text Box 1">
          <a:extLst>
            <a:ext uri="{FF2B5EF4-FFF2-40B4-BE49-F238E27FC236}">
              <a16:creationId xmlns:a16="http://schemas.microsoft.com/office/drawing/2014/main" id="{00000000-0008-0000-4200-00002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6" name="Text Box 2">
          <a:extLst>
            <a:ext uri="{FF2B5EF4-FFF2-40B4-BE49-F238E27FC236}">
              <a16:creationId xmlns:a16="http://schemas.microsoft.com/office/drawing/2014/main" id="{00000000-0008-0000-4200-00002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7" name="Text Box 3">
          <a:extLst>
            <a:ext uri="{FF2B5EF4-FFF2-40B4-BE49-F238E27FC236}">
              <a16:creationId xmlns:a16="http://schemas.microsoft.com/office/drawing/2014/main" id="{00000000-0008-0000-4200-00002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8" name="Text Box 4">
          <a:extLst>
            <a:ext uri="{FF2B5EF4-FFF2-40B4-BE49-F238E27FC236}">
              <a16:creationId xmlns:a16="http://schemas.microsoft.com/office/drawing/2014/main" id="{00000000-0008-0000-4200-00002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9" name="Text Box 5">
          <a:extLst>
            <a:ext uri="{FF2B5EF4-FFF2-40B4-BE49-F238E27FC236}">
              <a16:creationId xmlns:a16="http://schemas.microsoft.com/office/drawing/2014/main" id="{00000000-0008-0000-4200-00002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40" name="Text Box 6">
          <a:extLst>
            <a:ext uri="{FF2B5EF4-FFF2-40B4-BE49-F238E27FC236}">
              <a16:creationId xmlns:a16="http://schemas.microsoft.com/office/drawing/2014/main" id="{00000000-0008-0000-4200-00002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41" name="Text Box 7">
          <a:extLst>
            <a:ext uri="{FF2B5EF4-FFF2-40B4-BE49-F238E27FC236}">
              <a16:creationId xmlns:a16="http://schemas.microsoft.com/office/drawing/2014/main" id="{00000000-0008-0000-4200-00002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2" name="Text Box 0">
          <a:extLst>
            <a:ext uri="{FF2B5EF4-FFF2-40B4-BE49-F238E27FC236}">
              <a16:creationId xmlns:a16="http://schemas.microsoft.com/office/drawing/2014/main" id="{00000000-0008-0000-4200-00002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3" name="Text Box 1">
          <a:extLst>
            <a:ext uri="{FF2B5EF4-FFF2-40B4-BE49-F238E27FC236}">
              <a16:creationId xmlns:a16="http://schemas.microsoft.com/office/drawing/2014/main" id="{00000000-0008-0000-4200-00002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4" name="Text Box 2">
          <a:extLst>
            <a:ext uri="{FF2B5EF4-FFF2-40B4-BE49-F238E27FC236}">
              <a16:creationId xmlns:a16="http://schemas.microsoft.com/office/drawing/2014/main" id="{00000000-0008-0000-4200-00002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5" name="Text Box 3">
          <a:extLst>
            <a:ext uri="{FF2B5EF4-FFF2-40B4-BE49-F238E27FC236}">
              <a16:creationId xmlns:a16="http://schemas.microsoft.com/office/drawing/2014/main" id="{00000000-0008-0000-4200-00002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6" name="Text Box 4">
          <a:extLst>
            <a:ext uri="{FF2B5EF4-FFF2-40B4-BE49-F238E27FC236}">
              <a16:creationId xmlns:a16="http://schemas.microsoft.com/office/drawing/2014/main" id="{00000000-0008-0000-4200-00002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7" name="Text Box 5">
          <a:extLst>
            <a:ext uri="{FF2B5EF4-FFF2-40B4-BE49-F238E27FC236}">
              <a16:creationId xmlns:a16="http://schemas.microsoft.com/office/drawing/2014/main" id="{00000000-0008-0000-4200-00002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8" name="Text Box 6">
          <a:extLst>
            <a:ext uri="{FF2B5EF4-FFF2-40B4-BE49-F238E27FC236}">
              <a16:creationId xmlns:a16="http://schemas.microsoft.com/office/drawing/2014/main" id="{00000000-0008-0000-4200-00003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9" name="Text Box 7">
          <a:extLst>
            <a:ext uri="{FF2B5EF4-FFF2-40B4-BE49-F238E27FC236}">
              <a16:creationId xmlns:a16="http://schemas.microsoft.com/office/drawing/2014/main" id="{00000000-0008-0000-4200-00003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0" name="Text Box 0">
          <a:extLst>
            <a:ext uri="{FF2B5EF4-FFF2-40B4-BE49-F238E27FC236}">
              <a16:creationId xmlns:a16="http://schemas.microsoft.com/office/drawing/2014/main" id="{00000000-0008-0000-4200-00003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1" name="Text Box 1">
          <a:extLst>
            <a:ext uri="{FF2B5EF4-FFF2-40B4-BE49-F238E27FC236}">
              <a16:creationId xmlns:a16="http://schemas.microsoft.com/office/drawing/2014/main" id="{00000000-0008-0000-4200-00003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2" name="Text Box 2">
          <a:extLst>
            <a:ext uri="{FF2B5EF4-FFF2-40B4-BE49-F238E27FC236}">
              <a16:creationId xmlns:a16="http://schemas.microsoft.com/office/drawing/2014/main" id="{00000000-0008-0000-4200-00003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3" name="Text Box 3">
          <a:extLst>
            <a:ext uri="{FF2B5EF4-FFF2-40B4-BE49-F238E27FC236}">
              <a16:creationId xmlns:a16="http://schemas.microsoft.com/office/drawing/2014/main" id="{00000000-0008-0000-4200-00003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4" name="Text Box 4">
          <a:extLst>
            <a:ext uri="{FF2B5EF4-FFF2-40B4-BE49-F238E27FC236}">
              <a16:creationId xmlns:a16="http://schemas.microsoft.com/office/drawing/2014/main" id="{00000000-0008-0000-4200-00003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5" name="Text Box 5">
          <a:extLst>
            <a:ext uri="{FF2B5EF4-FFF2-40B4-BE49-F238E27FC236}">
              <a16:creationId xmlns:a16="http://schemas.microsoft.com/office/drawing/2014/main" id="{00000000-0008-0000-4200-00003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6" name="Text Box 6">
          <a:extLst>
            <a:ext uri="{FF2B5EF4-FFF2-40B4-BE49-F238E27FC236}">
              <a16:creationId xmlns:a16="http://schemas.microsoft.com/office/drawing/2014/main" id="{00000000-0008-0000-4200-00003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7" name="Text Box 7">
          <a:extLst>
            <a:ext uri="{FF2B5EF4-FFF2-40B4-BE49-F238E27FC236}">
              <a16:creationId xmlns:a16="http://schemas.microsoft.com/office/drawing/2014/main" id="{00000000-0008-0000-4200-00003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58" name="Text Box 0">
          <a:extLst>
            <a:ext uri="{FF2B5EF4-FFF2-40B4-BE49-F238E27FC236}">
              <a16:creationId xmlns:a16="http://schemas.microsoft.com/office/drawing/2014/main" id="{00000000-0008-0000-4200-00003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59" name="Text Box 1">
          <a:extLst>
            <a:ext uri="{FF2B5EF4-FFF2-40B4-BE49-F238E27FC236}">
              <a16:creationId xmlns:a16="http://schemas.microsoft.com/office/drawing/2014/main" id="{00000000-0008-0000-4200-00003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0" name="Text Box 2">
          <a:extLst>
            <a:ext uri="{FF2B5EF4-FFF2-40B4-BE49-F238E27FC236}">
              <a16:creationId xmlns:a16="http://schemas.microsoft.com/office/drawing/2014/main" id="{00000000-0008-0000-4200-00003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1" name="Text Box 3">
          <a:extLst>
            <a:ext uri="{FF2B5EF4-FFF2-40B4-BE49-F238E27FC236}">
              <a16:creationId xmlns:a16="http://schemas.microsoft.com/office/drawing/2014/main" id="{00000000-0008-0000-4200-00003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2" name="Text Box 4">
          <a:extLst>
            <a:ext uri="{FF2B5EF4-FFF2-40B4-BE49-F238E27FC236}">
              <a16:creationId xmlns:a16="http://schemas.microsoft.com/office/drawing/2014/main" id="{00000000-0008-0000-4200-00003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3" name="Text Box 5">
          <a:extLst>
            <a:ext uri="{FF2B5EF4-FFF2-40B4-BE49-F238E27FC236}">
              <a16:creationId xmlns:a16="http://schemas.microsoft.com/office/drawing/2014/main" id="{00000000-0008-0000-4200-00003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4" name="Text Box 6">
          <a:extLst>
            <a:ext uri="{FF2B5EF4-FFF2-40B4-BE49-F238E27FC236}">
              <a16:creationId xmlns:a16="http://schemas.microsoft.com/office/drawing/2014/main" id="{00000000-0008-0000-4200-00004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5" name="Text Box 7">
          <a:extLst>
            <a:ext uri="{FF2B5EF4-FFF2-40B4-BE49-F238E27FC236}">
              <a16:creationId xmlns:a16="http://schemas.microsoft.com/office/drawing/2014/main" id="{00000000-0008-0000-4200-00004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6" name="Text Box 0">
          <a:extLst>
            <a:ext uri="{FF2B5EF4-FFF2-40B4-BE49-F238E27FC236}">
              <a16:creationId xmlns:a16="http://schemas.microsoft.com/office/drawing/2014/main" id="{00000000-0008-0000-4200-00004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7" name="Text Box 1">
          <a:extLst>
            <a:ext uri="{FF2B5EF4-FFF2-40B4-BE49-F238E27FC236}">
              <a16:creationId xmlns:a16="http://schemas.microsoft.com/office/drawing/2014/main" id="{00000000-0008-0000-4200-00004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8" name="Text Box 2">
          <a:extLst>
            <a:ext uri="{FF2B5EF4-FFF2-40B4-BE49-F238E27FC236}">
              <a16:creationId xmlns:a16="http://schemas.microsoft.com/office/drawing/2014/main" id="{00000000-0008-0000-4200-00004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9" name="Text Box 3">
          <a:extLst>
            <a:ext uri="{FF2B5EF4-FFF2-40B4-BE49-F238E27FC236}">
              <a16:creationId xmlns:a16="http://schemas.microsoft.com/office/drawing/2014/main" id="{00000000-0008-0000-4200-00004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0" name="Text Box 4">
          <a:extLst>
            <a:ext uri="{FF2B5EF4-FFF2-40B4-BE49-F238E27FC236}">
              <a16:creationId xmlns:a16="http://schemas.microsoft.com/office/drawing/2014/main" id="{00000000-0008-0000-4200-00004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1" name="Text Box 5">
          <a:extLst>
            <a:ext uri="{FF2B5EF4-FFF2-40B4-BE49-F238E27FC236}">
              <a16:creationId xmlns:a16="http://schemas.microsoft.com/office/drawing/2014/main" id="{00000000-0008-0000-4200-00004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2" name="Text Box 6">
          <a:extLst>
            <a:ext uri="{FF2B5EF4-FFF2-40B4-BE49-F238E27FC236}">
              <a16:creationId xmlns:a16="http://schemas.microsoft.com/office/drawing/2014/main" id="{00000000-0008-0000-4200-00004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3" name="Text Box 7">
          <a:extLst>
            <a:ext uri="{FF2B5EF4-FFF2-40B4-BE49-F238E27FC236}">
              <a16:creationId xmlns:a16="http://schemas.microsoft.com/office/drawing/2014/main" id="{00000000-0008-0000-4200-00004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4" name="Text Box 0">
          <a:extLst>
            <a:ext uri="{FF2B5EF4-FFF2-40B4-BE49-F238E27FC236}">
              <a16:creationId xmlns:a16="http://schemas.microsoft.com/office/drawing/2014/main" id="{00000000-0008-0000-4200-00004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5" name="Text Box 1">
          <a:extLst>
            <a:ext uri="{FF2B5EF4-FFF2-40B4-BE49-F238E27FC236}">
              <a16:creationId xmlns:a16="http://schemas.microsoft.com/office/drawing/2014/main" id="{00000000-0008-0000-4200-00004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6" name="Text Box 2">
          <a:extLst>
            <a:ext uri="{FF2B5EF4-FFF2-40B4-BE49-F238E27FC236}">
              <a16:creationId xmlns:a16="http://schemas.microsoft.com/office/drawing/2014/main" id="{00000000-0008-0000-4200-00004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7" name="Text Box 3">
          <a:extLst>
            <a:ext uri="{FF2B5EF4-FFF2-40B4-BE49-F238E27FC236}">
              <a16:creationId xmlns:a16="http://schemas.microsoft.com/office/drawing/2014/main" id="{00000000-0008-0000-4200-00004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8" name="Text Box 4">
          <a:extLst>
            <a:ext uri="{FF2B5EF4-FFF2-40B4-BE49-F238E27FC236}">
              <a16:creationId xmlns:a16="http://schemas.microsoft.com/office/drawing/2014/main" id="{00000000-0008-0000-4200-00004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9" name="Text Box 5">
          <a:extLst>
            <a:ext uri="{FF2B5EF4-FFF2-40B4-BE49-F238E27FC236}">
              <a16:creationId xmlns:a16="http://schemas.microsoft.com/office/drawing/2014/main" id="{00000000-0008-0000-4200-00004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80" name="Text Box 6">
          <a:extLst>
            <a:ext uri="{FF2B5EF4-FFF2-40B4-BE49-F238E27FC236}">
              <a16:creationId xmlns:a16="http://schemas.microsoft.com/office/drawing/2014/main" id="{00000000-0008-0000-4200-00005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81" name="Text Box 7">
          <a:extLst>
            <a:ext uri="{FF2B5EF4-FFF2-40B4-BE49-F238E27FC236}">
              <a16:creationId xmlns:a16="http://schemas.microsoft.com/office/drawing/2014/main" id="{00000000-0008-0000-4200-00005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2" name="Text Box 0">
          <a:extLst>
            <a:ext uri="{FF2B5EF4-FFF2-40B4-BE49-F238E27FC236}">
              <a16:creationId xmlns:a16="http://schemas.microsoft.com/office/drawing/2014/main" id="{00000000-0008-0000-4200-00005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3" name="Text Box 1">
          <a:extLst>
            <a:ext uri="{FF2B5EF4-FFF2-40B4-BE49-F238E27FC236}">
              <a16:creationId xmlns:a16="http://schemas.microsoft.com/office/drawing/2014/main" id="{00000000-0008-0000-4200-00005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4" name="Text Box 2">
          <a:extLst>
            <a:ext uri="{FF2B5EF4-FFF2-40B4-BE49-F238E27FC236}">
              <a16:creationId xmlns:a16="http://schemas.microsoft.com/office/drawing/2014/main" id="{00000000-0008-0000-4200-00005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5" name="Text Box 3">
          <a:extLst>
            <a:ext uri="{FF2B5EF4-FFF2-40B4-BE49-F238E27FC236}">
              <a16:creationId xmlns:a16="http://schemas.microsoft.com/office/drawing/2014/main" id="{00000000-0008-0000-4200-00005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6" name="Text Box 4">
          <a:extLst>
            <a:ext uri="{FF2B5EF4-FFF2-40B4-BE49-F238E27FC236}">
              <a16:creationId xmlns:a16="http://schemas.microsoft.com/office/drawing/2014/main" id="{00000000-0008-0000-4200-00005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7" name="Text Box 5">
          <a:extLst>
            <a:ext uri="{FF2B5EF4-FFF2-40B4-BE49-F238E27FC236}">
              <a16:creationId xmlns:a16="http://schemas.microsoft.com/office/drawing/2014/main" id="{00000000-0008-0000-4200-00005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8" name="Text Box 6">
          <a:extLst>
            <a:ext uri="{FF2B5EF4-FFF2-40B4-BE49-F238E27FC236}">
              <a16:creationId xmlns:a16="http://schemas.microsoft.com/office/drawing/2014/main" id="{00000000-0008-0000-4200-00005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9" name="Text Box 7">
          <a:extLst>
            <a:ext uri="{FF2B5EF4-FFF2-40B4-BE49-F238E27FC236}">
              <a16:creationId xmlns:a16="http://schemas.microsoft.com/office/drawing/2014/main" id="{00000000-0008-0000-4200-00005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0" name="Text Box 1">
          <a:extLst>
            <a:ext uri="{FF2B5EF4-FFF2-40B4-BE49-F238E27FC236}">
              <a16:creationId xmlns:a16="http://schemas.microsoft.com/office/drawing/2014/main" id="{00000000-0008-0000-4200-00005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1" name="Text Box 2">
          <a:extLst>
            <a:ext uri="{FF2B5EF4-FFF2-40B4-BE49-F238E27FC236}">
              <a16:creationId xmlns:a16="http://schemas.microsoft.com/office/drawing/2014/main" id="{00000000-0008-0000-4200-00005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2" name="Text Box 5">
          <a:extLst>
            <a:ext uri="{FF2B5EF4-FFF2-40B4-BE49-F238E27FC236}">
              <a16:creationId xmlns:a16="http://schemas.microsoft.com/office/drawing/2014/main" id="{00000000-0008-0000-4200-00005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3" name="Text Box 6">
          <a:extLst>
            <a:ext uri="{FF2B5EF4-FFF2-40B4-BE49-F238E27FC236}">
              <a16:creationId xmlns:a16="http://schemas.microsoft.com/office/drawing/2014/main" id="{00000000-0008-0000-4200-00005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4" name="Text Box 7">
          <a:extLst>
            <a:ext uri="{FF2B5EF4-FFF2-40B4-BE49-F238E27FC236}">
              <a16:creationId xmlns:a16="http://schemas.microsoft.com/office/drawing/2014/main" id="{00000000-0008-0000-4200-00005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5" name="Text Box 8">
          <a:extLst>
            <a:ext uri="{FF2B5EF4-FFF2-40B4-BE49-F238E27FC236}">
              <a16:creationId xmlns:a16="http://schemas.microsoft.com/office/drawing/2014/main" id="{00000000-0008-0000-4200-00005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6" name="Text Box 9">
          <a:extLst>
            <a:ext uri="{FF2B5EF4-FFF2-40B4-BE49-F238E27FC236}">
              <a16:creationId xmlns:a16="http://schemas.microsoft.com/office/drawing/2014/main" id="{00000000-0008-0000-4200-00006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7" name="Text Box 10">
          <a:extLst>
            <a:ext uri="{FF2B5EF4-FFF2-40B4-BE49-F238E27FC236}">
              <a16:creationId xmlns:a16="http://schemas.microsoft.com/office/drawing/2014/main" id="{00000000-0008-0000-4200-00006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98" name="Text Box 1">
          <a:extLst>
            <a:ext uri="{FF2B5EF4-FFF2-40B4-BE49-F238E27FC236}">
              <a16:creationId xmlns:a16="http://schemas.microsoft.com/office/drawing/2014/main" id="{00000000-0008-0000-4200-000062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99" name="Text Box 2">
          <a:extLst>
            <a:ext uri="{FF2B5EF4-FFF2-40B4-BE49-F238E27FC236}">
              <a16:creationId xmlns:a16="http://schemas.microsoft.com/office/drawing/2014/main" id="{00000000-0008-0000-4200-000063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0" name="Text Box 5">
          <a:extLst>
            <a:ext uri="{FF2B5EF4-FFF2-40B4-BE49-F238E27FC236}">
              <a16:creationId xmlns:a16="http://schemas.microsoft.com/office/drawing/2014/main" id="{00000000-0008-0000-4200-000064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1" name="Text Box 6">
          <a:extLst>
            <a:ext uri="{FF2B5EF4-FFF2-40B4-BE49-F238E27FC236}">
              <a16:creationId xmlns:a16="http://schemas.microsoft.com/office/drawing/2014/main" id="{00000000-0008-0000-4200-000065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2" name="Text Box 7">
          <a:extLst>
            <a:ext uri="{FF2B5EF4-FFF2-40B4-BE49-F238E27FC236}">
              <a16:creationId xmlns:a16="http://schemas.microsoft.com/office/drawing/2014/main" id="{00000000-0008-0000-4200-000066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3" name="Text Box 8">
          <a:extLst>
            <a:ext uri="{FF2B5EF4-FFF2-40B4-BE49-F238E27FC236}">
              <a16:creationId xmlns:a16="http://schemas.microsoft.com/office/drawing/2014/main" id="{00000000-0008-0000-4200-000067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4" name="Text Box 9">
          <a:extLst>
            <a:ext uri="{FF2B5EF4-FFF2-40B4-BE49-F238E27FC236}">
              <a16:creationId xmlns:a16="http://schemas.microsoft.com/office/drawing/2014/main" id="{00000000-0008-0000-4200-000068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5" name="Text Box 10">
          <a:extLst>
            <a:ext uri="{FF2B5EF4-FFF2-40B4-BE49-F238E27FC236}">
              <a16:creationId xmlns:a16="http://schemas.microsoft.com/office/drawing/2014/main" id="{00000000-0008-0000-4200-000069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238125</xdr:colOff>
      <xdr:row>21</xdr:row>
      <xdr:rowOff>0</xdr:rowOff>
    </xdr:from>
    <xdr:to>
      <xdr:col>16</xdr:col>
      <xdr:colOff>238125</xdr:colOff>
      <xdr:row>22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238125</xdr:colOff>
      <xdr:row>23</xdr:row>
      <xdr:rowOff>38100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4100-000003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238125</xdr:colOff>
      <xdr:row>24</xdr:row>
      <xdr:rowOff>38100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4100-000004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238125</xdr:colOff>
      <xdr:row>25</xdr:row>
      <xdr:rowOff>38100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0000000-0008-0000-4100-000005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21</xdr:row>
      <xdr:rowOff>0</xdr:rowOff>
    </xdr:from>
    <xdr:to>
      <xdr:col>16</xdr:col>
      <xdr:colOff>342900</xdr:colOff>
      <xdr:row>22</xdr:row>
      <xdr:rowOff>38100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00000000-0008-0000-4100-000006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342900</xdr:colOff>
      <xdr:row>23</xdr:row>
      <xdr:rowOff>76200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00000000-0008-0000-4100-000007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342900</xdr:colOff>
      <xdr:row>24</xdr:row>
      <xdr:rowOff>38100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00000000-0008-0000-4100-000008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342900</xdr:colOff>
      <xdr:row>25</xdr:row>
      <xdr:rowOff>38100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00000000-0008-0000-4100-000009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2" name="Text Box 0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4200-00000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00000000-0008-0000-4200-00000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4200-00000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id="{00000000-0008-0000-4200-00000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id="{00000000-0008-0000-4200-00000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8" name="Text Box 6">
          <a:extLst>
            <a:ext uri="{FF2B5EF4-FFF2-40B4-BE49-F238E27FC236}">
              <a16:creationId xmlns:a16="http://schemas.microsoft.com/office/drawing/2014/main" id="{00000000-0008-0000-4200-00000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9" name="Text Box 7">
          <a:extLst>
            <a:ext uri="{FF2B5EF4-FFF2-40B4-BE49-F238E27FC236}">
              <a16:creationId xmlns:a16="http://schemas.microsoft.com/office/drawing/2014/main" id="{00000000-0008-0000-4200-00000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0" name="Text Box 0">
          <a:extLst>
            <a:ext uri="{FF2B5EF4-FFF2-40B4-BE49-F238E27FC236}">
              <a16:creationId xmlns:a16="http://schemas.microsoft.com/office/drawing/2014/main" id="{00000000-0008-0000-4200-00000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id="{00000000-0008-0000-4200-00000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00000000-0008-0000-4200-00000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3" name="Text Box 3">
          <a:extLst>
            <a:ext uri="{FF2B5EF4-FFF2-40B4-BE49-F238E27FC236}">
              <a16:creationId xmlns:a16="http://schemas.microsoft.com/office/drawing/2014/main" id="{00000000-0008-0000-4200-00000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4" name="Text Box 4">
          <a:extLst>
            <a:ext uri="{FF2B5EF4-FFF2-40B4-BE49-F238E27FC236}">
              <a16:creationId xmlns:a16="http://schemas.microsoft.com/office/drawing/2014/main" id="{00000000-0008-0000-4200-00000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5" name="Text Box 5">
          <a:extLst>
            <a:ext uri="{FF2B5EF4-FFF2-40B4-BE49-F238E27FC236}">
              <a16:creationId xmlns:a16="http://schemas.microsoft.com/office/drawing/2014/main" id="{00000000-0008-0000-4200-00000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6" name="Text Box 6">
          <a:extLst>
            <a:ext uri="{FF2B5EF4-FFF2-40B4-BE49-F238E27FC236}">
              <a16:creationId xmlns:a16="http://schemas.microsoft.com/office/drawing/2014/main" id="{00000000-0008-0000-4200-00001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7" name="Text Box 7">
          <a:extLst>
            <a:ext uri="{FF2B5EF4-FFF2-40B4-BE49-F238E27FC236}">
              <a16:creationId xmlns:a16="http://schemas.microsoft.com/office/drawing/2014/main" id="{00000000-0008-0000-4200-00001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18" name="Text Box 0">
          <a:extLst>
            <a:ext uri="{FF2B5EF4-FFF2-40B4-BE49-F238E27FC236}">
              <a16:creationId xmlns:a16="http://schemas.microsoft.com/office/drawing/2014/main" id="{00000000-0008-0000-4200-00001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19" name="Text Box 1">
          <a:extLst>
            <a:ext uri="{FF2B5EF4-FFF2-40B4-BE49-F238E27FC236}">
              <a16:creationId xmlns:a16="http://schemas.microsoft.com/office/drawing/2014/main" id="{00000000-0008-0000-4200-00001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0" name="Text Box 2">
          <a:extLst>
            <a:ext uri="{FF2B5EF4-FFF2-40B4-BE49-F238E27FC236}">
              <a16:creationId xmlns:a16="http://schemas.microsoft.com/office/drawing/2014/main" id="{00000000-0008-0000-4200-00001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1" name="Text Box 3">
          <a:extLst>
            <a:ext uri="{FF2B5EF4-FFF2-40B4-BE49-F238E27FC236}">
              <a16:creationId xmlns:a16="http://schemas.microsoft.com/office/drawing/2014/main" id="{00000000-0008-0000-4200-00001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2" name="Text Box 4">
          <a:extLst>
            <a:ext uri="{FF2B5EF4-FFF2-40B4-BE49-F238E27FC236}">
              <a16:creationId xmlns:a16="http://schemas.microsoft.com/office/drawing/2014/main" id="{00000000-0008-0000-4200-00001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3" name="Text Box 5">
          <a:extLst>
            <a:ext uri="{FF2B5EF4-FFF2-40B4-BE49-F238E27FC236}">
              <a16:creationId xmlns:a16="http://schemas.microsoft.com/office/drawing/2014/main" id="{00000000-0008-0000-4200-00001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4" name="Text Box 6">
          <a:extLst>
            <a:ext uri="{FF2B5EF4-FFF2-40B4-BE49-F238E27FC236}">
              <a16:creationId xmlns:a16="http://schemas.microsoft.com/office/drawing/2014/main" id="{00000000-0008-0000-4200-00001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5" name="Text Box 7">
          <a:extLst>
            <a:ext uri="{FF2B5EF4-FFF2-40B4-BE49-F238E27FC236}">
              <a16:creationId xmlns:a16="http://schemas.microsoft.com/office/drawing/2014/main" id="{00000000-0008-0000-4200-00001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6" name="Text Box 0">
          <a:extLst>
            <a:ext uri="{FF2B5EF4-FFF2-40B4-BE49-F238E27FC236}">
              <a16:creationId xmlns:a16="http://schemas.microsoft.com/office/drawing/2014/main" id="{00000000-0008-0000-4200-00001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7" name="Text Box 1">
          <a:extLst>
            <a:ext uri="{FF2B5EF4-FFF2-40B4-BE49-F238E27FC236}">
              <a16:creationId xmlns:a16="http://schemas.microsoft.com/office/drawing/2014/main" id="{00000000-0008-0000-4200-00001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8" name="Text Box 2">
          <a:extLst>
            <a:ext uri="{FF2B5EF4-FFF2-40B4-BE49-F238E27FC236}">
              <a16:creationId xmlns:a16="http://schemas.microsoft.com/office/drawing/2014/main" id="{00000000-0008-0000-4200-00001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9" name="Text Box 3">
          <a:extLst>
            <a:ext uri="{FF2B5EF4-FFF2-40B4-BE49-F238E27FC236}">
              <a16:creationId xmlns:a16="http://schemas.microsoft.com/office/drawing/2014/main" id="{00000000-0008-0000-4200-00001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0" name="Text Box 4">
          <a:extLst>
            <a:ext uri="{FF2B5EF4-FFF2-40B4-BE49-F238E27FC236}">
              <a16:creationId xmlns:a16="http://schemas.microsoft.com/office/drawing/2014/main" id="{00000000-0008-0000-4200-00001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1" name="Text Box 5">
          <a:extLst>
            <a:ext uri="{FF2B5EF4-FFF2-40B4-BE49-F238E27FC236}">
              <a16:creationId xmlns:a16="http://schemas.microsoft.com/office/drawing/2014/main" id="{00000000-0008-0000-4200-00001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2" name="Text Box 6">
          <a:extLst>
            <a:ext uri="{FF2B5EF4-FFF2-40B4-BE49-F238E27FC236}">
              <a16:creationId xmlns:a16="http://schemas.microsoft.com/office/drawing/2014/main" id="{00000000-0008-0000-4200-00002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3" name="Text Box 7">
          <a:extLst>
            <a:ext uri="{FF2B5EF4-FFF2-40B4-BE49-F238E27FC236}">
              <a16:creationId xmlns:a16="http://schemas.microsoft.com/office/drawing/2014/main" id="{00000000-0008-0000-4200-00002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4" name="Text Box 0">
          <a:extLst>
            <a:ext uri="{FF2B5EF4-FFF2-40B4-BE49-F238E27FC236}">
              <a16:creationId xmlns:a16="http://schemas.microsoft.com/office/drawing/2014/main" id="{00000000-0008-0000-4200-00002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5" name="Text Box 1">
          <a:extLst>
            <a:ext uri="{FF2B5EF4-FFF2-40B4-BE49-F238E27FC236}">
              <a16:creationId xmlns:a16="http://schemas.microsoft.com/office/drawing/2014/main" id="{00000000-0008-0000-4200-00002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6" name="Text Box 2">
          <a:extLst>
            <a:ext uri="{FF2B5EF4-FFF2-40B4-BE49-F238E27FC236}">
              <a16:creationId xmlns:a16="http://schemas.microsoft.com/office/drawing/2014/main" id="{00000000-0008-0000-4200-00002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7" name="Text Box 3">
          <a:extLst>
            <a:ext uri="{FF2B5EF4-FFF2-40B4-BE49-F238E27FC236}">
              <a16:creationId xmlns:a16="http://schemas.microsoft.com/office/drawing/2014/main" id="{00000000-0008-0000-4200-00002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8" name="Text Box 4">
          <a:extLst>
            <a:ext uri="{FF2B5EF4-FFF2-40B4-BE49-F238E27FC236}">
              <a16:creationId xmlns:a16="http://schemas.microsoft.com/office/drawing/2014/main" id="{00000000-0008-0000-4200-00002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9" name="Text Box 5">
          <a:extLst>
            <a:ext uri="{FF2B5EF4-FFF2-40B4-BE49-F238E27FC236}">
              <a16:creationId xmlns:a16="http://schemas.microsoft.com/office/drawing/2014/main" id="{00000000-0008-0000-4200-00002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40" name="Text Box 6">
          <a:extLst>
            <a:ext uri="{FF2B5EF4-FFF2-40B4-BE49-F238E27FC236}">
              <a16:creationId xmlns:a16="http://schemas.microsoft.com/office/drawing/2014/main" id="{00000000-0008-0000-4200-00002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41" name="Text Box 7">
          <a:extLst>
            <a:ext uri="{FF2B5EF4-FFF2-40B4-BE49-F238E27FC236}">
              <a16:creationId xmlns:a16="http://schemas.microsoft.com/office/drawing/2014/main" id="{00000000-0008-0000-4200-00002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2" name="Text Box 0">
          <a:extLst>
            <a:ext uri="{FF2B5EF4-FFF2-40B4-BE49-F238E27FC236}">
              <a16:creationId xmlns:a16="http://schemas.microsoft.com/office/drawing/2014/main" id="{00000000-0008-0000-4200-00002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3" name="Text Box 1">
          <a:extLst>
            <a:ext uri="{FF2B5EF4-FFF2-40B4-BE49-F238E27FC236}">
              <a16:creationId xmlns:a16="http://schemas.microsoft.com/office/drawing/2014/main" id="{00000000-0008-0000-4200-00002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4" name="Text Box 2">
          <a:extLst>
            <a:ext uri="{FF2B5EF4-FFF2-40B4-BE49-F238E27FC236}">
              <a16:creationId xmlns:a16="http://schemas.microsoft.com/office/drawing/2014/main" id="{00000000-0008-0000-4200-00002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5" name="Text Box 3">
          <a:extLst>
            <a:ext uri="{FF2B5EF4-FFF2-40B4-BE49-F238E27FC236}">
              <a16:creationId xmlns:a16="http://schemas.microsoft.com/office/drawing/2014/main" id="{00000000-0008-0000-4200-00002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6" name="Text Box 4">
          <a:extLst>
            <a:ext uri="{FF2B5EF4-FFF2-40B4-BE49-F238E27FC236}">
              <a16:creationId xmlns:a16="http://schemas.microsoft.com/office/drawing/2014/main" id="{00000000-0008-0000-4200-00002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7" name="Text Box 5">
          <a:extLst>
            <a:ext uri="{FF2B5EF4-FFF2-40B4-BE49-F238E27FC236}">
              <a16:creationId xmlns:a16="http://schemas.microsoft.com/office/drawing/2014/main" id="{00000000-0008-0000-4200-00002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8" name="Text Box 6">
          <a:extLst>
            <a:ext uri="{FF2B5EF4-FFF2-40B4-BE49-F238E27FC236}">
              <a16:creationId xmlns:a16="http://schemas.microsoft.com/office/drawing/2014/main" id="{00000000-0008-0000-4200-00003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9" name="Text Box 7">
          <a:extLst>
            <a:ext uri="{FF2B5EF4-FFF2-40B4-BE49-F238E27FC236}">
              <a16:creationId xmlns:a16="http://schemas.microsoft.com/office/drawing/2014/main" id="{00000000-0008-0000-4200-00003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0" name="Text Box 0">
          <a:extLst>
            <a:ext uri="{FF2B5EF4-FFF2-40B4-BE49-F238E27FC236}">
              <a16:creationId xmlns:a16="http://schemas.microsoft.com/office/drawing/2014/main" id="{00000000-0008-0000-4200-00003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1" name="Text Box 1">
          <a:extLst>
            <a:ext uri="{FF2B5EF4-FFF2-40B4-BE49-F238E27FC236}">
              <a16:creationId xmlns:a16="http://schemas.microsoft.com/office/drawing/2014/main" id="{00000000-0008-0000-4200-00003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2" name="Text Box 2">
          <a:extLst>
            <a:ext uri="{FF2B5EF4-FFF2-40B4-BE49-F238E27FC236}">
              <a16:creationId xmlns:a16="http://schemas.microsoft.com/office/drawing/2014/main" id="{00000000-0008-0000-4200-00003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3" name="Text Box 3">
          <a:extLst>
            <a:ext uri="{FF2B5EF4-FFF2-40B4-BE49-F238E27FC236}">
              <a16:creationId xmlns:a16="http://schemas.microsoft.com/office/drawing/2014/main" id="{00000000-0008-0000-4200-00003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4" name="Text Box 4">
          <a:extLst>
            <a:ext uri="{FF2B5EF4-FFF2-40B4-BE49-F238E27FC236}">
              <a16:creationId xmlns:a16="http://schemas.microsoft.com/office/drawing/2014/main" id="{00000000-0008-0000-4200-00003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5" name="Text Box 5">
          <a:extLst>
            <a:ext uri="{FF2B5EF4-FFF2-40B4-BE49-F238E27FC236}">
              <a16:creationId xmlns:a16="http://schemas.microsoft.com/office/drawing/2014/main" id="{00000000-0008-0000-4200-00003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6" name="Text Box 6">
          <a:extLst>
            <a:ext uri="{FF2B5EF4-FFF2-40B4-BE49-F238E27FC236}">
              <a16:creationId xmlns:a16="http://schemas.microsoft.com/office/drawing/2014/main" id="{00000000-0008-0000-4200-00003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7" name="Text Box 7">
          <a:extLst>
            <a:ext uri="{FF2B5EF4-FFF2-40B4-BE49-F238E27FC236}">
              <a16:creationId xmlns:a16="http://schemas.microsoft.com/office/drawing/2014/main" id="{00000000-0008-0000-4200-00003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58" name="Text Box 0">
          <a:extLst>
            <a:ext uri="{FF2B5EF4-FFF2-40B4-BE49-F238E27FC236}">
              <a16:creationId xmlns:a16="http://schemas.microsoft.com/office/drawing/2014/main" id="{00000000-0008-0000-4200-00003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59" name="Text Box 1">
          <a:extLst>
            <a:ext uri="{FF2B5EF4-FFF2-40B4-BE49-F238E27FC236}">
              <a16:creationId xmlns:a16="http://schemas.microsoft.com/office/drawing/2014/main" id="{00000000-0008-0000-4200-00003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0" name="Text Box 2">
          <a:extLst>
            <a:ext uri="{FF2B5EF4-FFF2-40B4-BE49-F238E27FC236}">
              <a16:creationId xmlns:a16="http://schemas.microsoft.com/office/drawing/2014/main" id="{00000000-0008-0000-4200-00003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1" name="Text Box 3">
          <a:extLst>
            <a:ext uri="{FF2B5EF4-FFF2-40B4-BE49-F238E27FC236}">
              <a16:creationId xmlns:a16="http://schemas.microsoft.com/office/drawing/2014/main" id="{00000000-0008-0000-4200-00003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2" name="Text Box 4">
          <a:extLst>
            <a:ext uri="{FF2B5EF4-FFF2-40B4-BE49-F238E27FC236}">
              <a16:creationId xmlns:a16="http://schemas.microsoft.com/office/drawing/2014/main" id="{00000000-0008-0000-4200-00003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3" name="Text Box 5">
          <a:extLst>
            <a:ext uri="{FF2B5EF4-FFF2-40B4-BE49-F238E27FC236}">
              <a16:creationId xmlns:a16="http://schemas.microsoft.com/office/drawing/2014/main" id="{00000000-0008-0000-4200-00003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4" name="Text Box 6">
          <a:extLst>
            <a:ext uri="{FF2B5EF4-FFF2-40B4-BE49-F238E27FC236}">
              <a16:creationId xmlns:a16="http://schemas.microsoft.com/office/drawing/2014/main" id="{00000000-0008-0000-4200-00004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5" name="Text Box 7">
          <a:extLst>
            <a:ext uri="{FF2B5EF4-FFF2-40B4-BE49-F238E27FC236}">
              <a16:creationId xmlns:a16="http://schemas.microsoft.com/office/drawing/2014/main" id="{00000000-0008-0000-4200-00004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6" name="Text Box 0">
          <a:extLst>
            <a:ext uri="{FF2B5EF4-FFF2-40B4-BE49-F238E27FC236}">
              <a16:creationId xmlns:a16="http://schemas.microsoft.com/office/drawing/2014/main" id="{00000000-0008-0000-4200-00004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7" name="Text Box 1">
          <a:extLst>
            <a:ext uri="{FF2B5EF4-FFF2-40B4-BE49-F238E27FC236}">
              <a16:creationId xmlns:a16="http://schemas.microsoft.com/office/drawing/2014/main" id="{00000000-0008-0000-4200-00004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8" name="Text Box 2">
          <a:extLst>
            <a:ext uri="{FF2B5EF4-FFF2-40B4-BE49-F238E27FC236}">
              <a16:creationId xmlns:a16="http://schemas.microsoft.com/office/drawing/2014/main" id="{00000000-0008-0000-4200-00004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9" name="Text Box 3">
          <a:extLst>
            <a:ext uri="{FF2B5EF4-FFF2-40B4-BE49-F238E27FC236}">
              <a16:creationId xmlns:a16="http://schemas.microsoft.com/office/drawing/2014/main" id="{00000000-0008-0000-4200-00004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0" name="Text Box 4">
          <a:extLst>
            <a:ext uri="{FF2B5EF4-FFF2-40B4-BE49-F238E27FC236}">
              <a16:creationId xmlns:a16="http://schemas.microsoft.com/office/drawing/2014/main" id="{00000000-0008-0000-4200-00004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1" name="Text Box 5">
          <a:extLst>
            <a:ext uri="{FF2B5EF4-FFF2-40B4-BE49-F238E27FC236}">
              <a16:creationId xmlns:a16="http://schemas.microsoft.com/office/drawing/2014/main" id="{00000000-0008-0000-4200-00004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2" name="Text Box 6">
          <a:extLst>
            <a:ext uri="{FF2B5EF4-FFF2-40B4-BE49-F238E27FC236}">
              <a16:creationId xmlns:a16="http://schemas.microsoft.com/office/drawing/2014/main" id="{00000000-0008-0000-4200-00004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3" name="Text Box 7">
          <a:extLst>
            <a:ext uri="{FF2B5EF4-FFF2-40B4-BE49-F238E27FC236}">
              <a16:creationId xmlns:a16="http://schemas.microsoft.com/office/drawing/2014/main" id="{00000000-0008-0000-4200-00004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4" name="Text Box 0">
          <a:extLst>
            <a:ext uri="{FF2B5EF4-FFF2-40B4-BE49-F238E27FC236}">
              <a16:creationId xmlns:a16="http://schemas.microsoft.com/office/drawing/2014/main" id="{00000000-0008-0000-4200-00004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5" name="Text Box 1">
          <a:extLst>
            <a:ext uri="{FF2B5EF4-FFF2-40B4-BE49-F238E27FC236}">
              <a16:creationId xmlns:a16="http://schemas.microsoft.com/office/drawing/2014/main" id="{00000000-0008-0000-4200-00004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6" name="Text Box 2">
          <a:extLst>
            <a:ext uri="{FF2B5EF4-FFF2-40B4-BE49-F238E27FC236}">
              <a16:creationId xmlns:a16="http://schemas.microsoft.com/office/drawing/2014/main" id="{00000000-0008-0000-4200-00004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7" name="Text Box 3">
          <a:extLst>
            <a:ext uri="{FF2B5EF4-FFF2-40B4-BE49-F238E27FC236}">
              <a16:creationId xmlns:a16="http://schemas.microsoft.com/office/drawing/2014/main" id="{00000000-0008-0000-4200-00004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8" name="Text Box 4">
          <a:extLst>
            <a:ext uri="{FF2B5EF4-FFF2-40B4-BE49-F238E27FC236}">
              <a16:creationId xmlns:a16="http://schemas.microsoft.com/office/drawing/2014/main" id="{00000000-0008-0000-4200-00004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9" name="Text Box 5">
          <a:extLst>
            <a:ext uri="{FF2B5EF4-FFF2-40B4-BE49-F238E27FC236}">
              <a16:creationId xmlns:a16="http://schemas.microsoft.com/office/drawing/2014/main" id="{00000000-0008-0000-4200-00004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80" name="Text Box 6">
          <a:extLst>
            <a:ext uri="{FF2B5EF4-FFF2-40B4-BE49-F238E27FC236}">
              <a16:creationId xmlns:a16="http://schemas.microsoft.com/office/drawing/2014/main" id="{00000000-0008-0000-4200-00005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81" name="Text Box 7">
          <a:extLst>
            <a:ext uri="{FF2B5EF4-FFF2-40B4-BE49-F238E27FC236}">
              <a16:creationId xmlns:a16="http://schemas.microsoft.com/office/drawing/2014/main" id="{00000000-0008-0000-4200-00005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2" name="Text Box 0">
          <a:extLst>
            <a:ext uri="{FF2B5EF4-FFF2-40B4-BE49-F238E27FC236}">
              <a16:creationId xmlns:a16="http://schemas.microsoft.com/office/drawing/2014/main" id="{00000000-0008-0000-4200-00005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3" name="Text Box 1">
          <a:extLst>
            <a:ext uri="{FF2B5EF4-FFF2-40B4-BE49-F238E27FC236}">
              <a16:creationId xmlns:a16="http://schemas.microsoft.com/office/drawing/2014/main" id="{00000000-0008-0000-4200-00005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4" name="Text Box 2">
          <a:extLst>
            <a:ext uri="{FF2B5EF4-FFF2-40B4-BE49-F238E27FC236}">
              <a16:creationId xmlns:a16="http://schemas.microsoft.com/office/drawing/2014/main" id="{00000000-0008-0000-4200-00005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5" name="Text Box 3">
          <a:extLst>
            <a:ext uri="{FF2B5EF4-FFF2-40B4-BE49-F238E27FC236}">
              <a16:creationId xmlns:a16="http://schemas.microsoft.com/office/drawing/2014/main" id="{00000000-0008-0000-4200-00005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6" name="Text Box 4">
          <a:extLst>
            <a:ext uri="{FF2B5EF4-FFF2-40B4-BE49-F238E27FC236}">
              <a16:creationId xmlns:a16="http://schemas.microsoft.com/office/drawing/2014/main" id="{00000000-0008-0000-4200-00005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7" name="Text Box 5">
          <a:extLst>
            <a:ext uri="{FF2B5EF4-FFF2-40B4-BE49-F238E27FC236}">
              <a16:creationId xmlns:a16="http://schemas.microsoft.com/office/drawing/2014/main" id="{00000000-0008-0000-4200-00005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8" name="Text Box 6">
          <a:extLst>
            <a:ext uri="{FF2B5EF4-FFF2-40B4-BE49-F238E27FC236}">
              <a16:creationId xmlns:a16="http://schemas.microsoft.com/office/drawing/2014/main" id="{00000000-0008-0000-4200-00005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9" name="Text Box 7">
          <a:extLst>
            <a:ext uri="{FF2B5EF4-FFF2-40B4-BE49-F238E27FC236}">
              <a16:creationId xmlns:a16="http://schemas.microsoft.com/office/drawing/2014/main" id="{00000000-0008-0000-4200-00005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0" name="Text Box 1">
          <a:extLst>
            <a:ext uri="{FF2B5EF4-FFF2-40B4-BE49-F238E27FC236}">
              <a16:creationId xmlns:a16="http://schemas.microsoft.com/office/drawing/2014/main" id="{00000000-0008-0000-4200-00005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1" name="Text Box 2">
          <a:extLst>
            <a:ext uri="{FF2B5EF4-FFF2-40B4-BE49-F238E27FC236}">
              <a16:creationId xmlns:a16="http://schemas.microsoft.com/office/drawing/2014/main" id="{00000000-0008-0000-4200-00005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2" name="Text Box 5">
          <a:extLst>
            <a:ext uri="{FF2B5EF4-FFF2-40B4-BE49-F238E27FC236}">
              <a16:creationId xmlns:a16="http://schemas.microsoft.com/office/drawing/2014/main" id="{00000000-0008-0000-4200-00005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3" name="Text Box 6">
          <a:extLst>
            <a:ext uri="{FF2B5EF4-FFF2-40B4-BE49-F238E27FC236}">
              <a16:creationId xmlns:a16="http://schemas.microsoft.com/office/drawing/2014/main" id="{00000000-0008-0000-4200-00005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4" name="Text Box 7">
          <a:extLst>
            <a:ext uri="{FF2B5EF4-FFF2-40B4-BE49-F238E27FC236}">
              <a16:creationId xmlns:a16="http://schemas.microsoft.com/office/drawing/2014/main" id="{00000000-0008-0000-4200-00005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5" name="Text Box 8">
          <a:extLst>
            <a:ext uri="{FF2B5EF4-FFF2-40B4-BE49-F238E27FC236}">
              <a16:creationId xmlns:a16="http://schemas.microsoft.com/office/drawing/2014/main" id="{00000000-0008-0000-4200-00005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6" name="Text Box 9">
          <a:extLst>
            <a:ext uri="{FF2B5EF4-FFF2-40B4-BE49-F238E27FC236}">
              <a16:creationId xmlns:a16="http://schemas.microsoft.com/office/drawing/2014/main" id="{00000000-0008-0000-4200-00006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7" name="Text Box 10">
          <a:extLst>
            <a:ext uri="{FF2B5EF4-FFF2-40B4-BE49-F238E27FC236}">
              <a16:creationId xmlns:a16="http://schemas.microsoft.com/office/drawing/2014/main" id="{00000000-0008-0000-4200-00006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98" name="Text Box 1">
          <a:extLst>
            <a:ext uri="{FF2B5EF4-FFF2-40B4-BE49-F238E27FC236}">
              <a16:creationId xmlns:a16="http://schemas.microsoft.com/office/drawing/2014/main" id="{00000000-0008-0000-4200-000062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99" name="Text Box 2">
          <a:extLst>
            <a:ext uri="{FF2B5EF4-FFF2-40B4-BE49-F238E27FC236}">
              <a16:creationId xmlns:a16="http://schemas.microsoft.com/office/drawing/2014/main" id="{00000000-0008-0000-4200-000063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0" name="Text Box 5">
          <a:extLst>
            <a:ext uri="{FF2B5EF4-FFF2-40B4-BE49-F238E27FC236}">
              <a16:creationId xmlns:a16="http://schemas.microsoft.com/office/drawing/2014/main" id="{00000000-0008-0000-4200-000064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1" name="Text Box 6">
          <a:extLst>
            <a:ext uri="{FF2B5EF4-FFF2-40B4-BE49-F238E27FC236}">
              <a16:creationId xmlns:a16="http://schemas.microsoft.com/office/drawing/2014/main" id="{00000000-0008-0000-4200-000065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2" name="Text Box 7">
          <a:extLst>
            <a:ext uri="{FF2B5EF4-FFF2-40B4-BE49-F238E27FC236}">
              <a16:creationId xmlns:a16="http://schemas.microsoft.com/office/drawing/2014/main" id="{00000000-0008-0000-4200-000066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3" name="Text Box 8">
          <a:extLst>
            <a:ext uri="{FF2B5EF4-FFF2-40B4-BE49-F238E27FC236}">
              <a16:creationId xmlns:a16="http://schemas.microsoft.com/office/drawing/2014/main" id="{00000000-0008-0000-4200-000067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4" name="Text Box 9">
          <a:extLst>
            <a:ext uri="{FF2B5EF4-FFF2-40B4-BE49-F238E27FC236}">
              <a16:creationId xmlns:a16="http://schemas.microsoft.com/office/drawing/2014/main" id="{00000000-0008-0000-4200-000068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5" name="Text Box 10">
          <a:extLst>
            <a:ext uri="{FF2B5EF4-FFF2-40B4-BE49-F238E27FC236}">
              <a16:creationId xmlns:a16="http://schemas.microsoft.com/office/drawing/2014/main" id="{00000000-0008-0000-4200-000069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2" name="Text Box 0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4200-00000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00000000-0008-0000-4200-00000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4200-00000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id="{00000000-0008-0000-4200-00000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id="{00000000-0008-0000-4200-00000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8" name="Text Box 6">
          <a:extLst>
            <a:ext uri="{FF2B5EF4-FFF2-40B4-BE49-F238E27FC236}">
              <a16:creationId xmlns:a16="http://schemas.microsoft.com/office/drawing/2014/main" id="{00000000-0008-0000-4200-00000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9" name="Text Box 7">
          <a:extLst>
            <a:ext uri="{FF2B5EF4-FFF2-40B4-BE49-F238E27FC236}">
              <a16:creationId xmlns:a16="http://schemas.microsoft.com/office/drawing/2014/main" id="{00000000-0008-0000-4200-00000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0" name="Text Box 0">
          <a:extLst>
            <a:ext uri="{FF2B5EF4-FFF2-40B4-BE49-F238E27FC236}">
              <a16:creationId xmlns:a16="http://schemas.microsoft.com/office/drawing/2014/main" id="{00000000-0008-0000-4200-00000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id="{00000000-0008-0000-4200-00000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00000000-0008-0000-4200-00000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3" name="Text Box 3">
          <a:extLst>
            <a:ext uri="{FF2B5EF4-FFF2-40B4-BE49-F238E27FC236}">
              <a16:creationId xmlns:a16="http://schemas.microsoft.com/office/drawing/2014/main" id="{00000000-0008-0000-4200-00000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4" name="Text Box 4">
          <a:extLst>
            <a:ext uri="{FF2B5EF4-FFF2-40B4-BE49-F238E27FC236}">
              <a16:creationId xmlns:a16="http://schemas.microsoft.com/office/drawing/2014/main" id="{00000000-0008-0000-4200-00000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5" name="Text Box 5">
          <a:extLst>
            <a:ext uri="{FF2B5EF4-FFF2-40B4-BE49-F238E27FC236}">
              <a16:creationId xmlns:a16="http://schemas.microsoft.com/office/drawing/2014/main" id="{00000000-0008-0000-4200-00000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6" name="Text Box 6">
          <a:extLst>
            <a:ext uri="{FF2B5EF4-FFF2-40B4-BE49-F238E27FC236}">
              <a16:creationId xmlns:a16="http://schemas.microsoft.com/office/drawing/2014/main" id="{00000000-0008-0000-4200-00001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7" name="Text Box 7">
          <a:extLst>
            <a:ext uri="{FF2B5EF4-FFF2-40B4-BE49-F238E27FC236}">
              <a16:creationId xmlns:a16="http://schemas.microsoft.com/office/drawing/2014/main" id="{00000000-0008-0000-4200-00001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18" name="Text Box 0">
          <a:extLst>
            <a:ext uri="{FF2B5EF4-FFF2-40B4-BE49-F238E27FC236}">
              <a16:creationId xmlns:a16="http://schemas.microsoft.com/office/drawing/2014/main" id="{00000000-0008-0000-4200-00001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19" name="Text Box 1">
          <a:extLst>
            <a:ext uri="{FF2B5EF4-FFF2-40B4-BE49-F238E27FC236}">
              <a16:creationId xmlns:a16="http://schemas.microsoft.com/office/drawing/2014/main" id="{00000000-0008-0000-4200-00001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0" name="Text Box 2">
          <a:extLst>
            <a:ext uri="{FF2B5EF4-FFF2-40B4-BE49-F238E27FC236}">
              <a16:creationId xmlns:a16="http://schemas.microsoft.com/office/drawing/2014/main" id="{00000000-0008-0000-4200-00001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1" name="Text Box 3">
          <a:extLst>
            <a:ext uri="{FF2B5EF4-FFF2-40B4-BE49-F238E27FC236}">
              <a16:creationId xmlns:a16="http://schemas.microsoft.com/office/drawing/2014/main" id="{00000000-0008-0000-4200-00001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2" name="Text Box 4">
          <a:extLst>
            <a:ext uri="{FF2B5EF4-FFF2-40B4-BE49-F238E27FC236}">
              <a16:creationId xmlns:a16="http://schemas.microsoft.com/office/drawing/2014/main" id="{00000000-0008-0000-4200-00001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3" name="Text Box 5">
          <a:extLst>
            <a:ext uri="{FF2B5EF4-FFF2-40B4-BE49-F238E27FC236}">
              <a16:creationId xmlns:a16="http://schemas.microsoft.com/office/drawing/2014/main" id="{00000000-0008-0000-4200-00001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4" name="Text Box 6">
          <a:extLst>
            <a:ext uri="{FF2B5EF4-FFF2-40B4-BE49-F238E27FC236}">
              <a16:creationId xmlns:a16="http://schemas.microsoft.com/office/drawing/2014/main" id="{00000000-0008-0000-4200-00001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5" name="Text Box 7">
          <a:extLst>
            <a:ext uri="{FF2B5EF4-FFF2-40B4-BE49-F238E27FC236}">
              <a16:creationId xmlns:a16="http://schemas.microsoft.com/office/drawing/2014/main" id="{00000000-0008-0000-4200-00001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6" name="Text Box 0">
          <a:extLst>
            <a:ext uri="{FF2B5EF4-FFF2-40B4-BE49-F238E27FC236}">
              <a16:creationId xmlns:a16="http://schemas.microsoft.com/office/drawing/2014/main" id="{00000000-0008-0000-4200-00001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7" name="Text Box 1">
          <a:extLst>
            <a:ext uri="{FF2B5EF4-FFF2-40B4-BE49-F238E27FC236}">
              <a16:creationId xmlns:a16="http://schemas.microsoft.com/office/drawing/2014/main" id="{00000000-0008-0000-4200-00001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8" name="Text Box 2">
          <a:extLst>
            <a:ext uri="{FF2B5EF4-FFF2-40B4-BE49-F238E27FC236}">
              <a16:creationId xmlns:a16="http://schemas.microsoft.com/office/drawing/2014/main" id="{00000000-0008-0000-4200-00001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9" name="Text Box 3">
          <a:extLst>
            <a:ext uri="{FF2B5EF4-FFF2-40B4-BE49-F238E27FC236}">
              <a16:creationId xmlns:a16="http://schemas.microsoft.com/office/drawing/2014/main" id="{00000000-0008-0000-4200-00001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0" name="Text Box 4">
          <a:extLst>
            <a:ext uri="{FF2B5EF4-FFF2-40B4-BE49-F238E27FC236}">
              <a16:creationId xmlns:a16="http://schemas.microsoft.com/office/drawing/2014/main" id="{00000000-0008-0000-4200-00001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1" name="Text Box 5">
          <a:extLst>
            <a:ext uri="{FF2B5EF4-FFF2-40B4-BE49-F238E27FC236}">
              <a16:creationId xmlns:a16="http://schemas.microsoft.com/office/drawing/2014/main" id="{00000000-0008-0000-4200-00001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2" name="Text Box 6">
          <a:extLst>
            <a:ext uri="{FF2B5EF4-FFF2-40B4-BE49-F238E27FC236}">
              <a16:creationId xmlns:a16="http://schemas.microsoft.com/office/drawing/2014/main" id="{00000000-0008-0000-4200-00002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3" name="Text Box 7">
          <a:extLst>
            <a:ext uri="{FF2B5EF4-FFF2-40B4-BE49-F238E27FC236}">
              <a16:creationId xmlns:a16="http://schemas.microsoft.com/office/drawing/2014/main" id="{00000000-0008-0000-4200-00002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4" name="Text Box 0">
          <a:extLst>
            <a:ext uri="{FF2B5EF4-FFF2-40B4-BE49-F238E27FC236}">
              <a16:creationId xmlns:a16="http://schemas.microsoft.com/office/drawing/2014/main" id="{00000000-0008-0000-4200-00002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5" name="Text Box 1">
          <a:extLst>
            <a:ext uri="{FF2B5EF4-FFF2-40B4-BE49-F238E27FC236}">
              <a16:creationId xmlns:a16="http://schemas.microsoft.com/office/drawing/2014/main" id="{00000000-0008-0000-4200-00002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6" name="Text Box 2">
          <a:extLst>
            <a:ext uri="{FF2B5EF4-FFF2-40B4-BE49-F238E27FC236}">
              <a16:creationId xmlns:a16="http://schemas.microsoft.com/office/drawing/2014/main" id="{00000000-0008-0000-4200-00002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7" name="Text Box 3">
          <a:extLst>
            <a:ext uri="{FF2B5EF4-FFF2-40B4-BE49-F238E27FC236}">
              <a16:creationId xmlns:a16="http://schemas.microsoft.com/office/drawing/2014/main" id="{00000000-0008-0000-4200-00002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8" name="Text Box 4">
          <a:extLst>
            <a:ext uri="{FF2B5EF4-FFF2-40B4-BE49-F238E27FC236}">
              <a16:creationId xmlns:a16="http://schemas.microsoft.com/office/drawing/2014/main" id="{00000000-0008-0000-4200-00002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9" name="Text Box 5">
          <a:extLst>
            <a:ext uri="{FF2B5EF4-FFF2-40B4-BE49-F238E27FC236}">
              <a16:creationId xmlns:a16="http://schemas.microsoft.com/office/drawing/2014/main" id="{00000000-0008-0000-4200-00002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40" name="Text Box 6">
          <a:extLst>
            <a:ext uri="{FF2B5EF4-FFF2-40B4-BE49-F238E27FC236}">
              <a16:creationId xmlns:a16="http://schemas.microsoft.com/office/drawing/2014/main" id="{00000000-0008-0000-4200-00002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41" name="Text Box 7">
          <a:extLst>
            <a:ext uri="{FF2B5EF4-FFF2-40B4-BE49-F238E27FC236}">
              <a16:creationId xmlns:a16="http://schemas.microsoft.com/office/drawing/2014/main" id="{00000000-0008-0000-4200-00002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2" name="Text Box 0">
          <a:extLst>
            <a:ext uri="{FF2B5EF4-FFF2-40B4-BE49-F238E27FC236}">
              <a16:creationId xmlns:a16="http://schemas.microsoft.com/office/drawing/2014/main" id="{00000000-0008-0000-4200-00002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3" name="Text Box 1">
          <a:extLst>
            <a:ext uri="{FF2B5EF4-FFF2-40B4-BE49-F238E27FC236}">
              <a16:creationId xmlns:a16="http://schemas.microsoft.com/office/drawing/2014/main" id="{00000000-0008-0000-4200-00002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4" name="Text Box 2">
          <a:extLst>
            <a:ext uri="{FF2B5EF4-FFF2-40B4-BE49-F238E27FC236}">
              <a16:creationId xmlns:a16="http://schemas.microsoft.com/office/drawing/2014/main" id="{00000000-0008-0000-4200-00002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5" name="Text Box 3">
          <a:extLst>
            <a:ext uri="{FF2B5EF4-FFF2-40B4-BE49-F238E27FC236}">
              <a16:creationId xmlns:a16="http://schemas.microsoft.com/office/drawing/2014/main" id="{00000000-0008-0000-4200-00002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6" name="Text Box 4">
          <a:extLst>
            <a:ext uri="{FF2B5EF4-FFF2-40B4-BE49-F238E27FC236}">
              <a16:creationId xmlns:a16="http://schemas.microsoft.com/office/drawing/2014/main" id="{00000000-0008-0000-4200-00002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7" name="Text Box 5">
          <a:extLst>
            <a:ext uri="{FF2B5EF4-FFF2-40B4-BE49-F238E27FC236}">
              <a16:creationId xmlns:a16="http://schemas.microsoft.com/office/drawing/2014/main" id="{00000000-0008-0000-4200-00002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8" name="Text Box 6">
          <a:extLst>
            <a:ext uri="{FF2B5EF4-FFF2-40B4-BE49-F238E27FC236}">
              <a16:creationId xmlns:a16="http://schemas.microsoft.com/office/drawing/2014/main" id="{00000000-0008-0000-4200-00003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9" name="Text Box 7">
          <a:extLst>
            <a:ext uri="{FF2B5EF4-FFF2-40B4-BE49-F238E27FC236}">
              <a16:creationId xmlns:a16="http://schemas.microsoft.com/office/drawing/2014/main" id="{00000000-0008-0000-4200-00003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0" name="Text Box 0">
          <a:extLst>
            <a:ext uri="{FF2B5EF4-FFF2-40B4-BE49-F238E27FC236}">
              <a16:creationId xmlns:a16="http://schemas.microsoft.com/office/drawing/2014/main" id="{00000000-0008-0000-4200-00003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1" name="Text Box 1">
          <a:extLst>
            <a:ext uri="{FF2B5EF4-FFF2-40B4-BE49-F238E27FC236}">
              <a16:creationId xmlns:a16="http://schemas.microsoft.com/office/drawing/2014/main" id="{00000000-0008-0000-4200-00003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2" name="Text Box 2">
          <a:extLst>
            <a:ext uri="{FF2B5EF4-FFF2-40B4-BE49-F238E27FC236}">
              <a16:creationId xmlns:a16="http://schemas.microsoft.com/office/drawing/2014/main" id="{00000000-0008-0000-4200-00003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3" name="Text Box 3">
          <a:extLst>
            <a:ext uri="{FF2B5EF4-FFF2-40B4-BE49-F238E27FC236}">
              <a16:creationId xmlns:a16="http://schemas.microsoft.com/office/drawing/2014/main" id="{00000000-0008-0000-4200-00003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4" name="Text Box 4">
          <a:extLst>
            <a:ext uri="{FF2B5EF4-FFF2-40B4-BE49-F238E27FC236}">
              <a16:creationId xmlns:a16="http://schemas.microsoft.com/office/drawing/2014/main" id="{00000000-0008-0000-4200-00003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5" name="Text Box 5">
          <a:extLst>
            <a:ext uri="{FF2B5EF4-FFF2-40B4-BE49-F238E27FC236}">
              <a16:creationId xmlns:a16="http://schemas.microsoft.com/office/drawing/2014/main" id="{00000000-0008-0000-4200-00003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6" name="Text Box 6">
          <a:extLst>
            <a:ext uri="{FF2B5EF4-FFF2-40B4-BE49-F238E27FC236}">
              <a16:creationId xmlns:a16="http://schemas.microsoft.com/office/drawing/2014/main" id="{00000000-0008-0000-4200-00003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7" name="Text Box 7">
          <a:extLst>
            <a:ext uri="{FF2B5EF4-FFF2-40B4-BE49-F238E27FC236}">
              <a16:creationId xmlns:a16="http://schemas.microsoft.com/office/drawing/2014/main" id="{00000000-0008-0000-4200-00003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58" name="Text Box 0">
          <a:extLst>
            <a:ext uri="{FF2B5EF4-FFF2-40B4-BE49-F238E27FC236}">
              <a16:creationId xmlns:a16="http://schemas.microsoft.com/office/drawing/2014/main" id="{00000000-0008-0000-4200-00003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59" name="Text Box 1">
          <a:extLst>
            <a:ext uri="{FF2B5EF4-FFF2-40B4-BE49-F238E27FC236}">
              <a16:creationId xmlns:a16="http://schemas.microsoft.com/office/drawing/2014/main" id="{00000000-0008-0000-4200-00003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0" name="Text Box 2">
          <a:extLst>
            <a:ext uri="{FF2B5EF4-FFF2-40B4-BE49-F238E27FC236}">
              <a16:creationId xmlns:a16="http://schemas.microsoft.com/office/drawing/2014/main" id="{00000000-0008-0000-4200-00003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1" name="Text Box 3">
          <a:extLst>
            <a:ext uri="{FF2B5EF4-FFF2-40B4-BE49-F238E27FC236}">
              <a16:creationId xmlns:a16="http://schemas.microsoft.com/office/drawing/2014/main" id="{00000000-0008-0000-4200-00003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2" name="Text Box 4">
          <a:extLst>
            <a:ext uri="{FF2B5EF4-FFF2-40B4-BE49-F238E27FC236}">
              <a16:creationId xmlns:a16="http://schemas.microsoft.com/office/drawing/2014/main" id="{00000000-0008-0000-4200-00003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3" name="Text Box 5">
          <a:extLst>
            <a:ext uri="{FF2B5EF4-FFF2-40B4-BE49-F238E27FC236}">
              <a16:creationId xmlns:a16="http://schemas.microsoft.com/office/drawing/2014/main" id="{00000000-0008-0000-4200-00003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4" name="Text Box 6">
          <a:extLst>
            <a:ext uri="{FF2B5EF4-FFF2-40B4-BE49-F238E27FC236}">
              <a16:creationId xmlns:a16="http://schemas.microsoft.com/office/drawing/2014/main" id="{00000000-0008-0000-4200-00004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5" name="Text Box 7">
          <a:extLst>
            <a:ext uri="{FF2B5EF4-FFF2-40B4-BE49-F238E27FC236}">
              <a16:creationId xmlns:a16="http://schemas.microsoft.com/office/drawing/2014/main" id="{00000000-0008-0000-4200-00004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6" name="Text Box 0">
          <a:extLst>
            <a:ext uri="{FF2B5EF4-FFF2-40B4-BE49-F238E27FC236}">
              <a16:creationId xmlns:a16="http://schemas.microsoft.com/office/drawing/2014/main" id="{00000000-0008-0000-4200-00004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7" name="Text Box 1">
          <a:extLst>
            <a:ext uri="{FF2B5EF4-FFF2-40B4-BE49-F238E27FC236}">
              <a16:creationId xmlns:a16="http://schemas.microsoft.com/office/drawing/2014/main" id="{00000000-0008-0000-4200-00004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8" name="Text Box 2">
          <a:extLst>
            <a:ext uri="{FF2B5EF4-FFF2-40B4-BE49-F238E27FC236}">
              <a16:creationId xmlns:a16="http://schemas.microsoft.com/office/drawing/2014/main" id="{00000000-0008-0000-4200-00004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9" name="Text Box 3">
          <a:extLst>
            <a:ext uri="{FF2B5EF4-FFF2-40B4-BE49-F238E27FC236}">
              <a16:creationId xmlns:a16="http://schemas.microsoft.com/office/drawing/2014/main" id="{00000000-0008-0000-4200-00004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0" name="Text Box 4">
          <a:extLst>
            <a:ext uri="{FF2B5EF4-FFF2-40B4-BE49-F238E27FC236}">
              <a16:creationId xmlns:a16="http://schemas.microsoft.com/office/drawing/2014/main" id="{00000000-0008-0000-4200-00004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1" name="Text Box 5">
          <a:extLst>
            <a:ext uri="{FF2B5EF4-FFF2-40B4-BE49-F238E27FC236}">
              <a16:creationId xmlns:a16="http://schemas.microsoft.com/office/drawing/2014/main" id="{00000000-0008-0000-4200-00004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2" name="Text Box 6">
          <a:extLst>
            <a:ext uri="{FF2B5EF4-FFF2-40B4-BE49-F238E27FC236}">
              <a16:creationId xmlns:a16="http://schemas.microsoft.com/office/drawing/2014/main" id="{00000000-0008-0000-4200-00004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3" name="Text Box 7">
          <a:extLst>
            <a:ext uri="{FF2B5EF4-FFF2-40B4-BE49-F238E27FC236}">
              <a16:creationId xmlns:a16="http://schemas.microsoft.com/office/drawing/2014/main" id="{00000000-0008-0000-4200-00004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4" name="Text Box 0">
          <a:extLst>
            <a:ext uri="{FF2B5EF4-FFF2-40B4-BE49-F238E27FC236}">
              <a16:creationId xmlns:a16="http://schemas.microsoft.com/office/drawing/2014/main" id="{00000000-0008-0000-4200-00004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5" name="Text Box 1">
          <a:extLst>
            <a:ext uri="{FF2B5EF4-FFF2-40B4-BE49-F238E27FC236}">
              <a16:creationId xmlns:a16="http://schemas.microsoft.com/office/drawing/2014/main" id="{00000000-0008-0000-4200-00004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6" name="Text Box 2">
          <a:extLst>
            <a:ext uri="{FF2B5EF4-FFF2-40B4-BE49-F238E27FC236}">
              <a16:creationId xmlns:a16="http://schemas.microsoft.com/office/drawing/2014/main" id="{00000000-0008-0000-4200-00004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7" name="Text Box 3">
          <a:extLst>
            <a:ext uri="{FF2B5EF4-FFF2-40B4-BE49-F238E27FC236}">
              <a16:creationId xmlns:a16="http://schemas.microsoft.com/office/drawing/2014/main" id="{00000000-0008-0000-4200-00004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8" name="Text Box 4">
          <a:extLst>
            <a:ext uri="{FF2B5EF4-FFF2-40B4-BE49-F238E27FC236}">
              <a16:creationId xmlns:a16="http://schemas.microsoft.com/office/drawing/2014/main" id="{00000000-0008-0000-4200-00004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9" name="Text Box 5">
          <a:extLst>
            <a:ext uri="{FF2B5EF4-FFF2-40B4-BE49-F238E27FC236}">
              <a16:creationId xmlns:a16="http://schemas.microsoft.com/office/drawing/2014/main" id="{00000000-0008-0000-4200-00004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80" name="Text Box 6">
          <a:extLst>
            <a:ext uri="{FF2B5EF4-FFF2-40B4-BE49-F238E27FC236}">
              <a16:creationId xmlns:a16="http://schemas.microsoft.com/office/drawing/2014/main" id="{00000000-0008-0000-4200-00005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81" name="Text Box 7">
          <a:extLst>
            <a:ext uri="{FF2B5EF4-FFF2-40B4-BE49-F238E27FC236}">
              <a16:creationId xmlns:a16="http://schemas.microsoft.com/office/drawing/2014/main" id="{00000000-0008-0000-4200-00005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2" name="Text Box 0">
          <a:extLst>
            <a:ext uri="{FF2B5EF4-FFF2-40B4-BE49-F238E27FC236}">
              <a16:creationId xmlns:a16="http://schemas.microsoft.com/office/drawing/2014/main" id="{00000000-0008-0000-4200-00005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3" name="Text Box 1">
          <a:extLst>
            <a:ext uri="{FF2B5EF4-FFF2-40B4-BE49-F238E27FC236}">
              <a16:creationId xmlns:a16="http://schemas.microsoft.com/office/drawing/2014/main" id="{00000000-0008-0000-4200-00005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4" name="Text Box 2">
          <a:extLst>
            <a:ext uri="{FF2B5EF4-FFF2-40B4-BE49-F238E27FC236}">
              <a16:creationId xmlns:a16="http://schemas.microsoft.com/office/drawing/2014/main" id="{00000000-0008-0000-4200-00005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5" name="Text Box 3">
          <a:extLst>
            <a:ext uri="{FF2B5EF4-FFF2-40B4-BE49-F238E27FC236}">
              <a16:creationId xmlns:a16="http://schemas.microsoft.com/office/drawing/2014/main" id="{00000000-0008-0000-4200-00005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6" name="Text Box 4">
          <a:extLst>
            <a:ext uri="{FF2B5EF4-FFF2-40B4-BE49-F238E27FC236}">
              <a16:creationId xmlns:a16="http://schemas.microsoft.com/office/drawing/2014/main" id="{00000000-0008-0000-4200-00005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7" name="Text Box 5">
          <a:extLst>
            <a:ext uri="{FF2B5EF4-FFF2-40B4-BE49-F238E27FC236}">
              <a16:creationId xmlns:a16="http://schemas.microsoft.com/office/drawing/2014/main" id="{00000000-0008-0000-4200-00005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8" name="Text Box 6">
          <a:extLst>
            <a:ext uri="{FF2B5EF4-FFF2-40B4-BE49-F238E27FC236}">
              <a16:creationId xmlns:a16="http://schemas.microsoft.com/office/drawing/2014/main" id="{00000000-0008-0000-4200-00005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9" name="Text Box 7">
          <a:extLst>
            <a:ext uri="{FF2B5EF4-FFF2-40B4-BE49-F238E27FC236}">
              <a16:creationId xmlns:a16="http://schemas.microsoft.com/office/drawing/2014/main" id="{00000000-0008-0000-4200-00005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0" name="Text Box 1">
          <a:extLst>
            <a:ext uri="{FF2B5EF4-FFF2-40B4-BE49-F238E27FC236}">
              <a16:creationId xmlns:a16="http://schemas.microsoft.com/office/drawing/2014/main" id="{00000000-0008-0000-4200-00005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1" name="Text Box 2">
          <a:extLst>
            <a:ext uri="{FF2B5EF4-FFF2-40B4-BE49-F238E27FC236}">
              <a16:creationId xmlns:a16="http://schemas.microsoft.com/office/drawing/2014/main" id="{00000000-0008-0000-4200-00005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2" name="Text Box 5">
          <a:extLst>
            <a:ext uri="{FF2B5EF4-FFF2-40B4-BE49-F238E27FC236}">
              <a16:creationId xmlns:a16="http://schemas.microsoft.com/office/drawing/2014/main" id="{00000000-0008-0000-4200-00005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3" name="Text Box 6">
          <a:extLst>
            <a:ext uri="{FF2B5EF4-FFF2-40B4-BE49-F238E27FC236}">
              <a16:creationId xmlns:a16="http://schemas.microsoft.com/office/drawing/2014/main" id="{00000000-0008-0000-4200-00005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4" name="Text Box 7">
          <a:extLst>
            <a:ext uri="{FF2B5EF4-FFF2-40B4-BE49-F238E27FC236}">
              <a16:creationId xmlns:a16="http://schemas.microsoft.com/office/drawing/2014/main" id="{00000000-0008-0000-4200-00005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5" name="Text Box 8">
          <a:extLst>
            <a:ext uri="{FF2B5EF4-FFF2-40B4-BE49-F238E27FC236}">
              <a16:creationId xmlns:a16="http://schemas.microsoft.com/office/drawing/2014/main" id="{00000000-0008-0000-4200-00005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6" name="Text Box 9">
          <a:extLst>
            <a:ext uri="{FF2B5EF4-FFF2-40B4-BE49-F238E27FC236}">
              <a16:creationId xmlns:a16="http://schemas.microsoft.com/office/drawing/2014/main" id="{00000000-0008-0000-4200-00006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7" name="Text Box 10">
          <a:extLst>
            <a:ext uri="{FF2B5EF4-FFF2-40B4-BE49-F238E27FC236}">
              <a16:creationId xmlns:a16="http://schemas.microsoft.com/office/drawing/2014/main" id="{00000000-0008-0000-4200-00006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98" name="Text Box 1">
          <a:extLst>
            <a:ext uri="{FF2B5EF4-FFF2-40B4-BE49-F238E27FC236}">
              <a16:creationId xmlns:a16="http://schemas.microsoft.com/office/drawing/2014/main" id="{00000000-0008-0000-4200-000062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99" name="Text Box 2">
          <a:extLst>
            <a:ext uri="{FF2B5EF4-FFF2-40B4-BE49-F238E27FC236}">
              <a16:creationId xmlns:a16="http://schemas.microsoft.com/office/drawing/2014/main" id="{00000000-0008-0000-4200-000063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0" name="Text Box 5">
          <a:extLst>
            <a:ext uri="{FF2B5EF4-FFF2-40B4-BE49-F238E27FC236}">
              <a16:creationId xmlns:a16="http://schemas.microsoft.com/office/drawing/2014/main" id="{00000000-0008-0000-4200-000064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1" name="Text Box 6">
          <a:extLst>
            <a:ext uri="{FF2B5EF4-FFF2-40B4-BE49-F238E27FC236}">
              <a16:creationId xmlns:a16="http://schemas.microsoft.com/office/drawing/2014/main" id="{00000000-0008-0000-4200-000065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2" name="Text Box 7">
          <a:extLst>
            <a:ext uri="{FF2B5EF4-FFF2-40B4-BE49-F238E27FC236}">
              <a16:creationId xmlns:a16="http://schemas.microsoft.com/office/drawing/2014/main" id="{00000000-0008-0000-4200-000066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3" name="Text Box 8">
          <a:extLst>
            <a:ext uri="{FF2B5EF4-FFF2-40B4-BE49-F238E27FC236}">
              <a16:creationId xmlns:a16="http://schemas.microsoft.com/office/drawing/2014/main" id="{00000000-0008-0000-4200-000067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4" name="Text Box 9">
          <a:extLst>
            <a:ext uri="{FF2B5EF4-FFF2-40B4-BE49-F238E27FC236}">
              <a16:creationId xmlns:a16="http://schemas.microsoft.com/office/drawing/2014/main" id="{00000000-0008-0000-4200-000068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5" name="Text Box 10">
          <a:extLst>
            <a:ext uri="{FF2B5EF4-FFF2-40B4-BE49-F238E27FC236}">
              <a16:creationId xmlns:a16="http://schemas.microsoft.com/office/drawing/2014/main" id="{00000000-0008-0000-4200-000069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238125</xdr:colOff>
      <xdr:row>21</xdr:row>
      <xdr:rowOff>0</xdr:rowOff>
    </xdr:from>
    <xdr:to>
      <xdr:col>16</xdr:col>
      <xdr:colOff>238125</xdr:colOff>
      <xdr:row>22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238125</xdr:colOff>
      <xdr:row>23</xdr:row>
      <xdr:rowOff>38100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4100-000003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238125</xdr:colOff>
      <xdr:row>24</xdr:row>
      <xdr:rowOff>38100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4100-000004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238125</xdr:colOff>
      <xdr:row>25</xdr:row>
      <xdr:rowOff>38100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0000000-0008-0000-4100-000005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21</xdr:row>
      <xdr:rowOff>0</xdr:rowOff>
    </xdr:from>
    <xdr:to>
      <xdr:col>16</xdr:col>
      <xdr:colOff>342900</xdr:colOff>
      <xdr:row>22</xdr:row>
      <xdr:rowOff>38100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00000000-0008-0000-4100-000006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342900</xdr:colOff>
      <xdr:row>23</xdr:row>
      <xdr:rowOff>76200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00000000-0008-0000-4100-000007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342900</xdr:colOff>
      <xdr:row>24</xdr:row>
      <xdr:rowOff>38100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00000000-0008-0000-4100-000008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342900</xdr:colOff>
      <xdr:row>25</xdr:row>
      <xdr:rowOff>38100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00000000-0008-0000-4100-000009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2" name="Text Box 0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4200-00000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00000000-0008-0000-4200-00000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4200-00000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id="{00000000-0008-0000-4200-00000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id="{00000000-0008-0000-4200-00000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8" name="Text Box 6">
          <a:extLst>
            <a:ext uri="{FF2B5EF4-FFF2-40B4-BE49-F238E27FC236}">
              <a16:creationId xmlns:a16="http://schemas.microsoft.com/office/drawing/2014/main" id="{00000000-0008-0000-4200-00000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9" name="Text Box 7">
          <a:extLst>
            <a:ext uri="{FF2B5EF4-FFF2-40B4-BE49-F238E27FC236}">
              <a16:creationId xmlns:a16="http://schemas.microsoft.com/office/drawing/2014/main" id="{00000000-0008-0000-4200-00000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0" name="Text Box 0">
          <a:extLst>
            <a:ext uri="{FF2B5EF4-FFF2-40B4-BE49-F238E27FC236}">
              <a16:creationId xmlns:a16="http://schemas.microsoft.com/office/drawing/2014/main" id="{00000000-0008-0000-4200-00000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id="{00000000-0008-0000-4200-00000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00000000-0008-0000-4200-00000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3" name="Text Box 3">
          <a:extLst>
            <a:ext uri="{FF2B5EF4-FFF2-40B4-BE49-F238E27FC236}">
              <a16:creationId xmlns:a16="http://schemas.microsoft.com/office/drawing/2014/main" id="{00000000-0008-0000-4200-00000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4" name="Text Box 4">
          <a:extLst>
            <a:ext uri="{FF2B5EF4-FFF2-40B4-BE49-F238E27FC236}">
              <a16:creationId xmlns:a16="http://schemas.microsoft.com/office/drawing/2014/main" id="{00000000-0008-0000-4200-00000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5" name="Text Box 5">
          <a:extLst>
            <a:ext uri="{FF2B5EF4-FFF2-40B4-BE49-F238E27FC236}">
              <a16:creationId xmlns:a16="http://schemas.microsoft.com/office/drawing/2014/main" id="{00000000-0008-0000-4200-00000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6" name="Text Box 6">
          <a:extLst>
            <a:ext uri="{FF2B5EF4-FFF2-40B4-BE49-F238E27FC236}">
              <a16:creationId xmlns:a16="http://schemas.microsoft.com/office/drawing/2014/main" id="{00000000-0008-0000-4200-00001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7" name="Text Box 7">
          <a:extLst>
            <a:ext uri="{FF2B5EF4-FFF2-40B4-BE49-F238E27FC236}">
              <a16:creationId xmlns:a16="http://schemas.microsoft.com/office/drawing/2014/main" id="{00000000-0008-0000-4200-00001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18" name="Text Box 0">
          <a:extLst>
            <a:ext uri="{FF2B5EF4-FFF2-40B4-BE49-F238E27FC236}">
              <a16:creationId xmlns:a16="http://schemas.microsoft.com/office/drawing/2014/main" id="{00000000-0008-0000-4200-00001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19" name="Text Box 1">
          <a:extLst>
            <a:ext uri="{FF2B5EF4-FFF2-40B4-BE49-F238E27FC236}">
              <a16:creationId xmlns:a16="http://schemas.microsoft.com/office/drawing/2014/main" id="{00000000-0008-0000-4200-00001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0" name="Text Box 2">
          <a:extLst>
            <a:ext uri="{FF2B5EF4-FFF2-40B4-BE49-F238E27FC236}">
              <a16:creationId xmlns:a16="http://schemas.microsoft.com/office/drawing/2014/main" id="{00000000-0008-0000-4200-00001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1" name="Text Box 3">
          <a:extLst>
            <a:ext uri="{FF2B5EF4-FFF2-40B4-BE49-F238E27FC236}">
              <a16:creationId xmlns:a16="http://schemas.microsoft.com/office/drawing/2014/main" id="{00000000-0008-0000-4200-00001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2" name="Text Box 4">
          <a:extLst>
            <a:ext uri="{FF2B5EF4-FFF2-40B4-BE49-F238E27FC236}">
              <a16:creationId xmlns:a16="http://schemas.microsoft.com/office/drawing/2014/main" id="{00000000-0008-0000-4200-00001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3" name="Text Box 5">
          <a:extLst>
            <a:ext uri="{FF2B5EF4-FFF2-40B4-BE49-F238E27FC236}">
              <a16:creationId xmlns:a16="http://schemas.microsoft.com/office/drawing/2014/main" id="{00000000-0008-0000-4200-00001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4" name="Text Box 6">
          <a:extLst>
            <a:ext uri="{FF2B5EF4-FFF2-40B4-BE49-F238E27FC236}">
              <a16:creationId xmlns:a16="http://schemas.microsoft.com/office/drawing/2014/main" id="{00000000-0008-0000-4200-00001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5" name="Text Box 7">
          <a:extLst>
            <a:ext uri="{FF2B5EF4-FFF2-40B4-BE49-F238E27FC236}">
              <a16:creationId xmlns:a16="http://schemas.microsoft.com/office/drawing/2014/main" id="{00000000-0008-0000-4200-00001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6" name="Text Box 0">
          <a:extLst>
            <a:ext uri="{FF2B5EF4-FFF2-40B4-BE49-F238E27FC236}">
              <a16:creationId xmlns:a16="http://schemas.microsoft.com/office/drawing/2014/main" id="{00000000-0008-0000-4200-00001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7" name="Text Box 1">
          <a:extLst>
            <a:ext uri="{FF2B5EF4-FFF2-40B4-BE49-F238E27FC236}">
              <a16:creationId xmlns:a16="http://schemas.microsoft.com/office/drawing/2014/main" id="{00000000-0008-0000-4200-00001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8" name="Text Box 2">
          <a:extLst>
            <a:ext uri="{FF2B5EF4-FFF2-40B4-BE49-F238E27FC236}">
              <a16:creationId xmlns:a16="http://schemas.microsoft.com/office/drawing/2014/main" id="{00000000-0008-0000-4200-00001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9" name="Text Box 3">
          <a:extLst>
            <a:ext uri="{FF2B5EF4-FFF2-40B4-BE49-F238E27FC236}">
              <a16:creationId xmlns:a16="http://schemas.microsoft.com/office/drawing/2014/main" id="{00000000-0008-0000-4200-00001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0" name="Text Box 4">
          <a:extLst>
            <a:ext uri="{FF2B5EF4-FFF2-40B4-BE49-F238E27FC236}">
              <a16:creationId xmlns:a16="http://schemas.microsoft.com/office/drawing/2014/main" id="{00000000-0008-0000-4200-00001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1" name="Text Box 5">
          <a:extLst>
            <a:ext uri="{FF2B5EF4-FFF2-40B4-BE49-F238E27FC236}">
              <a16:creationId xmlns:a16="http://schemas.microsoft.com/office/drawing/2014/main" id="{00000000-0008-0000-4200-00001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2" name="Text Box 6">
          <a:extLst>
            <a:ext uri="{FF2B5EF4-FFF2-40B4-BE49-F238E27FC236}">
              <a16:creationId xmlns:a16="http://schemas.microsoft.com/office/drawing/2014/main" id="{00000000-0008-0000-4200-00002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3" name="Text Box 7">
          <a:extLst>
            <a:ext uri="{FF2B5EF4-FFF2-40B4-BE49-F238E27FC236}">
              <a16:creationId xmlns:a16="http://schemas.microsoft.com/office/drawing/2014/main" id="{00000000-0008-0000-4200-00002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4" name="Text Box 0">
          <a:extLst>
            <a:ext uri="{FF2B5EF4-FFF2-40B4-BE49-F238E27FC236}">
              <a16:creationId xmlns:a16="http://schemas.microsoft.com/office/drawing/2014/main" id="{00000000-0008-0000-4200-00002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5" name="Text Box 1">
          <a:extLst>
            <a:ext uri="{FF2B5EF4-FFF2-40B4-BE49-F238E27FC236}">
              <a16:creationId xmlns:a16="http://schemas.microsoft.com/office/drawing/2014/main" id="{00000000-0008-0000-4200-00002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6" name="Text Box 2">
          <a:extLst>
            <a:ext uri="{FF2B5EF4-FFF2-40B4-BE49-F238E27FC236}">
              <a16:creationId xmlns:a16="http://schemas.microsoft.com/office/drawing/2014/main" id="{00000000-0008-0000-4200-00002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7" name="Text Box 3">
          <a:extLst>
            <a:ext uri="{FF2B5EF4-FFF2-40B4-BE49-F238E27FC236}">
              <a16:creationId xmlns:a16="http://schemas.microsoft.com/office/drawing/2014/main" id="{00000000-0008-0000-4200-00002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8" name="Text Box 4">
          <a:extLst>
            <a:ext uri="{FF2B5EF4-FFF2-40B4-BE49-F238E27FC236}">
              <a16:creationId xmlns:a16="http://schemas.microsoft.com/office/drawing/2014/main" id="{00000000-0008-0000-4200-00002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9" name="Text Box 5">
          <a:extLst>
            <a:ext uri="{FF2B5EF4-FFF2-40B4-BE49-F238E27FC236}">
              <a16:creationId xmlns:a16="http://schemas.microsoft.com/office/drawing/2014/main" id="{00000000-0008-0000-4200-00002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40" name="Text Box 6">
          <a:extLst>
            <a:ext uri="{FF2B5EF4-FFF2-40B4-BE49-F238E27FC236}">
              <a16:creationId xmlns:a16="http://schemas.microsoft.com/office/drawing/2014/main" id="{00000000-0008-0000-4200-00002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41" name="Text Box 7">
          <a:extLst>
            <a:ext uri="{FF2B5EF4-FFF2-40B4-BE49-F238E27FC236}">
              <a16:creationId xmlns:a16="http://schemas.microsoft.com/office/drawing/2014/main" id="{00000000-0008-0000-4200-00002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2" name="Text Box 0">
          <a:extLst>
            <a:ext uri="{FF2B5EF4-FFF2-40B4-BE49-F238E27FC236}">
              <a16:creationId xmlns:a16="http://schemas.microsoft.com/office/drawing/2014/main" id="{00000000-0008-0000-4200-00002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3" name="Text Box 1">
          <a:extLst>
            <a:ext uri="{FF2B5EF4-FFF2-40B4-BE49-F238E27FC236}">
              <a16:creationId xmlns:a16="http://schemas.microsoft.com/office/drawing/2014/main" id="{00000000-0008-0000-4200-00002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4" name="Text Box 2">
          <a:extLst>
            <a:ext uri="{FF2B5EF4-FFF2-40B4-BE49-F238E27FC236}">
              <a16:creationId xmlns:a16="http://schemas.microsoft.com/office/drawing/2014/main" id="{00000000-0008-0000-4200-00002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5" name="Text Box 3">
          <a:extLst>
            <a:ext uri="{FF2B5EF4-FFF2-40B4-BE49-F238E27FC236}">
              <a16:creationId xmlns:a16="http://schemas.microsoft.com/office/drawing/2014/main" id="{00000000-0008-0000-4200-00002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6" name="Text Box 4">
          <a:extLst>
            <a:ext uri="{FF2B5EF4-FFF2-40B4-BE49-F238E27FC236}">
              <a16:creationId xmlns:a16="http://schemas.microsoft.com/office/drawing/2014/main" id="{00000000-0008-0000-4200-00002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7" name="Text Box 5">
          <a:extLst>
            <a:ext uri="{FF2B5EF4-FFF2-40B4-BE49-F238E27FC236}">
              <a16:creationId xmlns:a16="http://schemas.microsoft.com/office/drawing/2014/main" id="{00000000-0008-0000-4200-00002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8" name="Text Box 6">
          <a:extLst>
            <a:ext uri="{FF2B5EF4-FFF2-40B4-BE49-F238E27FC236}">
              <a16:creationId xmlns:a16="http://schemas.microsoft.com/office/drawing/2014/main" id="{00000000-0008-0000-4200-00003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9" name="Text Box 7">
          <a:extLst>
            <a:ext uri="{FF2B5EF4-FFF2-40B4-BE49-F238E27FC236}">
              <a16:creationId xmlns:a16="http://schemas.microsoft.com/office/drawing/2014/main" id="{00000000-0008-0000-4200-00003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0" name="Text Box 0">
          <a:extLst>
            <a:ext uri="{FF2B5EF4-FFF2-40B4-BE49-F238E27FC236}">
              <a16:creationId xmlns:a16="http://schemas.microsoft.com/office/drawing/2014/main" id="{00000000-0008-0000-4200-00003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1" name="Text Box 1">
          <a:extLst>
            <a:ext uri="{FF2B5EF4-FFF2-40B4-BE49-F238E27FC236}">
              <a16:creationId xmlns:a16="http://schemas.microsoft.com/office/drawing/2014/main" id="{00000000-0008-0000-4200-00003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2" name="Text Box 2">
          <a:extLst>
            <a:ext uri="{FF2B5EF4-FFF2-40B4-BE49-F238E27FC236}">
              <a16:creationId xmlns:a16="http://schemas.microsoft.com/office/drawing/2014/main" id="{00000000-0008-0000-4200-00003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3" name="Text Box 3">
          <a:extLst>
            <a:ext uri="{FF2B5EF4-FFF2-40B4-BE49-F238E27FC236}">
              <a16:creationId xmlns:a16="http://schemas.microsoft.com/office/drawing/2014/main" id="{00000000-0008-0000-4200-00003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4" name="Text Box 4">
          <a:extLst>
            <a:ext uri="{FF2B5EF4-FFF2-40B4-BE49-F238E27FC236}">
              <a16:creationId xmlns:a16="http://schemas.microsoft.com/office/drawing/2014/main" id="{00000000-0008-0000-4200-00003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5" name="Text Box 5">
          <a:extLst>
            <a:ext uri="{FF2B5EF4-FFF2-40B4-BE49-F238E27FC236}">
              <a16:creationId xmlns:a16="http://schemas.microsoft.com/office/drawing/2014/main" id="{00000000-0008-0000-4200-00003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6" name="Text Box 6">
          <a:extLst>
            <a:ext uri="{FF2B5EF4-FFF2-40B4-BE49-F238E27FC236}">
              <a16:creationId xmlns:a16="http://schemas.microsoft.com/office/drawing/2014/main" id="{00000000-0008-0000-4200-00003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7" name="Text Box 7">
          <a:extLst>
            <a:ext uri="{FF2B5EF4-FFF2-40B4-BE49-F238E27FC236}">
              <a16:creationId xmlns:a16="http://schemas.microsoft.com/office/drawing/2014/main" id="{00000000-0008-0000-4200-00003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58" name="Text Box 0">
          <a:extLst>
            <a:ext uri="{FF2B5EF4-FFF2-40B4-BE49-F238E27FC236}">
              <a16:creationId xmlns:a16="http://schemas.microsoft.com/office/drawing/2014/main" id="{00000000-0008-0000-4200-00003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59" name="Text Box 1">
          <a:extLst>
            <a:ext uri="{FF2B5EF4-FFF2-40B4-BE49-F238E27FC236}">
              <a16:creationId xmlns:a16="http://schemas.microsoft.com/office/drawing/2014/main" id="{00000000-0008-0000-4200-00003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0" name="Text Box 2">
          <a:extLst>
            <a:ext uri="{FF2B5EF4-FFF2-40B4-BE49-F238E27FC236}">
              <a16:creationId xmlns:a16="http://schemas.microsoft.com/office/drawing/2014/main" id="{00000000-0008-0000-4200-00003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1" name="Text Box 3">
          <a:extLst>
            <a:ext uri="{FF2B5EF4-FFF2-40B4-BE49-F238E27FC236}">
              <a16:creationId xmlns:a16="http://schemas.microsoft.com/office/drawing/2014/main" id="{00000000-0008-0000-4200-00003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2" name="Text Box 4">
          <a:extLst>
            <a:ext uri="{FF2B5EF4-FFF2-40B4-BE49-F238E27FC236}">
              <a16:creationId xmlns:a16="http://schemas.microsoft.com/office/drawing/2014/main" id="{00000000-0008-0000-4200-00003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3" name="Text Box 5">
          <a:extLst>
            <a:ext uri="{FF2B5EF4-FFF2-40B4-BE49-F238E27FC236}">
              <a16:creationId xmlns:a16="http://schemas.microsoft.com/office/drawing/2014/main" id="{00000000-0008-0000-4200-00003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4" name="Text Box 6">
          <a:extLst>
            <a:ext uri="{FF2B5EF4-FFF2-40B4-BE49-F238E27FC236}">
              <a16:creationId xmlns:a16="http://schemas.microsoft.com/office/drawing/2014/main" id="{00000000-0008-0000-4200-00004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5" name="Text Box 7">
          <a:extLst>
            <a:ext uri="{FF2B5EF4-FFF2-40B4-BE49-F238E27FC236}">
              <a16:creationId xmlns:a16="http://schemas.microsoft.com/office/drawing/2014/main" id="{00000000-0008-0000-4200-00004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6" name="Text Box 0">
          <a:extLst>
            <a:ext uri="{FF2B5EF4-FFF2-40B4-BE49-F238E27FC236}">
              <a16:creationId xmlns:a16="http://schemas.microsoft.com/office/drawing/2014/main" id="{00000000-0008-0000-4200-00004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7" name="Text Box 1">
          <a:extLst>
            <a:ext uri="{FF2B5EF4-FFF2-40B4-BE49-F238E27FC236}">
              <a16:creationId xmlns:a16="http://schemas.microsoft.com/office/drawing/2014/main" id="{00000000-0008-0000-4200-00004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8" name="Text Box 2">
          <a:extLst>
            <a:ext uri="{FF2B5EF4-FFF2-40B4-BE49-F238E27FC236}">
              <a16:creationId xmlns:a16="http://schemas.microsoft.com/office/drawing/2014/main" id="{00000000-0008-0000-4200-00004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9" name="Text Box 3">
          <a:extLst>
            <a:ext uri="{FF2B5EF4-FFF2-40B4-BE49-F238E27FC236}">
              <a16:creationId xmlns:a16="http://schemas.microsoft.com/office/drawing/2014/main" id="{00000000-0008-0000-4200-00004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0" name="Text Box 4">
          <a:extLst>
            <a:ext uri="{FF2B5EF4-FFF2-40B4-BE49-F238E27FC236}">
              <a16:creationId xmlns:a16="http://schemas.microsoft.com/office/drawing/2014/main" id="{00000000-0008-0000-4200-00004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1" name="Text Box 5">
          <a:extLst>
            <a:ext uri="{FF2B5EF4-FFF2-40B4-BE49-F238E27FC236}">
              <a16:creationId xmlns:a16="http://schemas.microsoft.com/office/drawing/2014/main" id="{00000000-0008-0000-4200-00004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2" name="Text Box 6">
          <a:extLst>
            <a:ext uri="{FF2B5EF4-FFF2-40B4-BE49-F238E27FC236}">
              <a16:creationId xmlns:a16="http://schemas.microsoft.com/office/drawing/2014/main" id="{00000000-0008-0000-4200-00004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3" name="Text Box 7">
          <a:extLst>
            <a:ext uri="{FF2B5EF4-FFF2-40B4-BE49-F238E27FC236}">
              <a16:creationId xmlns:a16="http://schemas.microsoft.com/office/drawing/2014/main" id="{00000000-0008-0000-4200-00004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4" name="Text Box 0">
          <a:extLst>
            <a:ext uri="{FF2B5EF4-FFF2-40B4-BE49-F238E27FC236}">
              <a16:creationId xmlns:a16="http://schemas.microsoft.com/office/drawing/2014/main" id="{00000000-0008-0000-4200-00004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5" name="Text Box 1">
          <a:extLst>
            <a:ext uri="{FF2B5EF4-FFF2-40B4-BE49-F238E27FC236}">
              <a16:creationId xmlns:a16="http://schemas.microsoft.com/office/drawing/2014/main" id="{00000000-0008-0000-4200-00004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6" name="Text Box 2">
          <a:extLst>
            <a:ext uri="{FF2B5EF4-FFF2-40B4-BE49-F238E27FC236}">
              <a16:creationId xmlns:a16="http://schemas.microsoft.com/office/drawing/2014/main" id="{00000000-0008-0000-4200-00004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7" name="Text Box 3">
          <a:extLst>
            <a:ext uri="{FF2B5EF4-FFF2-40B4-BE49-F238E27FC236}">
              <a16:creationId xmlns:a16="http://schemas.microsoft.com/office/drawing/2014/main" id="{00000000-0008-0000-4200-00004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8" name="Text Box 4">
          <a:extLst>
            <a:ext uri="{FF2B5EF4-FFF2-40B4-BE49-F238E27FC236}">
              <a16:creationId xmlns:a16="http://schemas.microsoft.com/office/drawing/2014/main" id="{00000000-0008-0000-4200-00004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9" name="Text Box 5">
          <a:extLst>
            <a:ext uri="{FF2B5EF4-FFF2-40B4-BE49-F238E27FC236}">
              <a16:creationId xmlns:a16="http://schemas.microsoft.com/office/drawing/2014/main" id="{00000000-0008-0000-4200-00004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80" name="Text Box 6">
          <a:extLst>
            <a:ext uri="{FF2B5EF4-FFF2-40B4-BE49-F238E27FC236}">
              <a16:creationId xmlns:a16="http://schemas.microsoft.com/office/drawing/2014/main" id="{00000000-0008-0000-4200-00005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81" name="Text Box 7">
          <a:extLst>
            <a:ext uri="{FF2B5EF4-FFF2-40B4-BE49-F238E27FC236}">
              <a16:creationId xmlns:a16="http://schemas.microsoft.com/office/drawing/2014/main" id="{00000000-0008-0000-4200-00005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2" name="Text Box 0">
          <a:extLst>
            <a:ext uri="{FF2B5EF4-FFF2-40B4-BE49-F238E27FC236}">
              <a16:creationId xmlns:a16="http://schemas.microsoft.com/office/drawing/2014/main" id="{00000000-0008-0000-4200-00005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3" name="Text Box 1">
          <a:extLst>
            <a:ext uri="{FF2B5EF4-FFF2-40B4-BE49-F238E27FC236}">
              <a16:creationId xmlns:a16="http://schemas.microsoft.com/office/drawing/2014/main" id="{00000000-0008-0000-4200-00005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4" name="Text Box 2">
          <a:extLst>
            <a:ext uri="{FF2B5EF4-FFF2-40B4-BE49-F238E27FC236}">
              <a16:creationId xmlns:a16="http://schemas.microsoft.com/office/drawing/2014/main" id="{00000000-0008-0000-4200-00005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5" name="Text Box 3">
          <a:extLst>
            <a:ext uri="{FF2B5EF4-FFF2-40B4-BE49-F238E27FC236}">
              <a16:creationId xmlns:a16="http://schemas.microsoft.com/office/drawing/2014/main" id="{00000000-0008-0000-4200-00005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6" name="Text Box 4">
          <a:extLst>
            <a:ext uri="{FF2B5EF4-FFF2-40B4-BE49-F238E27FC236}">
              <a16:creationId xmlns:a16="http://schemas.microsoft.com/office/drawing/2014/main" id="{00000000-0008-0000-4200-00005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7" name="Text Box 5">
          <a:extLst>
            <a:ext uri="{FF2B5EF4-FFF2-40B4-BE49-F238E27FC236}">
              <a16:creationId xmlns:a16="http://schemas.microsoft.com/office/drawing/2014/main" id="{00000000-0008-0000-4200-00005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8" name="Text Box 6">
          <a:extLst>
            <a:ext uri="{FF2B5EF4-FFF2-40B4-BE49-F238E27FC236}">
              <a16:creationId xmlns:a16="http://schemas.microsoft.com/office/drawing/2014/main" id="{00000000-0008-0000-4200-00005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9" name="Text Box 7">
          <a:extLst>
            <a:ext uri="{FF2B5EF4-FFF2-40B4-BE49-F238E27FC236}">
              <a16:creationId xmlns:a16="http://schemas.microsoft.com/office/drawing/2014/main" id="{00000000-0008-0000-4200-00005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0" name="Text Box 1">
          <a:extLst>
            <a:ext uri="{FF2B5EF4-FFF2-40B4-BE49-F238E27FC236}">
              <a16:creationId xmlns:a16="http://schemas.microsoft.com/office/drawing/2014/main" id="{00000000-0008-0000-4200-00005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1" name="Text Box 2">
          <a:extLst>
            <a:ext uri="{FF2B5EF4-FFF2-40B4-BE49-F238E27FC236}">
              <a16:creationId xmlns:a16="http://schemas.microsoft.com/office/drawing/2014/main" id="{00000000-0008-0000-4200-00005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2" name="Text Box 5">
          <a:extLst>
            <a:ext uri="{FF2B5EF4-FFF2-40B4-BE49-F238E27FC236}">
              <a16:creationId xmlns:a16="http://schemas.microsoft.com/office/drawing/2014/main" id="{00000000-0008-0000-4200-00005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3" name="Text Box 6">
          <a:extLst>
            <a:ext uri="{FF2B5EF4-FFF2-40B4-BE49-F238E27FC236}">
              <a16:creationId xmlns:a16="http://schemas.microsoft.com/office/drawing/2014/main" id="{00000000-0008-0000-4200-00005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4" name="Text Box 7">
          <a:extLst>
            <a:ext uri="{FF2B5EF4-FFF2-40B4-BE49-F238E27FC236}">
              <a16:creationId xmlns:a16="http://schemas.microsoft.com/office/drawing/2014/main" id="{00000000-0008-0000-4200-00005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5" name="Text Box 8">
          <a:extLst>
            <a:ext uri="{FF2B5EF4-FFF2-40B4-BE49-F238E27FC236}">
              <a16:creationId xmlns:a16="http://schemas.microsoft.com/office/drawing/2014/main" id="{00000000-0008-0000-4200-00005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6" name="Text Box 9">
          <a:extLst>
            <a:ext uri="{FF2B5EF4-FFF2-40B4-BE49-F238E27FC236}">
              <a16:creationId xmlns:a16="http://schemas.microsoft.com/office/drawing/2014/main" id="{00000000-0008-0000-4200-00006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7" name="Text Box 10">
          <a:extLst>
            <a:ext uri="{FF2B5EF4-FFF2-40B4-BE49-F238E27FC236}">
              <a16:creationId xmlns:a16="http://schemas.microsoft.com/office/drawing/2014/main" id="{00000000-0008-0000-4200-00006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98" name="Text Box 1">
          <a:extLst>
            <a:ext uri="{FF2B5EF4-FFF2-40B4-BE49-F238E27FC236}">
              <a16:creationId xmlns:a16="http://schemas.microsoft.com/office/drawing/2014/main" id="{00000000-0008-0000-4200-000062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99" name="Text Box 2">
          <a:extLst>
            <a:ext uri="{FF2B5EF4-FFF2-40B4-BE49-F238E27FC236}">
              <a16:creationId xmlns:a16="http://schemas.microsoft.com/office/drawing/2014/main" id="{00000000-0008-0000-4200-000063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0" name="Text Box 5">
          <a:extLst>
            <a:ext uri="{FF2B5EF4-FFF2-40B4-BE49-F238E27FC236}">
              <a16:creationId xmlns:a16="http://schemas.microsoft.com/office/drawing/2014/main" id="{00000000-0008-0000-4200-000064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1" name="Text Box 6">
          <a:extLst>
            <a:ext uri="{FF2B5EF4-FFF2-40B4-BE49-F238E27FC236}">
              <a16:creationId xmlns:a16="http://schemas.microsoft.com/office/drawing/2014/main" id="{00000000-0008-0000-4200-000065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2" name="Text Box 7">
          <a:extLst>
            <a:ext uri="{FF2B5EF4-FFF2-40B4-BE49-F238E27FC236}">
              <a16:creationId xmlns:a16="http://schemas.microsoft.com/office/drawing/2014/main" id="{00000000-0008-0000-4200-000066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3" name="Text Box 8">
          <a:extLst>
            <a:ext uri="{FF2B5EF4-FFF2-40B4-BE49-F238E27FC236}">
              <a16:creationId xmlns:a16="http://schemas.microsoft.com/office/drawing/2014/main" id="{00000000-0008-0000-4200-000067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4" name="Text Box 9">
          <a:extLst>
            <a:ext uri="{FF2B5EF4-FFF2-40B4-BE49-F238E27FC236}">
              <a16:creationId xmlns:a16="http://schemas.microsoft.com/office/drawing/2014/main" id="{00000000-0008-0000-4200-000068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5" name="Text Box 10">
          <a:extLst>
            <a:ext uri="{FF2B5EF4-FFF2-40B4-BE49-F238E27FC236}">
              <a16:creationId xmlns:a16="http://schemas.microsoft.com/office/drawing/2014/main" id="{00000000-0008-0000-4200-000069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238125</xdr:colOff>
      <xdr:row>21</xdr:row>
      <xdr:rowOff>0</xdr:rowOff>
    </xdr:from>
    <xdr:to>
      <xdr:col>16</xdr:col>
      <xdr:colOff>238125</xdr:colOff>
      <xdr:row>22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238125</xdr:colOff>
      <xdr:row>23</xdr:row>
      <xdr:rowOff>38100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4100-000003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238125</xdr:colOff>
      <xdr:row>24</xdr:row>
      <xdr:rowOff>38100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4100-000004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238125</xdr:colOff>
      <xdr:row>25</xdr:row>
      <xdr:rowOff>38100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0000000-0008-0000-4100-000005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21</xdr:row>
      <xdr:rowOff>0</xdr:rowOff>
    </xdr:from>
    <xdr:to>
      <xdr:col>16</xdr:col>
      <xdr:colOff>342900</xdr:colOff>
      <xdr:row>22</xdr:row>
      <xdr:rowOff>38100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00000000-0008-0000-4100-000006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342900</xdr:colOff>
      <xdr:row>23</xdr:row>
      <xdr:rowOff>76200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00000000-0008-0000-4100-000007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342900</xdr:colOff>
      <xdr:row>24</xdr:row>
      <xdr:rowOff>38100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00000000-0008-0000-4100-000008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342900</xdr:colOff>
      <xdr:row>25</xdr:row>
      <xdr:rowOff>38100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00000000-0008-0000-4100-000009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2" name="Text Box 0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4200-00000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00000000-0008-0000-4200-00000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4200-00000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id="{00000000-0008-0000-4200-00000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id="{00000000-0008-0000-4200-00000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8" name="Text Box 6">
          <a:extLst>
            <a:ext uri="{FF2B5EF4-FFF2-40B4-BE49-F238E27FC236}">
              <a16:creationId xmlns:a16="http://schemas.microsoft.com/office/drawing/2014/main" id="{00000000-0008-0000-4200-00000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9" name="Text Box 7">
          <a:extLst>
            <a:ext uri="{FF2B5EF4-FFF2-40B4-BE49-F238E27FC236}">
              <a16:creationId xmlns:a16="http://schemas.microsoft.com/office/drawing/2014/main" id="{00000000-0008-0000-4200-00000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0" name="Text Box 0">
          <a:extLst>
            <a:ext uri="{FF2B5EF4-FFF2-40B4-BE49-F238E27FC236}">
              <a16:creationId xmlns:a16="http://schemas.microsoft.com/office/drawing/2014/main" id="{00000000-0008-0000-4200-00000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id="{00000000-0008-0000-4200-00000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00000000-0008-0000-4200-00000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3" name="Text Box 3">
          <a:extLst>
            <a:ext uri="{FF2B5EF4-FFF2-40B4-BE49-F238E27FC236}">
              <a16:creationId xmlns:a16="http://schemas.microsoft.com/office/drawing/2014/main" id="{00000000-0008-0000-4200-00000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4" name="Text Box 4">
          <a:extLst>
            <a:ext uri="{FF2B5EF4-FFF2-40B4-BE49-F238E27FC236}">
              <a16:creationId xmlns:a16="http://schemas.microsoft.com/office/drawing/2014/main" id="{00000000-0008-0000-4200-00000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5" name="Text Box 5">
          <a:extLst>
            <a:ext uri="{FF2B5EF4-FFF2-40B4-BE49-F238E27FC236}">
              <a16:creationId xmlns:a16="http://schemas.microsoft.com/office/drawing/2014/main" id="{00000000-0008-0000-4200-00000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6" name="Text Box 6">
          <a:extLst>
            <a:ext uri="{FF2B5EF4-FFF2-40B4-BE49-F238E27FC236}">
              <a16:creationId xmlns:a16="http://schemas.microsoft.com/office/drawing/2014/main" id="{00000000-0008-0000-4200-00001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7" name="Text Box 7">
          <a:extLst>
            <a:ext uri="{FF2B5EF4-FFF2-40B4-BE49-F238E27FC236}">
              <a16:creationId xmlns:a16="http://schemas.microsoft.com/office/drawing/2014/main" id="{00000000-0008-0000-4200-00001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18" name="Text Box 0">
          <a:extLst>
            <a:ext uri="{FF2B5EF4-FFF2-40B4-BE49-F238E27FC236}">
              <a16:creationId xmlns:a16="http://schemas.microsoft.com/office/drawing/2014/main" id="{00000000-0008-0000-4200-00001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19" name="Text Box 1">
          <a:extLst>
            <a:ext uri="{FF2B5EF4-FFF2-40B4-BE49-F238E27FC236}">
              <a16:creationId xmlns:a16="http://schemas.microsoft.com/office/drawing/2014/main" id="{00000000-0008-0000-4200-00001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0" name="Text Box 2">
          <a:extLst>
            <a:ext uri="{FF2B5EF4-FFF2-40B4-BE49-F238E27FC236}">
              <a16:creationId xmlns:a16="http://schemas.microsoft.com/office/drawing/2014/main" id="{00000000-0008-0000-4200-00001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1" name="Text Box 3">
          <a:extLst>
            <a:ext uri="{FF2B5EF4-FFF2-40B4-BE49-F238E27FC236}">
              <a16:creationId xmlns:a16="http://schemas.microsoft.com/office/drawing/2014/main" id="{00000000-0008-0000-4200-00001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2" name="Text Box 4">
          <a:extLst>
            <a:ext uri="{FF2B5EF4-FFF2-40B4-BE49-F238E27FC236}">
              <a16:creationId xmlns:a16="http://schemas.microsoft.com/office/drawing/2014/main" id="{00000000-0008-0000-4200-00001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3" name="Text Box 5">
          <a:extLst>
            <a:ext uri="{FF2B5EF4-FFF2-40B4-BE49-F238E27FC236}">
              <a16:creationId xmlns:a16="http://schemas.microsoft.com/office/drawing/2014/main" id="{00000000-0008-0000-4200-00001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4" name="Text Box 6">
          <a:extLst>
            <a:ext uri="{FF2B5EF4-FFF2-40B4-BE49-F238E27FC236}">
              <a16:creationId xmlns:a16="http://schemas.microsoft.com/office/drawing/2014/main" id="{00000000-0008-0000-4200-00001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5" name="Text Box 7">
          <a:extLst>
            <a:ext uri="{FF2B5EF4-FFF2-40B4-BE49-F238E27FC236}">
              <a16:creationId xmlns:a16="http://schemas.microsoft.com/office/drawing/2014/main" id="{00000000-0008-0000-4200-00001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6" name="Text Box 0">
          <a:extLst>
            <a:ext uri="{FF2B5EF4-FFF2-40B4-BE49-F238E27FC236}">
              <a16:creationId xmlns:a16="http://schemas.microsoft.com/office/drawing/2014/main" id="{00000000-0008-0000-4200-00001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7" name="Text Box 1">
          <a:extLst>
            <a:ext uri="{FF2B5EF4-FFF2-40B4-BE49-F238E27FC236}">
              <a16:creationId xmlns:a16="http://schemas.microsoft.com/office/drawing/2014/main" id="{00000000-0008-0000-4200-00001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8" name="Text Box 2">
          <a:extLst>
            <a:ext uri="{FF2B5EF4-FFF2-40B4-BE49-F238E27FC236}">
              <a16:creationId xmlns:a16="http://schemas.microsoft.com/office/drawing/2014/main" id="{00000000-0008-0000-4200-00001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9" name="Text Box 3">
          <a:extLst>
            <a:ext uri="{FF2B5EF4-FFF2-40B4-BE49-F238E27FC236}">
              <a16:creationId xmlns:a16="http://schemas.microsoft.com/office/drawing/2014/main" id="{00000000-0008-0000-4200-00001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0" name="Text Box 4">
          <a:extLst>
            <a:ext uri="{FF2B5EF4-FFF2-40B4-BE49-F238E27FC236}">
              <a16:creationId xmlns:a16="http://schemas.microsoft.com/office/drawing/2014/main" id="{00000000-0008-0000-4200-00001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1" name="Text Box 5">
          <a:extLst>
            <a:ext uri="{FF2B5EF4-FFF2-40B4-BE49-F238E27FC236}">
              <a16:creationId xmlns:a16="http://schemas.microsoft.com/office/drawing/2014/main" id="{00000000-0008-0000-4200-00001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2" name="Text Box 6">
          <a:extLst>
            <a:ext uri="{FF2B5EF4-FFF2-40B4-BE49-F238E27FC236}">
              <a16:creationId xmlns:a16="http://schemas.microsoft.com/office/drawing/2014/main" id="{00000000-0008-0000-4200-00002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3" name="Text Box 7">
          <a:extLst>
            <a:ext uri="{FF2B5EF4-FFF2-40B4-BE49-F238E27FC236}">
              <a16:creationId xmlns:a16="http://schemas.microsoft.com/office/drawing/2014/main" id="{00000000-0008-0000-4200-00002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4" name="Text Box 0">
          <a:extLst>
            <a:ext uri="{FF2B5EF4-FFF2-40B4-BE49-F238E27FC236}">
              <a16:creationId xmlns:a16="http://schemas.microsoft.com/office/drawing/2014/main" id="{00000000-0008-0000-4200-00002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5" name="Text Box 1">
          <a:extLst>
            <a:ext uri="{FF2B5EF4-FFF2-40B4-BE49-F238E27FC236}">
              <a16:creationId xmlns:a16="http://schemas.microsoft.com/office/drawing/2014/main" id="{00000000-0008-0000-4200-00002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6" name="Text Box 2">
          <a:extLst>
            <a:ext uri="{FF2B5EF4-FFF2-40B4-BE49-F238E27FC236}">
              <a16:creationId xmlns:a16="http://schemas.microsoft.com/office/drawing/2014/main" id="{00000000-0008-0000-4200-00002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7" name="Text Box 3">
          <a:extLst>
            <a:ext uri="{FF2B5EF4-FFF2-40B4-BE49-F238E27FC236}">
              <a16:creationId xmlns:a16="http://schemas.microsoft.com/office/drawing/2014/main" id="{00000000-0008-0000-4200-00002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8" name="Text Box 4">
          <a:extLst>
            <a:ext uri="{FF2B5EF4-FFF2-40B4-BE49-F238E27FC236}">
              <a16:creationId xmlns:a16="http://schemas.microsoft.com/office/drawing/2014/main" id="{00000000-0008-0000-4200-00002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9" name="Text Box 5">
          <a:extLst>
            <a:ext uri="{FF2B5EF4-FFF2-40B4-BE49-F238E27FC236}">
              <a16:creationId xmlns:a16="http://schemas.microsoft.com/office/drawing/2014/main" id="{00000000-0008-0000-4200-00002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40" name="Text Box 6">
          <a:extLst>
            <a:ext uri="{FF2B5EF4-FFF2-40B4-BE49-F238E27FC236}">
              <a16:creationId xmlns:a16="http://schemas.microsoft.com/office/drawing/2014/main" id="{00000000-0008-0000-4200-00002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41" name="Text Box 7">
          <a:extLst>
            <a:ext uri="{FF2B5EF4-FFF2-40B4-BE49-F238E27FC236}">
              <a16:creationId xmlns:a16="http://schemas.microsoft.com/office/drawing/2014/main" id="{00000000-0008-0000-4200-00002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2" name="Text Box 0">
          <a:extLst>
            <a:ext uri="{FF2B5EF4-FFF2-40B4-BE49-F238E27FC236}">
              <a16:creationId xmlns:a16="http://schemas.microsoft.com/office/drawing/2014/main" id="{00000000-0008-0000-4200-00002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3" name="Text Box 1">
          <a:extLst>
            <a:ext uri="{FF2B5EF4-FFF2-40B4-BE49-F238E27FC236}">
              <a16:creationId xmlns:a16="http://schemas.microsoft.com/office/drawing/2014/main" id="{00000000-0008-0000-4200-00002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4" name="Text Box 2">
          <a:extLst>
            <a:ext uri="{FF2B5EF4-FFF2-40B4-BE49-F238E27FC236}">
              <a16:creationId xmlns:a16="http://schemas.microsoft.com/office/drawing/2014/main" id="{00000000-0008-0000-4200-00002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5" name="Text Box 3">
          <a:extLst>
            <a:ext uri="{FF2B5EF4-FFF2-40B4-BE49-F238E27FC236}">
              <a16:creationId xmlns:a16="http://schemas.microsoft.com/office/drawing/2014/main" id="{00000000-0008-0000-4200-00002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6" name="Text Box 4">
          <a:extLst>
            <a:ext uri="{FF2B5EF4-FFF2-40B4-BE49-F238E27FC236}">
              <a16:creationId xmlns:a16="http://schemas.microsoft.com/office/drawing/2014/main" id="{00000000-0008-0000-4200-00002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7" name="Text Box 5">
          <a:extLst>
            <a:ext uri="{FF2B5EF4-FFF2-40B4-BE49-F238E27FC236}">
              <a16:creationId xmlns:a16="http://schemas.microsoft.com/office/drawing/2014/main" id="{00000000-0008-0000-4200-00002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8" name="Text Box 6">
          <a:extLst>
            <a:ext uri="{FF2B5EF4-FFF2-40B4-BE49-F238E27FC236}">
              <a16:creationId xmlns:a16="http://schemas.microsoft.com/office/drawing/2014/main" id="{00000000-0008-0000-4200-00003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9" name="Text Box 7">
          <a:extLst>
            <a:ext uri="{FF2B5EF4-FFF2-40B4-BE49-F238E27FC236}">
              <a16:creationId xmlns:a16="http://schemas.microsoft.com/office/drawing/2014/main" id="{00000000-0008-0000-4200-00003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0" name="Text Box 0">
          <a:extLst>
            <a:ext uri="{FF2B5EF4-FFF2-40B4-BE49-F238E27FC236}">
              <a16:creationId xmlns:a16="http://schemas.microsoft.com/office/drawing/2014/main" id="{00000000-0008-0000-4200-00003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1" name="Text Box 1">
          <a:extLst>
            <a:ext uri="{FF2B5EF4-FFF2-40B4-BE49-F238E27FC236}">
              <a16:creationId xmlns:a16="http://schemas.microsoft.com/office/drawing/2014/main" id="{00000000-0008-0000-4200-00003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2" name="Text Box 2">
          <a:extLst>
            <a:ext uri="{FF2B5EF4-FFF2-40B4-BE49-F238E27FC236}">
              <a16:creationId xmlns:a16="http://schemas.microsoft.com/office/drawing/2014/main" id="{00000000-0008-0000-4200-00003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3" name="Text Box 3">
          <a:extLst>
            <a:ext uri="{FF2B5EF4-FFF2-40B4-BE49-F238E27FC236}">
              <a16:creationId xmlns:a16="http://schemas.microsoft.com/office/drawing/2014/main" id="{00000000-0008-0000-4200-00003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4" name="Text Box 4">
          <a:extLst>
            <a:ext uri="{FF2B5EF4-FFF2-40B4-BE49-F238E27FC236}">
              <a16:creationId xmlns:a16="http://schemas.microsoft.com/office/drawing/2014/main" id="{00000000-0008-0000-4200-00003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5" name="Text Box 5">
          <a:extLst>
            <a:ext uri="{FF2B5EF4-FFF2-40B4-BE49-F238E27FC236}">
              <a16:creationId xmlns:a16="http://schemas.microsoft.com/office/drawing/2014/main" id="{00000000-0008-0000-4200-00003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6" name="Text Box 6">
          <a:extLst>
            <a:ext uri="{FF2B5EF4-FFF2-40B4-BE49-F238E27FC236}">
              <a16:creationId xmlns:a16="http://schemas.microsoft.com/office/drawing/2014/main" id="{00000000-0008-0000-4200-00003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7" name="Text Box 7">
          <a:extLst>
            <a:ext uri="{FF2B5EF4-FFF2-40B4-BE49-F238E27FC236}">
              <a16:creationId xmlns:a16="http://schemas.microsoft.com/office/drawing/2014/main" id="{00000000-0008-0000-4200-00003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58" name="Text Box 0">
          <a:extLst>
            <a:ext uri="{FF2B5EF4-FFF2-40B4-BE49-F238E27FC236}">
              <a16:creationId xmlns:a16="http://schemas.microsoft.com/office/drawing/2014/main" id="{00000000-0008-0000-4200-00003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59" name="Text Box 1">
          <a:extLst>
            <a:ext uri="{FF2B5EF4-FFF2-40B4-BE49-F238E27FC236}">
              <a16:creationId xmlns:a16="http://schemas.microsoft.com/office/drawing/2014/main" id="{00000000-0008-0000-4200-00003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0" name="Text Box 2">
          <a:extLst>
            <a:ext uri="{FF2B5EF4-FFF2-40B4-BE49-F238E27FC236}">
              <a16:creationId xmlns:a16="http://schemas.microsoft.com/office/drawing/2014/main" id="{00000000-0008-0000-4200-00003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1" name="Text Box 3">
          <a:extLst>
            <a:ext uri="{FF2B5EF4-FFF2-40B4-BE49-F238E27FC236}">
              <a16:creationId xmlns:a16="http://schemas.microsoft.com/office/drawing/2014/main" id="{00000000-0008-0000-4200-00003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2" name="Text Box 4">
          <a:extLst>
            <a:ext uri="{FF2B5EF4-FFF2-40B4-BE49-F238E27FC236}">
              <a16:creationId xmlns:a16="http://schemas.microsoft.com/office/drawing/2014/main" id="{00000000-0008-0000-4200-00003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3" name="Text Box 5">
          <a:extLst>
            <a:ext uri="{FF2B5EF4-FFF2-40B4-BE49-F238E27FC236}">
              <a16:creationId xmlns:a16="http://schemas.microsoft.com/office/drawing/2014/main" id="{00000000-0008-0000-4200-00003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4" name="Text Box 6">
          <a:extLst>
            <a:ext uri="{FF2B5EF4-FFF2-40B4-BE49-F238E27FC236}">
              <a16:creationId xmlns:a16="http://schemas.microsoft.com/office/drawing/2014/main" id="{00000000-0008-0000-4200-00004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5" name="Text Box 7">
          <a:extLst>
            <a:ext uri="{FF2B5EF4-FFF2-40B4-BE49-F238E27FC236}">
              <a16:creationId xmlns:a16="http://schemas.microsoft.com/office/drawing/2014/main" id="{00000000-0008-0000-4200-00004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6" name="Text Box 0">
          <a:extLst>
            <a:ext uri="{FF2B5EF4-FFF2-40B4-BE49-F238E27FC236}">
              <a16:creationId xmlns:a16="http://schemas.microsoft.com/office/drawing/2014/main" id="{00000000-0008-0000-4200-00004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7" name="Text Box 1">
          <a:extLst>
            <a:ext uri="{FF2B5EF4-FFF2-40B4-BE49-F238E27FC236}">
              <a16:creationId xmlns:a16="http://schemas.microsoft.com/office/drawing/2014/main" id="{00000000-0008-0000-4200-00004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8" name="Text Box 2">
          <a:extLst>
            <a:ext uri="{FF2B5EF4-FFF2-40B4-BE49-F238E27FC236}">
              <a16:creationId xmlns:a16="http://schemas.microsoft.com/office/drawing/2014/main" id="{00000000-0008-0000-4200-00004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9" name="Text Box 3">
          <a:extLst>
            <a:ext uri="{FF2B5EF4-FFF2-40B4-BE49-F238E27FC236}">
              <a16:creationId xmlns:a16="http://schemas.microsoft.com/office/drawing/2014/main" id="{00000000-0008-0000-4200-00004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0" name="Text Box 4">
          <a:extLst>
            <a:ext uri="{FF2B5EF4-FFF2-40B4-BE49-F238E27FC236}">
              <a16:creationId xmlns:a16="http://schemas.microsoft.com/office/drawing/2014/main" id="{00000000-0008-0000-4200-00004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1" name="Text Box 5">
          <a:extLst>
            <a:ext uri="{FF2B5EF4-FFF2-40B4-BE49-F238E27FC236}">
              <a16:creationId xmlns:a16="http://schemas.microsoft.com/office/drawing/2014/main" id="{00000000-0008-0000-4200-00004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2" name="Text Box 6">
          <a:extLst>
            <a:ext uri="{FF2B5EF4-FFF2-40B4-BE49-F238E27FC236}">
              <a16:creationId xmlns:a16="http://schemas.microsoft.com/office/drawing/2014/main" id="{00000000-0008-0000-4200-00004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3" name="Text Box 7">
          <a:extLst>
            <a:ext uri="{FF2B5EF4-FFF2-40B4-BE49-F238E27FC236}">
              <a16:creationId xmlns:a16="http://schemas.microsoft.com/office/drawing/2014/main" id="{00000000-0008-0000-4200-00004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4" name="Text Box 0">
          <a:extLst>
            <a:ext uri="{FF2B5EF4-FFF2-40B4-BE49-F238E27FC236}">
              <a16:creationId xmlns:a16="http://schemas.microsoft.com/office/drawing/2014/main" id="{00000000-0008-0000-4200-00004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5" name="Text Box 1">
          <a:extLst>
            <a:ext uri="{FF2B5EF4-FFF2-40B4-BE49-F238E27FC236}">
              <a16:creationId xmlns:a16="http://schemas.microsoft.com/office/drawing/2014/main" id="{00000000-0008-0000-4200-00004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6" name="Text Box 2">
          <a:extLst>
            <a:ext uri="{FF2B5EF4-FFF2-40B4-BE49-F238E27FC236}">
              <a16:creationId xmlns:a16="http://schemas.microsoft.com/office/drawing/2014/main" id="{00000000-0008-0000-4200-00004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7" name="Text Box 3">
          <a:extLst>
            <a:ext uri="{FF2B5EF4-FFF2-40B4-BE49-F238E27FC236}">
              <a16:creationId xmlns:a16="http://schemas.microsoft.com/office/drawing/2014/main" id="{00000000-0008-0000-4200-00004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8" name="Text Box 4">
          <a:extLst>
            <a:ext uri="{FF2B5EF4-FFF2-40B4-BE49-F238E27FC236}">
              <a16:creationId xmlns:a16="http://schemas.microsoft.com/office/drawing/2014/main" id="{00000000-0008-0000-4200-00004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9" name="Text Box 5">
          <a:extLst>
            <a:ext uri="{FF2B5EF4-FFF2-40B4-BE49-F238E27FC236}">
              <a16:creationId xmlns:a16="http://schemas.microsoft.com/office/drawing/2014/main" id="{00000000-0008-0000-4200-00004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80" name="Text Box 6">
          <a:extLst>
            <a:ext uri="{FF2B5EF4-FFF2-40B4-BE49-F238E27FC236}">
              <a16:creationId xmlns:a16="http://schemas.microsoft.com/office/drawing/2014/main" id="{00000000-0008-0000-4200-00005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81" name="Text Box 7">
          <a:extLst>
            <a:ext uri="{FF2B5EF4-FFF2-40B4-BE49-F238E27FC236}">
              <a16:creationId xmlns:a16="http://schemas.microsoft.com/office/drawing/2014/main" id="{00000000-0008-0000-4200-00005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2" name="Text Box 0">
          <a:extLst>
            <a:ext uri="{FF2B5EF4-FFF2-40B4-BE49-F238E27FC236}">
              <a16:creationId xmlns:a16="http://schemas.microsoft.com/office/drawing/2014/main" id="{00000000-0008-0000-4200-00005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3" name="Text Box 1">
          <a:extLst>
            <a:ext uri="{FF2B5EF4-FFF2-40B4-BE49-F238E27FC236}">
              <a16:creationId xmlns:a16="http://schemas.microsoft.com/office/drawing/2014/main" id="{00000000-0008-0000-4200-00005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4" name="Text Box 2">
          <a:extLst>
            <a:ext uri="{FF2B5EF4-FFF2-40B4-BE49-F238E27FC236}">
              <a16:creationId xmlns:a16="http://schemas.microsoft.com/office/drawing/2014/main" id="{00000000-0008-0000-4200-00005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5" name="Text Box 3">
          <a:extLst>
            <a:ext uri="{FF2B5EF4-FFF2-40B4-BE49-F238E27FC236}">
              <a16:creationId xmlns:a16="http://schemas.microsoft.com/office/drawing/2014/main" id="{00000000-0008-0000-4200-00005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6" name="Text Box 4">
          <a:extLst>
            <a:ext uri="{FF2B5EF4-FFF2-40B4-BE49-F238E27FC236}">
              <a16:creationId xmlns:a16="http://schemas.microsoft.com/office/drawing/2014/main" id="{00000000-0008-0000-4200-00005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7" name="Text Box 5">
          <a:extLst>
            <a:ext uri="{FF2B5EF4-FFF2-40B4-BE49-F238E27FC236}">
              <a16:creationId xmlns:a16="http://schemas.microsoft.com/office/drawing/2014/main" id="{00000000-0008-0000-4200-00005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8" name="Text Box 6">
          <a:extLst>
            <a:ext uri="{FF2B5EF4-FFF2-40B4-BE49-F238E27FC236}">
              <a16:creationId xmlns:a16="http://schemas.microsoft.com/office/drawing/2014/main" id="{00000000-0008-0000-4200-00005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9" name="Text Box 7">
          <a:extLst>
            <a:ext uri="{FF2B5EF4-FFF2-40B4-BE49-F238E27FC236}">
              <a16:creationId xmlns:a16="http://schemas.microsoft.com/office/drawing/2014/main" id="{00000000-0008-0000-4200-00005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0" name="Text Box 1">
          <a:extLst>
            <a:ext uri="{FF2B5EF4-FFF2-40B4-BE49-F238E27FC236}">
              <a16:creationId xmlns:a16="http://schemas.microsoft.com/office/drawing/2014/main" id="{00000000-0008-0000-4200-00005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1" name="Text Box 2">
          <a:extLst>
            <a:ext uri="{FF2B5EF4-FFF2-40B4-BE49-F238E27FC236}">
              <a16:creationId xmlns:a16="http://schemas.microsoft.com/office/drawing/2014/main" id="{00000000-0008-0000-4200-00005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2" name="Text Box 5">
          <a:extLst>
            <a:ext uri="{FF2B5EF4-FFF2-40B4-BE49-F238E27FC236}">
              <a16:creationId xmlns:a16="http://schemas.microsoft.com/office/drawing/2014/main" id="{00000000-0008-0000-4200-00005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3" name="Text Box 6">
          <a:extLst>
            <a:ext uri="{FF2B5EF4-FFF2-40B4-BE49-F238E27FC236}">
              <a16:creationId xmlns:a16="http://schemas.microsoft.com/office/drawing/2014/main" id="{00000000-0008-0000-4200-00005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4" name="Text Box 7">
          <a:extLst>
            <a:ext uri="{FF2B5EF4-FFF2-40B4-BE49-F238E27FC236}">
              <a16:creationId xmlns:a16="http://schemas.microsoft.com/office/drawing/2014/main" id="{00000000-0008-0000-4200-00005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5" name="Text Box 8">
          <a:extLst>
            <a:ext uri="{FF2B5EF4-FFF2-40B4-BE49-F238E27FC236}">
              <a16:creationId xmlns:a16="http://schemas.microsoft.com/office/drawing/2014/main" id="{00000000-0008-0000-4200-00005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6" name="Text Box 9">
          <a:extLst>
            <a:ext uri="{FF2B5EF4-FFF2-40B4-BE49-F238E27FC236}">
              <a16:creationId xmlns:a16="http://schemas.microsoft.com/office/drawing/2014/main" id="{00000000-0008-0000-4200-00006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7" name="Text Box 10">
          <a:extLst>
            <a:ext uri="{FF2B5EF4-FFF2-40B4-BE49-F238E27FC236}">
              <a16:creationId xmlns:a16="http://schemas.microsoft.com/office/drawing/2014/main" id="{00000000-0008-0000-4200-00006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98" name="Text Box 1">
          <a:extLst>
            <a:ext uri="{FF2B5EF4-FFF2-40B4-BE49-F238E27FC236}">
              <a16:creationId xmlns:a16="http://schemas.microsoft.com/office/drawing/2014/main" id="{00000000-0008-0000-4200-000062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99" name="Text Box 2">
          <a:extLst>
            <a:ext uri="{FF2B5EF4-FFF2-40B4-BE49-F238E27FC236}">
              <a16:creationId xmlns:a16="http://schemas.microsoft.com/office/drawing/2014/main" id="{00000000-0008-0000-4200-000063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0" name="Text Box 5">
          <a:extLst>
            <a:ext uri="{FF2B5EF4-FFF2-40B4-BE49-F238E27FC236}">
              <a16:creationId xmlns:a16="http://schemas.microsoft.com/office/drawing/2014/main" id="{00000000-0008-0000-4200-000064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1" name="Text Box 6">
          <a:extLst>
            <a:ext uri="{FF2B5EF4-FFF2-40B4-BE49-F238E27FC236}">
              <a16:creationId xmlns:a16="http://schemas.microsoft.com/office/drawing/2014/main" id="{00000000-0008-0000-4200-000065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2" name="Text Box 7">
          <a:extLst>
            <a:ext uri="{FF2B5EF4-FFF2-40B4-BE49-F238E27FC236}">
              <a16:creationId xmlns:a16="http://schemas.microsoft.com/office/drawing/2014/main" id="{00000000-0008-0000-4200-000066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3" name="Text Box 8">
          <a:extLst>
            <a:ext uri="{FF2B5EF4-FFF2-40B4-BE49-F238E27FC236}">
              <a16:creationId xmlns:a16="http://schemas.microsoft.com/office/drawing/2014/main" id="{00000000-0008-0000-4200-000067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4" name="Text Box 9">
          <a:extLst>
            <a:ext uri="{FF2B5EF4-FFF2-40B4-BE49-F238E27FC236}">
              <a16:creationId xmlns:a16="http://schemas.microsoft.com/office/drawing/2014/main" id="{00000000-0008-0000-4200-000068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5" name="Text Box 10">
          <a:extLst>
            <a:ext uri="{FF2B5EF4-FFF2-40B4-BE49-F238E27FC236}">
              <a16:creationId xmlns:a16="http://schemas.microsoft.com/office/drawing/2014/main" id="{00000000-0008-0000-4200-000069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238125</xdr:colOff>
      <xdr:row>21</xdr:row>
      <xdr:rowOff>0</xdr:rowOff>
    </xdr:from>
    <xdr:to>
      <xdr:col>16</xdr:col>
      <xdr:colOff>238125</xdr:colOff>
      <xdr:row>22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238125</xdr:colOff>
      <xdr:row>23</xdr:row>
      <xdr:rowOff>38100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4100-000003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238125</xdr:colOff>
      <xdr:row>24</xdr:row>
      <xdr:rowOff>38100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4100-000004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238125</xdr:colOff>
      <xdr:row>25</xdr:row>
      <xdr:rowOff>38100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0000000-0008-0000-4100-000005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21</xdr:row>
      <xdr:rowOff>0</xdr:rowOff>
    </xdr:from>
    <xdr:to>
      <xdr:col>16</xdr:col>
      <xdr:colOff>342900</xdr:colOff>
      <xdr:row>22</xdr:row>
      <xdr:rowOff>38100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00000000-0008-0000-4100-000006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342900</xdr:colOff>
      <xdr:row>23</xdr:row>
      <xdr:rowOff>76200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00000000-0008-0000-4100-000007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342900</xdr:colOff>
      <xdr:row>24</xdr:row>
      <xdr:rowOff>38100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00000000-0008-0000-4100-000008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342900</xdr:colOff>
      <xdr:row>25</xdr:row>
      <xdr:rowOff>38100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00000000-0008-0000-4100-000009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2" name="Text Box 0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4200-00000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00000000-0008-0000-4200-00000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4200-00000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id="{00000000-0008-0000-4200-00000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id="{00000000-0008-0000-4200-00000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8" name="Text Box 6">
          <a:extLst>
            <a:ext uri="{FF2B5EF4-FFF2-40B4-BE49-F238E27FC236}">
              <a16:creationId xmlns:a16="http://schemas.microsoft.com/office/drawing/2014/main" id="{00000000-0008-0000-4200-00000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9" name="Text Box 7">
          <a:extLst>
            <a:ext uri="{FF2B5EF4-FFF2-40B4-BE49-F238E27FC236}">
              <a16:creationId xmlns:a16="http://schemas.microsoft.com/office/drawing/2014/main" id="{00000000-0008-0000-4200-00000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0" name="Text Box 0">
          <a:extLst>
            <a:ext uri="{FF2B5EF4-FFF2-40B4-BE49-F238E27FC236}">
              <a16:creationId xmlns:a16="http://schemas.microsoft.com/office/drawing/2014/main" id="{00000000-0008-0000-4200-00000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id="{00000000-0008-0000-4200-00000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00000000-0008-0000-4200-00000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3" name="Text Box 3">
          <a:extLst>
            <a:ext uri="{FF2B5EF4-FFF2-40B4-BE49-F238E27FC236}">
              <a16:creationId xmlns:a16="http://schemas.microsoft.com/office/drawing/2014/main" id="{00000000-0008-0000-4200-00000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4" name="Text Box 4">
          <a:extLst>
            <a:ext uri="{FF2B5EF4-FFF2-40B4-BE49-F238E27FC236}">
              <a16:creationId xmlns:a16="http://schemas.microsoft.com/office/drawing/2014/main" id="{00000000-0008-0000-4200-00000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5" name="Text Box 5">
          <a:extLst>
            <a:ext uri="{FF2B5EF4-FFF2-40B4-BE49-F238E27FC236}">
              <a16:creationId xmlns:a16="http://schemas.microsoft.com/office/drawing/2014/main" id="{00000000-0008-0000-4200-00000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6" name="Text Box 6">
          <a:extLst>
            <a:ext uri="{FF2B5EF4-FFF2-40B4-BE49-F238E27FC236}">
              <a16:creationId xmlns:a16="http://schemas.microsoft.com/office/drawing/2014/main" id="{00000000-0008-0000-4200-00001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7" name="Text Box 7">
          <a:extLst>
            <a:ext uri="{FF2B5EF4-FFF2-40B4-BE49-F238E27FC236}">
              <a16:creationId xmlns:a16="http://schemas.microsoft.com/office/drawing/2014/main" id="{00000000-0008-0000-4200-00001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18" name="Text Box 0">
          <a:extLst>
            <a:ext uri="{FF2B5EF4-FFF2-40B4-BE49-F238E27FC236}">
              <a16:creationId xmlns:a16="http://schemas.microsoft.com/office/drawing/2014/main" id="{00000000-0008-0000-4200-00001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19" name="Text Box 1">
          <a:extLst>
            <a:ext uri="{FF2B5EF4-FFF2-40B4-BE49-F238E27FC236}">
              <a16:creationId xmlns:a16="http://schemas.microsoft.com/office/drawing/2014/main" id="{00000000-0008-0000-4200-00001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0" name="Text Box 2">
          <a:extLst>
            <a:ext uri="{FF2B5EF4-FFF2-40B4-BE49-F238E27FC236}">
              <a16:creationId xmlns:a16="http://schemas.microsoft.com/office/drawing/2014/main" id="{00000000-0008-0000-4200-00001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1" name="Text Box 3">
          <a:extLst>
            <a:ext uri="{FF2B5EF4-FFF2-40B4-BE49-F238E27FC236}">
              <a16:creationId xmlns:a16="http://schemas.microsoft.com/office/drawing/2014/main" id="{00000000-0008-0000-4200-00001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2" name="Text Box 4">
          <a:extLst>
            <a:ext uri="{FF2B5EF4-FFF2-40B4-BE49-F238E27FC236}">
              <a16:creationId xmlns:a16="http://schemas.microsoft.com/office/drawing/2014/main" id="{00000000-0008-0000-4200-00001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3" name="Text Box 5">
          <a:extLst>
            <a:ext uri="{FF2B5EF4-FFF2-40B4-BE49-F238E27FC236}">
              <a16:creationId xmlns:a16="http://schemas.microsoft.com/office/drawing/2014/main" id="{00000000-0008-0000-4200-00001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4" name="Text Box 6">
          <a:extLst>
            <a:ext uri="{FF2B5EF4-FFF2-40B4-BE49-F238E27FC236}">
              <a16:creationId xmlns:a16="http://schemas.microsoft.com/office/drawing/2014/main" id="{00000000-0008-0000-4200-00001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5" name="Text Box 7">
          <a:extLst>
            <a:ext uri="{FF2B5EF4-FFF2-40B4-BE49-F238E27FC236}">
              <a16:creationId xmlns:a16="http://schemas.microsoft.com/office/drawing/2014/main" id="{00000000-0008-0000-4200-00001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6" name="Text Box 0">
          <a:extLst>
            <a:ext uri="{FF2B5EF4-FFF2-40B4-BE49-F238E27FC236}">
              <a16:creationId xmlns:a16="http://schemas.microsoft.com/office/drawing/2014/main" id="{00000000-0008-0000-4200-00001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7" name="Text Box 1">
          <a:extLst>
            <a:ext uri="{FF2B5EF4-FFF2-40B4-BE49-F238E27FC236}">
              <a16:creationId xmlns:a16="http://schemas.microsoft.com/office/drawing/2014/main" id="{00000000-0008-0000-4200-00001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8" name="Text Box 2">
          <a:extLst>
            <a:ext uri="{FF2B5EF4-FFF2-40B4-BE49-F238E27FC236}">
              <a16:creationId xmlns:a16="http://schemas.microsoft.com/office/drawing/2014/main" id="{00000000-0008-0000-4200-00001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9" name="Text Box 3">
          <a:extLst>
            <a:ext uri="{FF2B5EF4-FFF2-40B4-BE49-F238E27FC236}">
              <a16:creationId xmlns:a16="http://schemas.microsoft.com/office/drawing/2014/main" id="{00000000-0008-0000-4200-00001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0" name="Text Box 4">
          <a:extLst>
            <a:ext uri="{FF2B5EF4-FFF2-40B4-BE49-F238E27FC236}">
              <a16:creationId xmlns:a16="http://schemas.microsoft.com/office/drawing/2014/main" id="{00000000-0008-0000-4200-00001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1" name="Text Box 5">
          <a:extLst>
            <a:ext uri="{FF2B5EF4-FFF2-40B4-BE49-F238E27FC236}">
              <a16:creationId xmlns:a16="http://schemas.microsoft.com/office/drawing/2014/main" id="{00000000-0008-0000-4200-00001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2" name="Text Box 6">
          <a:extLst>
            <a:ext uri="{FF2B5EF4-FFF2-40B4-BE49-F238E27FC236}">
              <a16:creationId xmlns:a16="http://schemas.microsoft.com/office/drawing/2014/main" id="{00000000-0008-0000-4200-00002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3" name="Text Box 7">
          <a:extLst>
            <a:ext uri="{FF2B5EF4-FFF2-40B4-BE49-F238E27FC236}">
              <a16:creationId xmlns:a16="http://schemas.microsoft.com/office/drawing/2014/main" id="{00000000-0008-0000-4200-00002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4" name="Text Box 0">
          <a:extLst>
            <a:ext uri="{FF2B5EF4-FFF2-40B4-BE49-F238E27FC236}">
              <a16:creationId xmlns:a16="http://schemas.microsoft.com/office/drawing/2014/main" id="{00000000-0008-0000-4200-00002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5" name="Text Box 1">
          <a:extLst>
            <a:ext uri="{FF2B5EF4-FFF2-40B4-BE49-F238E27FC236}">
              <a16:creationId xmlns:a16="http://schemas.microsoft.com/office/drawing/2014/main" id="{00000000-0008-0000-4200-00002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6" name="Text Box 2">
          <a:extLst>
            <a:ext uri="{FF2B5EF4-FFF2-40B4-BE49-F238E27FC236}">
              <a16:creationId xmlns:a16="http://schemas.microsoft.com/office/drawing/2014/main" id="{00000000-0008-0000-4200-00002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7" name="Text Box 3">
          <a:extLst>
            <a:ext uri="{FF2B5EF4-FFF2-40B4-BE49-F238E27FC236}">
              <a16:creationId xmlns:a16="http://schemas.microsoft.com/office/drawing/2014/main" id="{00000000-0008-0000-4200-00002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8" name="Text Box 4">
          <a:extLst>
            <a:ext uri="{FF2B5EF4-FFF2-40B4-BE49-F238E27FC236}">
              <a16:creationId xmlns:a16="http://schemas.microsoft.com/office/drawing/2014/main" id="{00000000-0008-0000-4200-00002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9" name="Text Box 5">
          <a:extLst>
            <a:ext uri="{FF2B5EF4-FFF2-40B4-BE49-F238E27FC236}">
              <a16:creationId xmlns:a16="http://schemas.microsoft.com/office/drawing/2014/main" id="{00000000-0008-0000-4200-00002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40" name="Text Box 6">
          <a:extLst>
            <a:ext uri="{FF2B5EF4-FFF2-40B4-BE49-F238E27FC236}">
              <a16:creationId xmlns:a16="http://schemas.microsoft.com/office/drawing/2014/main" id="{00000000-0008-0000-4200-00002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41" name="Text Box 7">
          <a:extLst>
            <a:ext uri="{FF2B5EF4-FFF2-40B4-BE49-F238E27FC236}">
              <a16:creationId xmlns:a16="http://schemas.microsoft.com/office/drawing/2014/main" id="{00000000-0008-0000-4200-00002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2" name="Text Box 0">
          <a:extLst>
            <a:ext uri="{FF2B5EF4-FFF2-40B4-BE49-F238E27FC236}">
              <a16:creationId xmlns:a16="http://schemas.microsoft.com/office/drawing/2014/main" id="{00000000-0008-0000-4200-00002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3" name="Text Box 1">
          <a:extLst>
            <a:ext uri="{FF2B5EF4-FFF2-40B4-BE49-F238E27FC236}">
              <a16:creationId xmlns:a16="http://schemas.microsoft.com/office/drawing/2014/main" id="{00000000-0008-0000-4200-00002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4" name="Text Box 2">
          <a:extLst>
            <a:ext uri="{FF2B5EF4-FFF2-40B4-BE49-F238E27FC236}">
              <a16:creationId xmlns:a16="http://schemas.microsoft.com/office/drawing/2014/main" id="{00000000-0008-0000-4200-00002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5" name="Text Box 3">
          <a:extLst>
            <a:ext uri="{FF2B5EF4-FFF2-40B4-BE49-F238E27FC236}">
              <a16:creationId xmlns:a16="http://schemas.microsoft.com/office/drawing/2014/main" id="{00000000-0008-0000-4200-00002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6" name="Text Box 4">
          <a:extLst>
            <a:ext uri="{FF2B5EF4-FFF2-40B4-BE49-F238E27FC236}">
              <a16:creationId xmlns:a16="http://schemas.microsoft.com/office/drawing/2014/main" id="{00000000-0008-0000-4200-00002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7" name="Text Box 5">
          <a:extLst>
            <a:ext uri="{FF2B5EF4-FFF2-40B4-BE49-F238E27FC236}">
              <a16:creationId xmlns:a16="http://schemas.microsoft.com/office/drawing/2014/main" id="{00000000-0008-0000-4200-00002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8" name="Text Box 6">
          <a:extLst>
            <a:ext uri="{FF2B5EF4-FFF2-40B4-BE49-F238E27FC236}">
              <a16:creationId xmlns:a16="http://schemas.microsoft.com/office/drawing/2014/main" id="{00000000-0008-0000-4200-00003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9" name="Text Box 7">
          <a:extLst>
            <a:ext uri="{FF2B5EF4-FFF2-40B4-BE49-F238E27FC236}">
              <a16:creationId xmlns:a16="http://schemas.microsoft.com/office/drawing/2014/main" id="{00000000-0008-0000-4200-00003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0" name="Text Box 0">
          <a:extLst>
            <a:ext uri="{FF2B5EF4-FFF2-40B4-BE49-F238E27FC236}">
              <a16:creationId xmlns:a16="http://schemas.microsoft.com/office/drawing/2014/main" id="{00000000-0008-0000-4200-00003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1" name="Text Box 1">
          <a:extLst>
            <a:ext uri="{FF2B5EF4-FFF2-40B4-BE49-F238E27FC236}">
              <a16:creationId xmlns:a16="http://schemas.microsoft.com/office/drawing/2014/main" id="{00000000-0008-0000-4200-00003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2" name="Text Box 2">
          <a:extLst>
            <a:ext uri="{FF2B5EF4-FFF2-40B4-BE49-F238E27FC236}">
              <a16:creationId xmlns:a16="http://schemas.microsoft.com/office/drawing/2014/main" id="{00000000-0008-0000-4200-00003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3" name="Text Box 3">
          <a:extLst>
            <a:ext uri="{FF2B5EF4-FFF2-40B4-BE49-F238E27FC236}">
              <a16:creationId xmlns:a16="http://schemas.microsoft.com/office/drawing/2014/main" id="{00000000-0008-0000-4200-00003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4" name="Text Box 4">
          <a:extLst>
            <a:ext uri="{FF2B5EF4-FFF2-40B4-BE49-F238E27FC236}">
              <a16:creationId xmlns:a16="http://schemas.microsoft.com/office/drawing/2014/main" id="{00000000-0008-0000-4200-00003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5" name="Text Box 5">
          <a:extLst>
            <a:ext uri="{FF2B5EF4-FFF2-40B4-BE49-F238E27FC236}">
              <a16:creationId xmlns:a16="http://schemas.microsoft.com/office/drawing/2014/main" id="{00000000-0008-0000-4200-00003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6" name="Text Box 6">
          <a:extLst>
            <a:ext uri="{FF2B5EF4-FFF2-40B4-BE49-F238E27FC236}">
              <a16:creationId xmlns:a16="http://schemas.microsoft.com/office/drawing/2014/main" id="{00000000-0008-0000-4200-00003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7" name="Text Box 7">
          <a:extLst>
            <a:ext uri="{FF2B5EF4-FFF2-40B4-BE49-F238E27FC236}">
              <a16:creationId xmlns:a16="http://schemas.microsoft.com/office/drawing/2014/main" id="{00000000-0008-0000-4200-00003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58" name="Text Box 0">
          <a:extLst>
            <a:ext uri="{FF2B5EF4-FFF2-40B4-BE49-F238E27FC236}">
              <a16:creationId xmlns:a16="http://schemas.microsoft.com/office/drawing/2014/main" id="{00000000-0008-0000-4200-00003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59" name="Text Box 1">
          <a:extLst>
            <a:ext uri="{FF2B5EF4-FFF2-40B4-BE49-F238E27FC236}">
              <a16:creationId xmlns:a16="http://schemas.microsoft.com/office/drawing/2014/main" id="{00000000-0008-0000-4200-00003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0" name="Text Box 2">
          <a:extLst>
            <a:ext uri="{FF2B5EF4-FFF2-40B4-BE49-F238E27FC236}">
              <a16:creationId xmlns:a16="http://schemas.microsoft.com/office/drawing/2014/main" id="{00000000-0008-0000-4200-00003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1" name="Text Box 3">
          <a:extLst>
            <a:ext uri="{FF2B5EF4-FFF2-40B4-BE49-F238E27FC236}">
              <a16:creationId xmlns:a16="http://schemas.microsoft.com/office/drawing/2014/main" id="{00000000-0008-0000-4200-00003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2" name="Text Box 4">
          <a:extLst>
            <a:ext uri="{FF2B5EF4-FFF2-40B4-BE49-F238E27FC236}">
              <a16:creationId xmlns:a16="http://schemas.microsoft.com/office/drawing/2014/main" id="{00000000-0008-0000-4200-00003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3" name="Text Box 5">
          <a:extLst>
            <a:ext uri="{FF2B5EF4-FFF2-40B4-BE49-F238E27FC236}">
              <a16:creationId xmlns:a16="http://schemas.microsoft.com/office/drawing/2014/main" id="{00000000-0008-0000-4200-00003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4" name="Text Box 6">
          <a:extLst>
            <a:ext uri="{FF2B5EF4-FFF2-40B4-BE49-F238E27FC236}">
              <a16:creationId xmlns:a16="http://schemas.microsoft.com/office/drawing/2014/main" id="{00000000-0008-0000-4200-00004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5" name="Text Box 7">
          <a:extLst>
            <a:ext uri="{FF2B5EF4-FFF2-40B4-BE49-F238E27FC236}">
              <a16:creationId xmlns:a16="http://schemas.microsoft.com/office/drawing/2014/main" id="{00000000-0008-0000-4200-00004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6" name="Text Box 0">
          <a:extLst>
            <a:ext uri="{FF2B5EF4-FFF2-40B4-BE49-F238E27FC236}">
              <a16:creationId xmlns:a16="http://schemas.microsoft.com/office/drawing/2014/main" id="{00000000-0008-0000-4200-00004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7" name="Text Box 1">
          <a:extLst>
            <a:ext uri="{FF2B5EF4-FFF2-40B4-BE49-F238E27FC236}">
              <a16:creationId xmlns:a16="http://schemas.microsoft.com/office/drawing/2014/main" id="{00000000-0008-0000-4200-00004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8" name="Text Box 2">
          <a:extLst>
            <a:ext uri="{FF2B5EF4-FFF2-40B4-BE49-F238E27FC236}">
              <a16:creationId xmlns:a16="http://schemas.microsoft.com/office/drawing/2014/main" id="{00000000-0008-0000-4200-00004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9" name="Text Box 3">
          <a:extLst>
            <a:ext uri="{FF2B5EF4-FFF2-40B4-BE49-F238E27FC236}">
              <a16:creationId xmlns:a16="http://schemas.microsoft.com/office/drawing/2014/main" id="{00000000-0008-0000-4200-00004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0" name="Text Box 4">
          <a:extLst>
            <a:ext uri="{FF2B5EF4-FFF2-40B4-BE49-F238E27FC236}">
              <a16:creationId xmlns:a16="http://schemas.microsoft.com/office/drawing/2014/main" id="{00000000-0008-0000-4200-00004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1" name="Text Box 5">
          <a:extLst>
            <a:ext uri="{FF2B5EF4-FFF2-40B4-BE49-F238E27FC236}">
              <a16:creationId xmlns:a16="http://schemas.microsoft.com/office/drawing/2014/main" id="{00000000-0008-0000-4200-00004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2" name="Text Box 6">
          <a:extLst>
            <a:ext uri="{FF2B5EF4-FFF2-40B4-BE49-F238E27FC236}">
              <a16:creationId xmlns:a16="http://schemas.microsoft.com/office/drawing/2014/main" id="{00000000-0008-0000-4200-00004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3" name="Text Box 7">
          <a:extLst>
            <a:ext uri="{FF2B5EF4-FFF2-40B4-BE49-F238E27FC236}">
              <a16:creationId xmlns:a16="http://schemas.microsoft.com/office/drawing/2014/main" id="{00000000-0008-0000-4200-00004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4" name="Text Box 0">
          <a:extLst>
            <a:ext uri="{FF2B5EF4-FFF2-40B4-BE49-F238E27FC236}">
              <a16:creationId xmlns:a16="http://schemas.microsoft.com/office/drawing/2014/main" id="{00000000-0008-0000-4200-00004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5" name="Text Box 1">
          <a:extLst>
            <a:ext uri="{FF2B5EF4-FFF2-40B4-BE49-F238E27FC236}">
              <a16:creationId xmlns:a16="http://schemas.microsoft.com/office/drawing/2014/main" id="{00000000-0008-0000-4200-00004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6" name="Text Box 2">
          <a:extLst>
            <a:ext uri="{FF2B5EF4-FFF2-40B4-BE49-F238E27FC236}">
              <a16:creationId xmlns:a16="http://schemas.microsoft.com/office/drawing/2014/main" id="{00000000-0008-0000-4200-00004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7" name="Text Box 3">
          <a:extLst>
            <a:ext uri="{FF2B5EF4-FFF2-40B4-BE49-F238E27FC236}">
              <a16:creationId xmlns:a16="http://schemas.microsoft.com/office/drawing/2014/main" id="{00000000-0008-0000-4200-00004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8" name="Text Box 4">
          <a:extLst>
            <a:ext uri="{FF2B5EF4-FFF2-40B4-BE49-F238E27FC236}">
              <a16:creationId xmlns:a16="http://schemas.microsoft.com/office/drawing/2014/main" id="{00000000-0008-0000-4200-00004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9" name="Text Box 5">
          <a:extLst>
            <a:ext uri="{FF2B5EF4-FFF2-40B4-BE49-F238E27FC236}">
              <a16:creationId xmlns:a16="http://schemas.microsoft.com/office/drawing/2014/main" id="{00000000-0008-0000-4200-00004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80" name="Text Box 6">
          <a:extLst>
            <a:ext uri="{FF2B5EF4-FFF2-40B4-BE49-F238E27FC236}">
              <a16:creationId xmlns:a16="http://schemas.microsoft.com/office/drawing/2014/main" id="{00000000-0008-0000-4200-00005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81" name="Text Box 7">
          <a:extLst>
            <a:ext uri="{FF2B5EF4-FFF2-40B4-BE49-F238E27FC236}">
              <a16:creationId xmlns:a16="http://schemas.microsoft.com/office/drawing/2014/main" id="{00000000-0008-0000-4200-00005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2" name="Text Box 0">
          <a:extLst>
            <a:ext uri="{FF2B5EF4-FFF2-40B4-BE49-F238E27FC236}">
              <a16:creationId xmlns:a16="http://schemas.microsoft.com/office/drawing/2014/main" id="{00000000-0008-0000-4200-00005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3" name="Text Box 1">
          <a:extLst>
            <a:ext uri="{FF2B5EF4-FFF2-40B4-BE49-F238E27FC236}">
              <a16:creationId xmlns:a16="http://schemas.microsoft.com/office/drawing/2014/main" id="{00000000-0008-0000-4200-00005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4" name="Text Box 2">
          <a:extLst>
            <a:ext uri="{FF2B5EF4-FFF2-40B4-BE49-F238E27FC236}">
              <a16:creationId xmlns:a16="http://schemas.microsoft.com/office/drawing/2014/main" id="{00000000-0008-0000-4200-00005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5" name="Text Box 3">
          <a:extLst>
            <a:ext uri="{FF2B5EF4-FFF2-40B4-BE49-F238E27FC236}">
              <a16:creationId xmlns:a16="http://schemas.microsoft.com/office/drawing/2014/main" id="{00000000-0008-0000-4200-00005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6" name="Text Box 4">
          <a:extLst>
            <a:ext uri="{FF2B5EF4-FFF2-40B4-BE49-F238E27FC236}">
              <a16:creationId xmlns:a16="http://schemas.microsoft.com/office/drawing/2014/main" id="{00000000-0008-0000-4200-00005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7" name="Text Box 5">
          <a:extLst>
            <a:ext uri="{FF2B5EF4-FFF2-40B4-BE49-F238E27FC236}">
              <a16:creationId xmlns:a16="http://schemas.microsoft.com/office/drawing/2014/main" id="{00000000-0008-0000-4200-00005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8" name="Text Box 6">
          <a:extLst>
            <a:ext uri="{FF2B5EF4-FFF2-40B4-BE49-F238E27FC236}">
              <a16:creationId xmlns:a16="http://schemas.microsoft.com/office/drawing/2014/main" id="{00000000-0008-0000-4200-00005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9" name="Text Box 7">
          <a:extLst>
            <a:ext uri="{FF2B5EF4-FFF2-40B4-BE49-F238E27FC236}">
              <a16:creationId xmlns:a16="http://schemas.microsoft.com/office/drawing/2014/main" id="{00000000-0008-0000-4200-00005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0" name="Text Box 1">
          <a:extLst>
            <a:ext uri="{FF2B5EF4-FFF2-40B4-BE49-F238E27FC236}">
              <a16:creationId xmlns:a16="http://schemas.microsoft.com/office/drawing/2014/main" id="{00000000-0008-0000-4200-00005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1" name="Text Box 2">
          <a:extLst>
            <a:ext uri="{FF2B5EF4-FFF2-40B4-BE49-F238E27FC236}">
              <a16:creationId xmlns:a16="http://schemas.microsoft.com/office/drawing/2014/main" id="{00000000-0008-0000-4200-00005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2" name="Text Box 5">
          <a:extLst>
            <a:ext uri="{FF2B5EF4-FFF2-40B4-BE49-F238E27FC236}">
              <a16:creationId xmlns:a16="http://schemas.microsoft.com/office/drawing/2014/main" id="{00000000-0008-0000-4200-00005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3" name="Text Box 6">
          <a:extLst>
            <a:ext uri="{FF2B5EF4-FFF2-40B4-BE49-F238E27FC236}">
              <a16:creationId xmlns:a16="http://schemas.microsoft.com/office/drawing/2014/main" id="{00000000-0008-0000-4200-00005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4" name="Text Box 7">
          <a:extLst>
            <a:ext uri="{FF2B5EF4-FFF2-40B4-BE49-F238E27FC236}">
              <a16:creationId xmlns:a16="http://schemas.microsoft.com/office/drawing/2014/main" id="{00000000-0008-0000-4200-00005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5" name="Text Box 8">
          <a:extLst>
            <a:ext uri="{FF2B5EF4-FFF2-40B4-BE49-F238E27FC236}">
              <a16:creationId xmlns:a16="http://schemas.microsoft.com/office/drawing/2014/main" id="{00000000-0008-0000-4200-00005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6" name="Text Box 9">
          <a:extLst>
            <a:ext uri="{FF2B5EF4-FFF2-40B4-BE49-F238E27FC236}">
              <a16:creationId xmlns:a16="http://schemas.microsoft.com/office/drawing/2014/main" id="{00000000-0008-0000-4200-00006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7" name="Text Box 10">
          <a:extLst>
            <a:ext uri="{FF2B5EF4-FFF2-40B4-BE49-F238E27FC236}">
              <a16:creationId xmlns:a16="http://schemas.microsoft.com/office/drawing/2014/main" id="{00000000-0008-0000-4200-00006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98" name="Text Box 1">
          <a:extLst>
            <a:ext uri="{FF2B5EF4-FFF2-40B4-BE49-F238E27FC236}">
              <a16:creationId xmlns:a16="http://schemas.microsoft.com/office/drawing/2014/main" id="{00000000-0008-0000-4200-000062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99" name="Text Box 2">
          <a:extLst>
            <a:ext uri="{FF2B5EF4-FFF2-40B4-BE49-F238E27FC236}">
              <a16:creationId xmlns:a16="http://schemas.microsoft.com/office/drawing/2014/main" id="{00000000-0008-0000-4200-000063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0" name="Text Box 5">
          <a:extLst>
            <a:ext uri="{FF2B5EF4-FFF2-40B4-BE49-F238E27FC236}">
              <a16:creationId xmlns:a16="http://schemas.microsoft.com/office/drawing/2014/main" id="{00000000-0008-0000-4200-000064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1" name="Text Box 6">
          <a:extLst>
            <a:ext uri="{FF2B5EF4-FFF2-40B4-BE49-F238E27FC236}">
              <a16:creationId xmlns:a16="http://schemas.microsoft.com/office/drawing/2014/main" id="{00000000-0008-0000-4200-000065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2" name="Text Box 7">
          <a:extLst>
            <a:ext uri="{FF2B5EF4-FFF2-40B4-BE49-F238E27FC236}">
              <a16:creationId xmlns:a16="http://schemas.microsoft.com/office/drawing/2014/main" id="{00000000-0008-0000-4200-000066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3" name="Text Box 8">
          <a:extLst>
            <a:ext uri="{FF2B5EF4-FFF2-40B4-BE49-F238E27FC236}">
              <a16:creationId xmlns:a16="http://schemas.microsoft.com/office/drawing/2014/main" id="{00000000-0008-0000-4200-000067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4" name="Text Box 9">
          <a:extLst>
            <a:ext uri="{FF2B5EF4-FFF2-40B4-BE49-F238E27FC236}">
              <a16:creationId xmlns:a16="http://schemas.microsoft.com/office/drawing/2014/main" id="{00000000-0008-0000-4200-000068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5" name="Text Box 10">
          <a:extLst>
            <a:ext uri="{FF2B5EF4-FFF2-40B4-BE49-F238E27FC236}">
              <a16:creationId xmlns:a16="http://schemas.microsoft.com/office/drawing/2014/main" id="{00000000-0008-0000-4200-000069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238125</xdr:colOff>
      <xdr:row>21</xdr:row>
      <xdr:rowOff>0</xdr:rowOff>
    </xdr:from>
    <xdr:to>
      <xdr:col>16</xdr:col>
      <xdr:colOff>238125</xdr:colOff>
      <xdr:row>22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238125</xdr:colOff>
      <xdr:row>23</xdr:row>
      <xdr:rowOff>38100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4100-000003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238125</xdr:colOff>
      <xdr:row>24</xdr:row>
      <xdr:rowOff>38100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4100-000004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238125</xdr:colOff>
      <xdr:row>25</xdr:row>
      <xdr:rowOff>38100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0000000-0008-0000-4100-000005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21</xdr:row>
      <xdr:rowOff>0</xdr:rowOff>
    </xdr:from>
    <xdr:to>
      <xdr:col>16</xdr:col>
      <xdr:colOff>342900</xdr:colOff>
      <xdr:row>22</xdr:row>
      <xdr:rowOff>38100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00000000-0008-0000-4100-000006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342900</xdr:colOff>
      <xdr:row>23</xdr:row>
      <xdr:rowOff>76200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00000000-0008-0000-4100-000007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342900</xdr:colOff>
      <xdr:row>24</xdr:row>
      <xdr:rowOff>38100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00000000-0008-0000-4100-000008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342900</xdr:colOff>
      <xdr:row>25</xdr:row>
      <xdr:rowOff>38100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00000000-0008-0000-4100-000009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ntral%20Office/RSB/DS2/zz%20TECH%20TEAM/08%20WORKBOOKS/2017-18%20WORKBOOKS%20IN%20PROGRESS/Done/Release%20VBA%20Added/CW115A%20Workbook%20FY17-18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ACCESS"/>
      <sheetName val="WORKBOOK SUMMARY"/>
      <sheetName val="Jul County"/>
      <sheetName val="Jul Edits"/>
      <sheetName val="Jul Intake"/>
      <sheetName val="Aug County"/>
      <sheetName val="Aug Edits"/>
      <sheetName val="Aug Intake"/>
      <sheetName val="Sep County"/>
      <sheetName val="Sep Edits"/>
      <sheetName val="Sep Intake"/>
      <sheetName val="Oct County"/>
      <sheetName val="Oct Edits"/>
      <sheetName val="Oct Intake"/>
      <sheetName val="Nov County"/>
      <sheetName val="Nov Edits"/>
      <sheetName val="Nov Intake"/>
      <sheetName val="Dec County"/>
      <sheetName val="Dec Edits"/>
      <sheetName val="Dec Intake"/>
      <sheetName val="Jan County"/>
      <sheetName val="Jan Edits"/>
      <sheetName val="Jan Intake"/>
      <sheetName val="Feb County"/>
      <sheetName val="Feb Edits"/>
      <sheetName val="Feb Intake"/>
      <sheetName val="Mar County"/>
      <sheetName val="Mar Edits"/>
      <sheetName val="Mar Intake"/>
      <sheetName val="Apr County"/>
      <sheetName val="Apr Edits"/>
      <sheetName val="Apr Intake"/>
      <sheetName val="May County"/>
      <sheetName val="May Edits"/>
      <sheetName val="May Intake"/>
      <sheetName val="Jun County"/>
      <sheetName val="Jun Edits"/>
      <sheetName val="Jun Intake"/>
      <sheetName val="RESOURCE SHEETS---&gt;"/>
      <sheetName val="Stakeholder Map"/>
      <sheetName val="7-15 CELL MAP"/>
      <sheetName val="ACL FORM 07-15"/>
      <sheetName val="ACL INSTRUCTIONS 07-15"/>
      <sheetName val="ACL VALIDATIONS 07-15"/>
      <sheetName val="ACL FORM 10-06"/>
      <sheetName val="ACL VALIDATIONS 10-06"/>
      <sheetName val="DAYS LATE"/>
      <sheetName val="RERELEASE 3% TEST"/>
      <sheetName val="INTAKE INSTRUCTIONS"/>
      <sheetName val="WORKBOOK INSTRUCTIONS"/>
      <sheetName val="NM-LD TEXT BOX NOTES 07-30-15"/>
      <sheetName val="WORKBOOK UPDATES"/>
      <sheetName val="CW115 FACT SHEET"/>
      <sheetName val="WORKBOOK CHECKUPS-TASKS"/>
      <sheetName val="Trend Charts"/>
      <sheetName val="Trend Analysis 1"/>
      <sheetName val="Trend Analysis 2"/>
      <sheetName val="DATA REVIEW TOOLS ----&gt;"/>
      <sheetName val="COMPARISONS CELLS"/>
      <sheetName val="CURRENT DATA"/>
      <sheetName val="COMPARISONS COUNTY"/>
      <sheetName val="PRIOR DATA"/>
      <sheetName val="COUNTY SIZE"/>
      <sheetName val="FY Totals Statewide"/>
      <sheetName val="FY Totals County"/>
      <sheetName val="FY Averages Statewide"/>
      <sheetName val="FY Averages County"/>
      <sheetName val="RELEASE TEMPLATES---&gt;"/>
      <sheetName val="Release Summary"/>
      <sheetName val="RELEASE STATEWIDE"/>
      <sheetName val="RELEASE COUNTY"/>
      <sheetName val="RELEASE BACK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 refreshError="1"/>
      <sheetData sheetId="16" refreshError="1"/>
      <sheetData sheetId="17"/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 refreshError="1"/>
      <sheetData sheetId="35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 refreshError="1"/>
      <sheetData sheetId="71"/>
      <sheetData sheetId="72"/>
    </sheetDataSet>
  </externalBook>
</externalLink>
</file>

<file path=xl/tables/table1.xml><?xml version="1.0" encoding="utf-8"?>
<table xmlns="http://schemas.openxmlformats.org/spreadsheetml/2006/main" id="8" name="ReleaseSummary" displayName="ReleaseSummary" ref="A4:C16" totalsRowShown="0" headerRowDxfId="1530" dataDxfId="1528" headerRowBorderDxfId="1529" tableBorderDxfId="1527">
  <autoFilter ref="A4:C16">
    <filterColumn colId="0" hiddenButton="1"/>
    <filterColumn colId="1" hiddenButton="1"/>
    <filterColumn colId="2" hiddenButton="1"/>
  </autoFilter>
  <tableColumns count="3">
    <tableColumn id="1" name="REPORT MONTH" dataDxfId="1526" dataCellStyle="Normal 2 2 2 2"/>
    <tableColumn id="2" name="RELEASE DATE" dataDxfId="1525" dataCellStyle="Normal 2 2 2 2"/>
    <tableColumn id="3" name="COMMENTS  a/" dataDxfId="1524" dataCellStyle="Normal 2 2 2 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Jul17Data" displayName="Jul17Data" ref="A5:DT64" totalsRowCount="1" headerRowDxfId="1522" dataDxfId="1520" headerRowBorderDxfId="1521" tableBorderDxfId="1519" totalsRowBorderDxfId="1518" headerRowCellStyle="Normal 14 2" dataCellStyle="Normal 14 2">
  <autoFilter ref="A5:DT6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  <filterColumn colId="76" hiddenButton="1"/>
    <filterColumn colId="77" hiddenButton="1"/>
    <filterColumn colId="78" hiddenButton="1"/>
    <filterColumn colId="79" hiddenButton="1"/>
    <filterColumn colId="80" hiddenButton="1"/>
    <filterColumn colId="81" hiddenButton="1"/>
    <filterColumn colId="82" hiddenButton="1"/>
    <filterColumn colId="83" hiddenButton="1"/>
    <filterColumn colId="84" hiddenButton="1"/>
    <filterColumn colId="85" hiddenButton="1"/>
    <filterColumn colId="86" hiddenButton="1"/>
    <filterColumn colId="87" hiddenButton="1"/>
    <filterColumn colId="88" hiddenButton="1"/>
    <filterColumn colId="89" hiddenButton="1"/>
    <filterColumn colId="90" hiddenButton="1"/>
    <filterColumn colId="91" hiddenButton="1"/>
    <filterColumn colId="92" hiddenButton="1"/>
    <filterColumn colId="93" hiddenButton="1"/>
    <filterColumn colId="94" hiddenButton="1"/>
    <filterColumn colId="95" hiddenButton="1"/>
    <filterColumn colId="96" hiddenButton="1"/>
    <filterColumn colId="97" hiddenButton="1"/>
    <filterColumn colId="98" hiddenButton="1"/>
    <filterColumn colId="99" hiddenButton="1"/>
    <filterColumn colId="100" hiddenButton="1"/>
    <filterColumn colId="101" hiddenButton="1"/>
    <filterColumn colId="102" hiddenButton="1"/>
    <filterColumn colId="103" hiddenButton="1"/>
    <filterColumn colId="104" hiddenButton="1"/>
    <filterColumn colId="105" hiddenButton="1"/>
    <filterColumn colId="106" hiddenButton="1"/>
    <filterColumn colId="107" hiddenButton="1"/>
    <filterColumn colId="108" hiddenButton="1"/>
    <filterColumn colId="109" hiddenButton="1"/>
    <filterColumn colId="110" hiddenButton="1"/>
    <filterColumn colId="111" hiddenButton="1"/>
    <filterColumn colId="112" hiddenButton="1"/>
    <filterColumn colId="113" hiddenButton="1"/>
    <filterColumn colId="114" hiddenButton="1"/>
    <filterColumn colId="115" hiddenButton="1"/>
    <filterColumn colId="116" hiddenButton="1"/>
    <filterColumn colId="117" hiddenButton="1"/>
    <filterColumn colId="118" hiddenButton="1"/>
    <filterColumn colId="119" hiddenButton="1"/>
    <filterColumn colId="120" hiddenButton="1"/>
    <filterColumn colId="121" hiddenButton="1"/>
    <filterColumn colId="122" hiddenButton="1"/>
    <filterColumn colId="123" hiddenButton="1"/>
  </autoFilter>
  <tableColumns count="124">
    <tableColumn id="1" name="County" totalsRowLabel="Statewide " dataDxfId="1517" totalsRowDxfId="1516" dataCellStyle="Normal 14 2"/>
    <tableColumn id="4" name="Cell 1" totalsRowFunction="sum" dataDxfId="1515" totalsRowDxfId="1514" dataCellStyle="Normal 14 2"/>
    <tableColumn id="5" name="Cell 2" totalsRowFunction="sum" dataDxfId="1513" totalsRowDxfId="1512" dataCellStyle="Normal 14 2"/>
    <tableColumn id="6" name="Cell 3" totalsRowFunction="sum" dataDxfId="1511" totalsRowDxfId="1510" dataCellStyle="Normal 14 2"/>
    <tableColumn id="7" name="Cell 4" totalsRowFunction="sum" dataDxfId="1509" totalsRowDxfId="1508" dataCellStyle="Normal 14 2"/>
    <tableColumn id="8" name="Cell 5" totalsRowFunction="sum" dataDxfId="1507" totalsRowDxfId="1506" dataCellStyle="Normal 14 2"/>
    <tableColumn id="9" name="Cell 6" totalsRowFunction="sum" dataDxfId="1505" totalsRowDxfId="1504" dataCellStyle="Normal 14 2"/>
    <tableColumn id="10" name="Cell 7" totalsRowFunction="sum" dataDxfId="1503" totalsRowDxfId="1502" dataCellStyle="Normal 14 2"/>
    <tableColumn id="11" name="Cell 8" totalsRowFunction="sum" dataDxfId="1501" totalsRowDxfId="1500" dataCellStyle="Normal 14 2"/>
    <tableColumn id="12" name="Cell 9" totalsRowFunction="sum" dataDxfId="1499" totalsRowDxfId="1498" dataCellStyle="Normal 14 2"/>
    <tableColumn id="13" name="Cell 10" totalsRowFunction="sum" dataDxfId="1497" totalsRowDxfId="1496" dataCellStyle="Normal 14 2"/>
    <tableColumn id="14" name="Cell 11" totalsRowFunction="sum" dataDxfId="1495" totalsRowDxfId="1494" dataCellStyle="Normal 14 2"/>
    <tableColumn id="15" name="Cell 12" totalsRowFunction="sum" dataDxfId="1493" totalsRowDxfId="1492" dataCellStyle="Normal 14 2"/>
    <tableColumn id="16" name="Cell 13" totalsRowFunction="sum" dataDxfId="1491" totalsRowDxfId="1490" dataCellStyle="Normal 14 2"/>
    <tableColumn id="17" name="Cell 14" totalsRowFunction="sum" dataDxfId="1489" totalsRowDxfId="1488" dataCellStyle="Normal 14 2"/>
    <tableColumn id="18" name="Cell 15" totalsRowFunction="sum" dataDxfId="1487" totalsRowDxfId="1486" dataCellStyle="Normal 14 2"/>
    <tableColumn id="19" name="Cell 16" totalsRowFunction="sum" dataDxfId="1485" totalsRowDxfId="1484" dataCellStyle="Normal 14 2"/>
    <tableColumn id="20" name="Cell 17" totalsRowFunction="sum" dataDxfId="1483" totalsRowDxfId="1482" dataCellStyle="Normal 14 2"/>
    <tableColumn id="21" name="Cell 18" totalsRowFunction="sum" dataDxfId="1481" totalsRowDxfId="1480" dataCellStyle="Normal 14 2"/>
    <tableColumn id="22" name="Cell 19" totalsRowFunction="sum" dataDxfId="1479" totalsRowDxfId="1478" dataCellStyle="Normal 14 2"/>
    <tableColumn id="23" name="Cell 20" totalsRowFunction="sum" dataDxfId="1477" totalsRowDxfId="1476" dataCellStyle="Normal 14 2"/>
    <tableColumn id="24" name="Cell 21" totalsRowFunction="sum" dataDxfId="1475" totalsRowDxfId="1474" dataCellStyle="Normal 14 2"/>
    <tableColumn id="25" name="Cell 22" totalsRowFunction="sum" dataDxfId="1473" totalsRowDxfId="1472" dataCellStyle="Normal 14 2"/>
    <tableColumn id="26" name="Cell 23" totalsRowFunction="sum" dataDxfId="1471" totalsRowDxfId="1470" dataCellStyle="Normal 14 2"/>
    <tableColumn id="27" name="Cell 24" totalsRowFunction="sum" dataDxfId="1469" totalsRowDxfId="1468" dataCellStyle="Normal 14 2"/>
    <tableColumn id="28" name="Cell 25" totalsRowFunction="sum" dataDxfId="1467" totalsRowDxfId="1466" dataCellStyle="Normal 14 2"/>
    <tableColumn id="29" name="Cell 26" totalsRowFunction="sum" dataDxfId="1465" totalsRowDxfId="1464" dataCellStyle="Normal 14 2"/>
    <tableColumn id="30" name="Cell 27" totalsRowFunction="sum" dataDxfId="1463" totalsRowDxfId="1462" dataCellStyle="Normal 14 2"/>
    <tableColumn id="31" name="Cell 28" totalsRowFunction="sum" dataDxfId="1461" totalsRowDxfId="1460" dataCellStyle="Normal 14 2"/>
    <tableColumn id="32" name="Cell 29" totalsRowFunction="sum" dataDxfId="1459" totalsRowDxfId="1458" dataCellStyle="Normal 14 2"/>
    <tableColumn id="33" name="Cell 30" totalsRowFunction="sum" dataDxfId="1457" totalsRowDxfId="1456" dataCellStyle="Normal 14 2"/>
    <tableColumn id="34" name="Cell 31" totalsRowFunction="sum" dataDxfId="1455" totalsRowDxfId="1454" dataCellStyle="Normal 14 2"/>
    <tableColumn id="35" name="Cell 32" totalsRowFunction="sum" dataDxfId="1453" totalsRowDxfId="1452" dataCellStyle="Normal 14 2"/>
    <tableColumn id="36" name="Cell 33" totalsRowFunction="sum" dataDxfId="1451" totalsRowDxfId="1450" dataCellStyle="Normal 14 2"/>
    <tableColumn id="37" name="Cell 34" totalsRowFunction="sum" dataDxfId="1449" totalsRowDxfId="1448" dataCellStyle="Normal 14 2"/>
    <tableColumn id="38" name="Cell 35" totalsRowFunction="sum" dataDxfId="1447" totalsRowDxfId="1446" dataCellStyle="Normal 14 2"/>
    <tableColumn id="39" name="Cell 36" totalsRowFunction="sum" dataDxfId="1445" totalsRowDxfId="1444" dataCellStyle="Normal 14 2"/>
    <tableColumn id="40" name="Cell 37" totalsRowFunction="sum" dataDxfId="1443" totalsRowDxfId="1442" dataCellStyle="Normal 14 2"/>
    <tableColumn id="41" name="Cell 38" totalsRowFunction="sum" dataDxfId="1441" totalsRowDxfId="1440" dataCellStyle="Normal 14 2"/>
    <tableColumn id="42" name="Cell 39" totalsRowFunction="sum" dataDxfId="1439" totalsRowDxfId="1438" dataCellStyle="Normal 14 2"/>
    <tableColumn id="43" name="Cell 40" totalsRowFunction="sum" dataDxfId="1437" totalsRowDxfId="1436" dataCellStyle="Normal 14 2"/>
    <tableColumn id="44" name="Cell 41" totalsRowFunction="sum" dataDxfId="1435" totalsRowDxfId="1434" dataCellStyle="Normal 14 2"/>
    <tableColumn id="45" name="Cell 42" totalsRowFunction="sum" dataDxfId="1433" totalsRowDxfId="1432" dataCellStyle="Normal 14 2"/>
    <tableColumn id="46" name="Cell 43" totalsRowFunction="sum" dataDxfId="1431" totalsRowDxfId="1430" dataCellStyle="Normal 14 2"/>
    <tableColumn id="47" name="Cell 44" totalsRowFunction="sum" dataDxfId="1429" totalsRowDxfId="1428" dataCellStyle="Normal 14 2"/>
    <tableColumn id="48" name="Cell 45" totalsRowFunction="sum" dataDxfId="1427" totalsRowDxfId="1426" dataCellStyle="Normal 14 2"/>
    <tableColumn id="49" name="Cell 46" totalsRowFunction="sum" dataDxfId="1425" totalsRowDxfId="1424" dataCellStyle="Normal 14 2"/>
    <tableColumn id="50" name="Cell 47" totalsRowFunction="sum" dataDxfId="1423" totalsRowDxfId="1422" dataCellStyle="Normal 14 2"/>
    <tableColumn id="51" name="Cell 48" totalsRowFunction="sum" dataDxfId="1421" totalsRowDxfId="1420" dataCellStyle="Normal 14 2"/>
    <tableColumn id="52" name="Cell 49" totalsRowFunction="sum" dataDxfId="1419" totalsRowDxfId="1418" dataCellStyle="Normal 14 2"/>
    <tableColumn id="53" name="Cell 50" totalsRowFunction="sum" dataDxfId="1417" totalsRowDxfId="1416" dataCellStyle="Normal 14 2"/>
    <tableColumn id="54" name="Cell 51" totalsRowFunction="sum" dataDxfId="1415" totalsRowDxfId="1414" dataCellStyle="Normal 14 2"/>
    <tableColumn id="55" name="Cell 52" totalsRowFunction="sum" dataDxfId="1413" totalsRowDxfId="1412" dataCellStyle="Normal 14 2"/>
    <tableColumn id="56" name="Cell 53" totalsRowFunction="sum" dataDxfId="1411" totalsRowDxfId="1410" dataCellStyle="Normal 14 2"/>
    <tableColumn id="57" name="Cell 54" totalsRowFunction="sum" dataDxfId="1409" totalsRowDxfId="1408" dataCellStyle="Normal 14 2"/>
    <tableColumn id="58" name="Cell 55" totalsRowFunction="sum" dataDxfId="1407" totalsRowDxfId="1406" dataCellStyle="Normal 14 2"/>
    <tableColumn id="59" name="Cell 56" totalsRowFunction="sum" dataDxfId="1405" totalsRowDxfId="1404" dataCellStyle="Normal 14 2"/>
    <tableColumn id="60" name="Cell 57" totalsRowFunction="sum" dataDxfId="1403" totalsRowDxfId="1402" dataCellStyle="Normal 14 2"/>
    <tableColumn id="61" name="Cell 58" totalsRowFunction="sum" dataDxfId="1401" totalsRowDxfId="1400" dataCellStyle="Normal 14 2"/>
    <tableColumn id="62" name="Cell 59" totalsRowFunction="sum" dataDxfId="1399" totalsRowDxfId="1398" dataCellStyle="Normal 14 2"/>
    <tableColumn id="63" name="Cell 60" totalsRowFunction="sum" dataDxfId="1397" totalsRowDxfId="1396" dataCellStyle="Normal 14 2"/>
    <tableColumn id="64" name="Cell 61" totalsRowFunction="sum" dataDxfId="1395" totalsRowDxfId="1394" dataCellStyle="Normal 14 2"/>
    <tableColumn id="65" name="Cell 62" totalsRowFunction="sum" dataDxfId="1393" totalsRowDxfId="1392" dataCellStyle="Normal 14 2"/>
    <tableColumn id="66" name="Cell 63" totalsRowFunction="sum" dataDxfId="1391" totalsRowDxfId="1390" dataCellStyle="Normal 14 2"/>
    <tableColumn id="67" name="Cell 64" totalsRowFunction="sum" dataDxfId="1389" totalsRowDxfId="1388" dataCellStyle="Normal 14 2"/>
    <tableColumn id="68" name="Cell 65" totalsRowFunction="sum" dataDxfId="1387" totalsRowDxfId="1386" dataCellStyle="Normal 14 2"/>
    <tableColumn id="69" name="Cell 66" totalsRowFunction="sum" dataDxfId="1385" totalsRowDxfId="1384" dataCellStyle="Normal 14 2"/>
    <tableColumn id="70" name="Cell 67" totalsRowFunction="sum" dataDxfId="1383" totalsRowDxfId="1382" dataCellStyle="Normal 14 2"/>
    <tableColumn id="71" name="Cell 68" totalsRowFunction="sum" dataDxfId="1381" totalsRowDxfId="1380" dataCellStyle="Normal 14 2"/>
    <tableColumn id="72" name="Cell 69" totalsRowFunction="sum" dataDxfId="1379" totalsRowDxfId="1378" dataCellStyle="Normal 14 2"/>
    <tableColumn id="73" name="Cell 70" totalsRowFunction="sum" dataDxfId="1377" totalsRowDxfId="1376" dataCellStyle="Normal 14 2"/>
    <tableColumn id="74" name="Cell 71" totalsRowFunction="sum" dataDxfId="1375" totalsRowDxfId="1374" dataCellStyle="Normal 14 2"/>
    <tableColumn id="75" name="Cell 72" totalsRowFunction="sum" dataDxfId="1373" totalsRowDxfId="1372" dataCellStyle="Normal 14 2"/>
    <tableColumn id="76" name="Cell 73" totalsRowFunction="sum" dataDxfId="1371" totalsRowDxfId="1370" dataCellStyle="Normal 14 2"/>
    <tableColumn id="77" name="Cell 74" totalsRowFunction="sum" dataDxfId="1369" totalsRowDxfId="1368" dataCellStyle="Normal 14 2"/>
    <tableColumn id="78" name="Cell 75" totalsRowFunction="sum" dataDxfId="1367" totalsRowDxfId="1366" dataCellStyle="Normal 14 2"/>
    <tableColumn id="79" name="Cell 76" totalsRowFunction="sum" dataDxfId="1365" totalsRowDxfId="1364" dataCellStyle="Normal 14 2"/>
    <tableColumn id="80" name="Cell 77" totalsRowFunction="sum" dataDxfId="1363" totalsRowDxfId="1362" dataCellStyle="Normal 14 2"/>
    <tableColumn id="81" name="Cell 78" totalsRowFunction="sum" dataDxfId="1361" totalsRowDxfId="1360" dataCellStyle="Normal 14 2"/>
    <tableColumn id="82" name="Cell 79" totalsRowFunction="sum" dataDxfId="1359" totalsRowDxfId="1358" dataCellStyle="Normal 14 2"/>
    <tableColumn id="83" name="Cell 80" totalsRowFunction="sum" dataDxfId="1357" totalsRowDxfId="1356" dataCellStyle="Normal 14 2"/>
    <tableColumn id="84" name="Cell 81" totalsRowFunction="sum" dataDxfId="1355" totalsRowDxfId="1354" dataCellStyle="Normal 14 2"/>
    <tableColumn id="85" name="Cell 82" totalsRowFunction="sum" dataDxfId="1353" totalsRowDxfId="1352" dataCellStyle="Normal 14 2"/>
    <tableColumn id="86" name="Cell 83" totalsRowFunction="sum" dataDxfId="1351" totalsRowDxfId="1350" dataCellStyle="Normal 14 2"/>
    <tableColumn id="87" name="Cell 84" totalsRowFunction="sum" dataDxfId="1349" totalsRowDxfId="1348" dataCellStyle="Normal 14 2"/>
    <tableColumn id="88" name="Cell 85" totalsRowFunction="sum" dataDxfId="1347" totalsRowDxfId="1346" dataCellStyle="Normal 14 2"/>
    <tableColumn id="89" name="Cell 86" totalsRowFunction="sum" dataDxfId="1345" totalsRowDxfId="1344" dataCellStyle="Normal 14 2"/>
    <tableColumn id="90" name="Cell 87" totalsRowFunction="sum" dataDxfId="1343" totalsRowDxfId="1342" dataCellStyle="Normal 14 2"/>
    <tableColumn id="91" name="Cell 88" totalsRowFunction="sum" dataDxfId="1341" totalsRowDxfId="1340" dataCellStyle="Normal 14 2"/>
    <tableColumn id="92" name="Cell 89" totalsRowFunction="sum" dataDxfId="1339" totalsRowDxfId="1338" dataCellStyle="Normal 14 2"/>
    <tableColumn id="93" name="Cell 90" totalsRowFunction="sum" dataDxfId="1337" totalsRowDxfId="1336" dataCellStyle="Normal 14 2"/>
    <tableColumn id="94" name="Cell 91" totalsRowFunction="sum" dataDxfId="1335" totalsRowDxfId="1334" dataCellStyle="Normal 14 2"/>
    <tableColumn id="95" name="Cell 92" totalsRowFunction="sum" dataDxfId="1333" totalsRowDxfId="1332" dataCellStyle="Normal 14 2"/>
    <tableColumn id="96" name="Cell 93" totalsRowFunction="sum" dataDxfId="1331" totalsRowDxfId="1330" dataCellStyle="Normal 14 2"/>
    <tableColumn id="97" name="Cell 94" totalsRowFunction="sum" dataDxfId="1329" totalsRowDxfId="1328" dataCellStyle="Normal 14 2"/>
    <tableColumn id="98" name="Cell 95" totalsRowFunction="sum" dataDxfId="1327" totalsRowDxfId="1326" dataCellStyle="Normal 14 2"/>
    <tableColumn id="99" name="Cell 96" totalsRowFunction="sum" dataDxfId="1325" totalsRowDxfId="1324" dataCellStyle="Normal 14 2"/>
    <tableColumn id="100" name="Cell 97" totalsRowFunction="sum" dataDxfId="1323" totalsRowDxfId="1322" dataCellStyle="Normal 14 2"/>
    <tableColumn id="101" name="Cell 98" totalsRowFunction="sum" dataDxfId="1321" totalsRowDxfId="1320" dataCellStyle="Normal 14 2"/>
    <tableColumn id="102" name="Cell 99" totalsRowFunction="sum" dataDxfId="1319" totalsRowDxfId="1318" dataCellStyle="Normal 14 2"/>
    <tableColumn id="103" name="Cell 100" totalsRowFunction="sum" dataDxfId="1317" totalsRowDxfId="1316" dataCellStyle="Normal 14 2"/>
    <tableColumn id="104" name="Cell 101" totalsRowFunction="sum" dataDxfId="1315" totalsRowDxfId="1314" dataCellStyle="Normal 14 2"/>
    <tableColumn id="105" name="Cell 102" totalsRowFunction="sum" dataDxfId="1313" totalsRowDxfId="1312" dataCellStyle="Normal 14 2"/>
    <tableColumn id="106" name="Cell 103" totalsRowFunction="sum" dataDxfId="1311" totalsRowDxfId="1310" dataCellStyle="Normal 14 2"/>
    <tableColumn id="107" name="Cell 104" totalsRowFunction="sum" dataDxfId="1309" totalsRowDxfId="1308" dataCellStyle="Normal 14 2"/>
    <tableColumn id="108" name="Cell 105" totalsRowFunction="sum" dataDxfId="1307" totalsRowDxfId="1306" dataCellStyle="Normal 14 2"/>
    <tableColumn id="109" name="Cell 106" totalsRowFunction="sum" dataDxfId="1305" totalsRowDxfId="1304" dataCellStyle="Normal 14 2"/>
    <tableColumn id="110" name="Cell 107" totalsRowFunction="sum" dataDxfId="1303" totalsRowDxfId="1302" dataCellStyle="Normal 14 2"/>
    <tableColumn id="111" name="Cell 108" totalsRowFunction="sum" dataDxfId="1301" totalsRowDxfId="1300" dataCellStyle="Normal 14 2"/>
    <tableColumn id="112" name="Cell 109" totalsRowFunction="sum" dataDxfId="1299" totalsRowDxfId="1298" dataCellStyle="Normal 14 2"/>
    <tableColumn id="113" name="Cell 110" totalsRowFunction="sum" dataDxfId="1297" totalsRowDxfId="1296" dataCellStyle="Normal 14 2"/>
    <tableColumn id="114" name="Cell 111" totalsRowFunction="sum" dataDxfId="1295" totalsRowDxfId="1294" dataCellStyle="Normal 14 2"/>
    <tableColumn id="115" name="Cell 112" totalsRowFunction="sum" dataDxfId="1293" totalsRowDxfId="1292" dataCellStyle="Normal 14 2"/>
    <tableColumn id="116" name="Cell 113" totalsRowFunction="sum" dataDxfId="1291" totalsRowDxfId="1290" dataCellStyle="Normal 14 2"/>
    <tableColumn id="117" name="Cell 114" totalsRowFunction="sum" dataDxfId="1289" totalsRowDxfId="1288" dataCellStyle="Normal 14 2"/>
    <tableColumn id="118" name="Cell 115" totalsRowFunction="sum" dataDxfId="1287" totalsRowDxfId="1286" dataCellStyle="Normal 14 2"/>
    <tableColumn id="119" name="Cell 116" totalsRowFunction="sum" dataDxfId="1285" totalsRowDxfId="1284" dataCellStyle="Normal 14 2"/>
    <tableColumn id="120" name="Cell 117" totalsRowFunction="sum" dataDxfId="1283" totalsRowDxfId="1282" dataCellStyle="Normal 14 2"/>
    <tableColumn id="121" name="Cell 118" totalsRowFunction="sum" dataDxfId="1281" totalsRowDxfId="1280" dataCellStyle="Normal 14 2"/>
    <tableColumn id="122" name="Cell 119" totalsRowFunction="sum" dataDxfId="1279" totalsRowDxfId="1278" dataCellStyle="Normal 14 2"/>
    <tableColumn id="123" name="Cell 120" totalsRowFunction="sum" dataDxfId="1277" totalsRowDxfId="1276" dataCellStyle="Normal 14 2"/>
    <tableColumn id="124" name="Cell 121" totalsRowFunction="sum" dataDxfId="1275" totalsRowDxfId="1274" dataCellStyle="Normal 14 2"/>
    <tableColumn id="125" name="Cell 122" totalsRowFunction="sum" dataDxfId="1273" totalsRowDxfId="1272" dataCellStyle="Normal 14 2"/>
    <tableColumn id="126" name="Cell 123" totalsRowFunction="sum" dataDxfId="1271" totalsRowDxfId="1270" dataCellStyle="Normal 14 2"/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CF296 Data: December 2017" altTextSummary="County Not Reporting:  Alameda"/>
    </ext>
  </extLst>
</table>
</file>

<file path=xl/tables/table3.xml><?xml version="1.0" encoding="utf-8"?>
<table xmlns="http://schemas.openxmlformats.org/spreadsheetml/2006/main" id="3" name="Aug17Data" displayName="Aug17Data" ref="A5:DT64" totalsRowCount="1" headerRowDxfId="1268" dataDxfId="1266" headerRowBorderDxfId="1267" tableBorderDxfId="1265" totalsRowBorderDxfId="1264" headerRowCellStyle="Normal 14 2" dataCellStyle="Normal 14 2">
  <autoFilter ref="A5:DT6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  <filterColumn colId="76" hiddenButton="1"/>
    <filterColumn colId="77" hiddenButton="1"/>
    <filterColumn colId="78" hiddenButton="1"/>
    <filterColumn colId="79" hiddenButton="1"/>
    <filterColumn colId="80" hiddenButton="1"/>
    <filterColumn colId="81" hiddenButton="1"/>
    <filterColumn colId="82" hiddenButton="1"/>
    <filterColumn colId="83" hiddenButton="1"/>
    <filterColumn colId="84" hiddenButton="1"/>
    <filterColumn colId="85" hiddenButton="1"/>
    <filterColumn colId="86" hiddenButton="1"/>
    <filterColumn colId="87" hiddenButton="1"/>
    <filterColumn colId="88" hiddenButton="1"/>
    <filterColumn colId="89" hiddenButton="1"/>
    <filterColumn colId="90" hiddenButton="1"/>
    <filterColumn colId="91" hiddenButton="1"/>
    <filterColumn colId="92" hiddenButton="1"/>
    <filterColumn colId="93" hiddenButton="1"/>
    <filterColumn colId="94" hiddenButton="1"/>
    <filterColumn colId="95" hiddenButton="1"/>
    <filterColumn colId="96" hiddenButton="1"/>
    <filterColumn colId="97" hiddenButton="1"/>
    <filterColumn colId="98" hiddenButton="1"/>
    <filterColumn colId="99" hiddenButton="1"/>
    <filterColumn colId="100" hiddenButton="1"/>
    <filterColumn colId="101" hiddenButton="1"/>
    <filterColumn colId="102" hiddenButton="1"/>
    <filterColumn colId="103" hiddenButton="1"/>
    <filterColumn colId="104" hiddenButton="1"/>
    <filterColumn colId="105" hiddenButton="1"/>
    <filterColumn colId="106" hiddenButton="1"/>
    <filterColumn colId="107" hiddenButton="1"/>
    <filterColumn colId="108" hiddenButton="1"/>
    <filterColumn colId="109" hiddenButton="1"/>
    <filterColumn colId="110" hiddenButton="1"/>
    <filterColumn colId="111" hiddenButton="1"/>
    <filterColumn colId="112" hiddenButton="1"/>
    <filterColumn colId="113" hiddenButton="1"/>
    <filterColumn colId="114" hiddenButton="1"/>
    <filterColumn colId="115" hiddenButton="1"/>
    <filterColumn colId="116" hiddenButton="1"/>
    <filterColumn colId="117" hiddenButton="1"/>
    <filterColumn colId="118" hiddenButton="1"/>
    <filterColumn colId="119" hiddenButton="1"/>
    <filterColumn colId="120" hiddenButton="1"/>
    <filterColumn colId="121" hiddenButton="1"/>
    <filterColumn colId="122" hiddenButton="1"/>
    <filterColumn colId="123" hiddenButton="1"/>
  </autoFilter>
  <tableColumns count="124">
    <tableColumn id="1" name="County" totalsRowLabel="Statewide " dataDxfId="1263" totalsRowDxfId="1262" dataCellStyle="Normal 14 2"/>
    <tableColumn id="4" name="Cell 1" totalsRowFunction="sum" dataDxfId="1261" totalsRowDxfId="1260" dataCellStyle="Normal 14 2"/>
    <tableColumn id="5" name="Cell 2" totalsRowFunction="sum" dataDxfId="1259" totalsRowDxfId="1258" dataCellStyle="Normal 14 2"/>
    <tableColumn id="6" name="Cell 3" totalsRowFunction="sum" dataDxfId="1257" totalsRowDxfId="1256" dataCellStyle="Normal 14 2"/>
    <tableColumn id="7" name="Cell 4" totalsRowFunction="sum" dataDxfId="1255" totalsRowDxfId="1254" dataCellStyle="Normal 14 2"/>
    <tableColumn id="8" name="Cell 5" totalsRowFunction="sum" dataDxfId="1253" totalsRowDxfId="1252" dataCellStyle="Normal 14 2"/>
    <tableColumn id="9" name="Cell 6" totalsRowFunction="sum" dataDxfId="1251" totalsRowDxfId="1250" dataCellStyle="Normal 14 2"/>
    <tableColumn id="10" name="Cell 7" totalsRowFunction="sum" dataDxfId="1249" totalsRowDxfId="1248" dataCellStyle="Normal 14 2"/>
    <tableColumn id="11" name="Cell 8" totalsRowFunction="sum" dataDxfId="1247" totalsRowDxfId="1246" dataCellStyle="Normal 14 2"/>
    <tableColumn id="12" name="Cell 9" totalsRowFunction="sum" dataDxfId="1245" totalsRowDxfId="1244" dataCellStyle="Normal 14 2"/>
    <tableColumn id="13" name="Cell 10" totalsRowFunction="sum" dataDxfId="1243" totalsRowDxfId="1242" dataCellStyle="Normal 14 2"/>
    <tableColumn id="14" name="Cell 11" totalsRowFunction="sum" dataDxfId="1241" totalsRowDxfId="1240" dataCellStyle="Normal 14 2"/>
    <tableColumn id="15" name="Cell 12" totalsRowFunction="sum" dataDxfId="1239" totalsRowDxfId="1238" dataCellStyle="Normal 14 2"/>
    <tableColumn id="16" name="Cell 13" totalsRowFunction="sum" dataDxfId="1237" totalsRowDxfId="1236" dataCellStyle="Normal 14 2"/>
    <tableColumn id="17" name="Cell 14" totalsRowFunction="sum" dataDxfId="1235" totalsRowDxfId="1234" dataCellStyle="Normal 14 2"/>
    <tableColumn id="18" name="Cell 15" totalsRowFunction="sum" dataDxfId="1233" totalsRowDxfId="1232" dataCellStyle="Normal 14 2"/>
    <tableColumn id="19" name="Cell 16" totalsRowFunction="sum" dataDxfId="1231" totalsRowDxfId="1230" dataCellStyle="Normal 14 2"/>
    <tableColumn id="20" name="Cell 17" totalsRowFunction="sum" dataDxfId="1229" totalsRowDxfId="1228" dataCellStyle="Normal 14 2"/>
    <tableColumn id="21" name="Cell 18" totalsRowFunction="sum" dataDxfId="1227" totalsRowDxfId="1226" dataCellStyle="Normal 14 2"/>
    <tableColumn id="22" name="Cell 19" totalsRowFunction="sum" dataDxfId="1225" totalsRowDxfId="1224" dataCellStyle="Normal 14 2"/>
    <tableColumn id="23" name="Cell 20" totalsRowFunction="sum" dataDxfId="1223" totalsRowDxfId="1222" dataCellStyle="Normal 14 2"/>
    <tableColumn id="24" name="Cell 21" totalsRowFunction="sum" dataDxfId="1221" totalsRowDxfId="1220" dataCellStyle="Normal 14 2"/>
    <tableColumn id="25" name="Cell 22" totalsRowFunction="sum" dataDxfId="1219" totalsRowDxfId="1218" dataCellStyle="Normal 14 2"/>
    <tableColumn id="26" name="Cell 23" totalsRowFunction="sum" dataDxfId="1217" totalsRowDxfId="1216" dataCellStyle="Normal 14 2"/>
    <tableColumn id="27" name="Cell 24" totalsRowFunction="sum" dataDxfId="1215" totalsRowDxfId="1214" dataCellStyle="Normal 14 2"/>
    <tableColumn id="28" name="Cell 25" totalsRowFunction="sum" dataDxfId="1213" totalsRowDxfId="1212" dataCellStyle="Normal 14 2"/>
    <tableColumn id="29" name="Cell 26" totalsRowFunction="sum" dataDxfId="1211" totalsRowDxfId="1210" dataCellStyle="Normal 14 2"/>
    <tableColumn id="30" name="Cell 27" totalsRowFunction="sum" dataDxfId="1209" totalsRowDxfId="1208" dataCellStyle="Normal 14 2"/>
    <tableColumn id="31" name="Cell 28" totalsRowFunction="sum" dataDxfId="1207" totalsRowDxfId="1206" dataCellStyle="Normal 14 2"/>
    <tableColumn id="32" name="Cell 29" totalsRowFunction="sum" dataDxfId="1205" totalsRowDxfId="1204" dataCellStyle="Normal 14 2"/>
    <tableColumn id="33" name="Cell 30" totalsRowFunction="sum" dataDxfId="1203" totalsRowDxfId="1202" dataCellStyle="Normal 14 2"/>
    <tableColumn id="34" name="Cell 31" totalsRowFunction="sum" dataDxfId="1201" totalsRowDxfId="1200" dataCellStyle="Normal 14 2"/>
    <tableColumn id="35" name="Cell 32" totalsRowFunction="sum" dataDxfId="1199" totalsRowDxfId="1198" dataCellStyle="Normal 14 2"/>
    <tableColumn id="36" name="Cell 33" totalsRowFunction="sum" dataDxfId="1197" totalsRowDxfId="1196" dataCellStyle="Normal 14 2"/>
    <tableColumn id="37" name="Cell 34" totalsRowFunction="sum" dataDxfId="1195" totalsRowDxfId="1194" dataCellStyle="Normal 14 2"/>
    <tableColumn id="38" name="Cell 35" totalsRowFunction="sum" dataDxfId="1193" totalsRowDxfId="1192" dataCellStyle="Normal 14 2"/>
    <tableColumn id="39" name="Cell 36" totalsRowFunction="sum" dataDxfId="1191" totalsRowDxfId="1190" dataCellStyle="Normal 14 2"/>
    <tableColumn id="40" name="Cell 37" totalsRowFunction="sum" dataDxfId="1189" totalsRowDxfId="1188" dataCellStyle="Normal 14 2"/>
    <tableColumn id="41" name="Cell 38" totalsRowFunction="sum" dataDxfId="1187" totalsRowDxfId="1186" dataCellStyle="Normal 14 2"/>
    <tableColumn id="42" name="Cell 39" totalsRowFunction="sum" dataDxfId="1185" totalsRowDxfId="1184" dataCellStyle="Normal 14 2"/>
    <tableColumn id="43" name="Cell 40" totalsRowFunction="sum" dataDxfId="1183" totalsRowDxfId="1182" dataCellStyle="Normal 14 2"/>
    <tableColumn id="44" name="Cell 41" totalsRowFunction="sum" dataDxfId="1181" totalsRowDxfId="1180" dataCellStyle="Normal 14 2"/>
    <tableColumn id="45" name="Cell 42" totalsRowFunction="sum" dataDxfId="1179" totalsRowDxfId="1178" dataCellStyle="Normal 14 2"/>
    <tableColumn id="46" name="Cell 43" totalsRowFunction="sum" dataDxfId="1177" totalsRowDxfId="1176" dataCellStyle="Normal 14 2"/>
    <tableColumn id="47" name="Cell 44" totalsRowFunction="sum" dataDxfId="1175" totalsRowDxfId="1174" dataCellStyle="Normal 14 2"/>
    <tableColumn id="48" name="Cell 45" totalsRowFunction="sum" dataDxfId="1173" totalsRowDxfId="1172" dataCellStyle="Normal 14 2"/>
    <tableColumn id="49" name="Cell 46" totalsRowFunction="sum" dataDxfId="1171" totalsRowDxfId="1170" dataCellStyle="Normal 14 2"/>
    <tableColumn id="50" name="Cell 47" totalsRowFunction="sum" dataDxfId="1169" totalsRowDxfId="1168" dataCellStyle="Normal 14 2"/>
    <tableColumn id="51" name="Cell 48" totalsRowFunction="sum" dataDxfId="1167" totalsRowDxfId="1166" dataCellStyle="Normal 14 2"/>
    <tableColumn id="52" name="Cell 49" totalsRowFunction="sum" dataDxfId="1165" totalsRowDxfId="1164" dataCellStyle="Normal 14 2"/>
    <tableColumn id="53" name="Cell 50" totalsRowFunction="sum" dataDxfId="1163" totalsRowDxfId="1162" dataCellStyle="Normal 14 2"/>
    <tableColumn id="54" name="Cell 51" totalsRowFunction="sum" dataDxfId="1161" totalsRowDxfId="1160" dataCellStyle="Normal 14 2"/>
    <tableColumn id="55" name="Cell 52" totalsRowFunction="sum" dataDxfId="1159" totalsRowDxfId="1158" dataCellStyle="Normal 14 2"/>
    <tableColumn id="56" name="Cell 53" totalsRowFunction="sum" dataDxfId="1157" totalsRowDxfId="1156" dataCellStyle="Normal 14 2"/>
    <tableColumn id="57" name="Cell 54" totalsRowFunction="sum" dataDxfId="1155" totalsRowDxfId="1154" dataCellStyle="Normal 14 2"/>
    <tableColumn id="58" name="Cell 55" totalsRowFunction="sum" dataDxfId="1153" totalsRowDxfId="1152" dataCellStyle="Normal 14 2"/>
    <tableColumn id="59" name="Cell 56" totalsRowFunction="sum" dataDxfId="1151" totalsRowDxfId="1150" dataCellStyle="Normal 14 2"/>
    <tableColumn id="60" name="Cell 57" totalsRowFunction="sum" dataDxfId="1149" totalsRowDxfId="1148" dataCellStyle="Normal 14 2"/>
    <tableColumn id="61" name="Cell 58" totalsRowFunction="sum" dataDxfId="1147" totalsRowDxfId="1146" dataCellStyle="Normal 14 2"/>
    <tableColumn id="62" name="Cell 59" totalsRowFunction="sum" dataDxfId="1145" totalsRowDxfId="1144" dataCellStyle="Normal 14 2"/>
    <tableColumn id="63" name="Cell 60" totalsRowFunction="sum" dataDxfId="1143" totalsRowDxfId="1142" dataCellStyle="Normal 14 2"/>
    <tableColumn id="64" name="Cell 61" totalsRowFunction="sum" dataDxfId="1141" totalsRowDxfId="1140" dataCellStyle="Normal 14 2"/>
    <tableColumn id="65" name="Cell 62" totalsRowFunction="sum" dataDxfId="1139" totalsRowDxfId="1138" dataCellStyle="Normal 14 2"/>
    <tableColumn id="66" name="Cell 63" totalsRowFunction="sum" dataDxfId="1137" totalsRowDxfId="1136" dataCellStyle="Normal 14 2"/>
    <tableColumn id="67" name="Cell 64" totalsRowFunction="sum" dataDxfId="1135" totalsRowDxfId="1134" dataCellStyle="Normal 14 2"/>
    <tableColumn id="68" name="Cell 65" totalsRowFunction="sum" dataDxfId="1133" totalsRowDxfId="1132" dataCellStyle="Normal 14 2"/>
    <tableColumn id="69" name="Cell 66" totalsRowFunction="sum" dataDxfId="1131" totalsRowDxfId="1130" dataCellStyle="Normal 14 2"/>
    <tableColumn id="70" name="Cell 67" totalsRowFunction="sum" dataDxfId="1129" totalsRowDxfId="1128" dataCellStyle="Normal 14 2"/>
    <tableColumn id="71" name="Cell 68" totalsRowFunction="sum" dataDxfId="1127" totalsRowDxfId="1126" dataCellStyle="Normal 14 2"/>
    <tableColumn id="72" name="Cell 69" totalsRowFunction="sum" dataDxfId="1125" totalsRowDxfId="1124" dataCellStyle="Normal 14 2"/>
    <tableColumn id="73" name="Cell 70" totalsRowFunction="sum" dataDxfId="1123" totalsRowDxfId="1122" dataCellStyle="Normal 14 2"/>
    <tableColumn id="74" name="Cell 71" totalsRowFunction="sum" dataDxfId="1121" totalsRowDxfId="1120" dataCellStyle="Normal 14 2"/>
    <tableColumn id="75" name="Cell 72" totalsRowFunction="sum" dataDxfId="1119" totalsRowDxfId="1118" dataCellStyle="Normal 14 2"/>
    <tableColumn id="76" name="Cell 73" totalsRowFunction="sum" dataDxfId="1117" totalsRowDxfId="1116" dataCellStyle="Normal 14 2"/>
    <tableColumn id="77" name="Cell 74" totalsRowFunction="sum" dataDxfId="1115" totalsRowDxfId="1114" dataCellStyle="Normal 14 2"/>
    <tableColumn id="78" name="Cell 75" totalsRowFunction="sum" dataDxfId="1113" totalsRowDxfId="1112" dataCellStyle="Normal 14 2"/>
    <tableColumn id="79" name="Cell 76" totalsRowFunction="sum" dataDxfId="1111" totalsRowDxfId="1110" dataCellStyle="Normal 14 2"/>
    <tableColumn id="80" name="Cell 77" totalsRowFunction="sum" dataDxfId="1109" totalsRowDxfId="1108" dataCellStyle="Normal 14 2"/>
    <tableColumn id="81" name="Cell 78" totalsRowFunction="sum" dataDxfId="1107" totalsRowDxfId="1106" dataCellStyle="Normal 14 2"/>
    <tableColumn id="82" name="Cell 79" totalsRowFunction="sum" dataDxfId="1105" totalsRowDxfId="1104" dataCellStyle="Normal 14 2"/>
    <tableColumn id="83" name="Cell 80" totalsRowFunction="sum" dataDxfId="1103" totalsRowDxfId="1102" dataCellStyle="Normal 14 2"/>
    <tableColumn id="84" name="Cell 81" totalsRowFunction="sum" dataDxfId="1101" totalsRowDxfId="1100" dataCellStyle="Normal 14 2"/>
    <tableColumn id="85" name="Cell 82" totalsRowFunction="sum" dataDxfId="1099" totalsRowDxfId="1098" dataCellStyle="Normal 14 2"/>
    <tableColumn id="86" name="Cell 83" totalsRowFunction="sum" dataDxfId="1097" totalsRowDxfId="1096" dataCellStyle="Normal 14 2"/>
    <tableColumn id="87" name="Cell 84" totalsRowFunction="sum" dataDxfId="1095" totalsRowDxfId="1094" dataCellStyle="Normal 14 2"/>
    <tableColumn id="88" name="Cell 85" totalsRowFunction="sum" dataDxfId="1093" totalsRowDxfId="1092" dataCellStyle="Normal 14 2"/>
    <tableColumn id="89" name="Cell 86" totalsRowFunction="sum" dataDxfId="1091" totalsRowDxfId="1090" dataCellStyle="Normal 14 2"/>
    <tableColumn id="90" name="Cell 87" totalsRowFunction="sum" dataDxfId="1089" totalsRowDxfId="1088" dataCellStyle="Normal 14 2"/>
    <tableColumn id="91" name="Cell 88" totalsRowFunction="sum" dataDxfId="1087" totalsRowDxfId="1086" dataCellStyle="Normal 14 2"/>
    <tableColumn id="92" name="Cell 89" totalsRowFunction="sum" dataDxfId="1085" totalsRowDxfId="1084" dataCellStyle="Normal 14 2"/>
    <tableColumn id="93" name="Cell 90" totalsRowFunction="sum" dataDxfId="1083" totalsRowDxfId="1082" dataCellStyle="Normal 14 2"/>
    <tableColumn id="94" name="Cell 91" totalsRowFunction="sum" dataDxfId="1081" totalsRowDxfId="1080" dataCellStyle="Normal 14 2"/>
    <tableColumn id="95" name="Cell 92" totalsRowFunction="sum" dataDxfId="1079" totalsRowDxfId="1078" dataCellStyle="Normal 14 2"/>
    <tableColumn id="96" name="Cell 93" totalsRowFunction="sum" dataDxfId="1077" totalsRowDxfId="1076" dataCellStyle="Normal 14 2"/>
    <tableColumn id="97" name="Cell 94" totalsRowFunction="sum" dataDxfId="1075" totalsRowDxfId="1074" dataCellStyle="Normal 14 2"/>
    <tableColumn id="98" name="Cell 95" totalsRowFunction="sum" dataDxfId="1073" totalsRowDxfId="1072" dataCellStyle="Normal 14 2"/>
    <tableColumn id="99" name="Cell 96" totalsRowFunction="sum" dataDxfId="1071" totalsRowDxfId="1070" dataCellStyle="Normal 14 2"/>
    <tableColumn id="100" name="Cell 97" totalsRowFunction="sum" dataDxfId="1069" totalsRowDxfId="1068" dataCellStyle="Normal 14 2"/>
    <tableColumn id="101" name="Cell 98" totalsRowFunction="sum" dataDxfId="1067" totalsRowDxfId="1066" dataCellStyle="Normal 14 2"/>
    <tableColumn id="102" name="Cell 99" totalsRowFunction="sum" dataDxfId="1065" totalsRowDxfId="1064" dataCellStyle="Normal 14 2"/>
    <tableColumn id="103" name="Cell 100" totalsRowFunction="sum" dataDxfId="1063" totalsRowDxfId="1062" dataCellStyle="Normal 14 2"/>
    <tableColumn id="104" name="Cell 101" totalsRowFunction="sum" dataDxfId="1061" totalsRowDxfId="1060" dataCellStyle="Normal 14 2"/>
    <tableColumn id="105" name="Cell 102" totalsRowFunction="sum" dataDxfId="1059" totalsRowDxfId="1058" dataCellStyle="Normal 14 2"/>
    <tableColumn id="106" name="Cell 103" totalsRowFunction="sum" dataDxfId="1057" totalsRowDxfId="1056" dataCellStyle="Normal 14 2"/>
    <tableColumn id="107" name="Cell 104" totalsRowFunction="sum" dataDxfId="1055" totalsRowDxfId="1054" dataCellStyle="Normal 14 2"/>
    <tableColumn id="108" name="Cell 105" totalsRowFunction="sum" dataDxfId="1053" totalsRowDxfId="1052" dataCellStyle="Normal 14 2"/>
    <tableColumn id="109" name="Cell 106" totalsRowFunction="sum" dataDxfId="1051" totalsRowDxfId="1050" dataCellStyle="Normal 14 2"/>
    <tableColumn id="110" name="Cell 107" totalsRowFunction="sum" dataDxfId="1049" totalsRowDxfId="1048" dataCellStyle="Normal 14 2"/>
    <tableColumn id="111" name="Cell 108" totalsRowFunction="sum" dataDxfId="1047" totalsRowDxfId="1046" dataCellStyle="Normal 14 2"/>
    <tableColumn id="112" name="Cell 109" totalsRowFunction="sum" dataDxfId="1045" totalsRowDxfId="1044" dataCellStyle="Normal 14 2"/>
    <tableColumn id="113" name="Cell 110" totalsRowFunction="sum" dataDxfId="1043" totalsRowDxfId="1042" dataCellStyle="Normal 14 2"/>
    <tableColumn id="114" name="Cell 111" totalsRowFunction="sum" dataDxfId="1041" totalsRowDxfId="1040" dataCellStyle="Normal 14 2"/>
    <tableColumn id="115" name="Cell 112" totalsRowFunction="sum" dataDxfId="1039" totalsRowDxfId="1038" dataCellStyle="Normal 14 2"/>
    <tableColumn id="116" name="Cell 113" totalsRowFunction="sum" dataDxfId="1037" totalsRowDxfId="1036" dataCellStyle="Normal 14 2"/>
    <tableColumn id="117" name="Cell 114" totalsRowFunction="sum" dataDxfId="1035" totalsRowDxfId="1034" dataCellStyle="Normal 14 2"/>
    <tableColumn id="118" name="Cell 115" totalsRowFunction="sum" dataDxfId="1033" totalsRowDxfId="1032" dataCellStyle="Normal 14 2"/>
    <tableColumn id="119" name="Cell 116" totalsRowFunction="sum" dataDxfId="1031" totalsRowDxfId="1030" dataCellStyle="Normal 14 2"/>
    <tableColumn id="120" name="Cell 117" totalsRowFunction="sum" dataDxfId="1029" totalsRowDxfId="1028" dataCellStyle="Normal 14 2"/>
    <tableColumn id="121" name="Cell 118" totalsRowFunction="sum" dataDxfId="1027" totalsRowDxfId="1026" dataCellStyle="Normal 14 2"/>
    <tableColumn id="122" name="Cell 119" totalsRowFunction="sum" dataDxfId="1025" totalsRowDxfId="1024" dataCellStyle="Normal 14 2"/>
    <tableColumn id="123" name="Cell 120" totalsRowFunction="sum" dataDxfId="1023" totalsRowDxfId="1022" dataCellStyle="Normal 14 2"/>
    <tableColumn id="124" name="Cell 121" totalsRowFunction="sum" dataDxfId="1021" totalsRowDxfId="1020" dataCellStyle="Normal 14 2"/>
    <tableColumn id="125" name="Cell 122" totalsRowFunction="sum" dataDxfId="1019" totalsRowDxfId="1018" dataCellStyle="Normal 14 2"/>
    <tableColumn id="126" name="Cell 123" totalsRowFunction="sum" dataDxfId="1017" totalsRowDxfId="1016" dataCellStyle="Normal 14 2"/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CF296 Data: December 2017" altTextSummary="County Not Reporting:  Alameda"/>
    </ext>
  </extLst>
</table>
</file>

<file path=xl/tables/table4.xml><?xml version="1.0" encoding="utf-8"?>
<table xmlns="http://schemas.openxmlformats.org/spreadsheetml/2006/main" id="4" name="Sep17Data" displayName="Sep17Data" ref="A5:DT64" totalsRowCount="1" headerRowDxfId="1014" dataDxfId="1012" headerRowBorderDxfId="1013" tableBorderDxfId="1011" totalsRowBorderDxfId="1010" headerRowCellStyle="Normal 14 2" dataCellStyle="Normal 14 2">
  <autoFilter ref="A5:DT6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  <filterColumn colId="76" hiddenButton="1"/>
    <filterColumn colId="77" hiddenButton="1"/>
    <filterColumn colId="78" hiddenButton="1"/>
    <filterColumn colId="79" hiddenButton="1"/>
    <filterColumn colId="80" hiddenButton="1"/>
    <filterColumn colId="81" hiddenButton="1"/>
    <filterColumn colId="82" hiddenButton="1"/>
    <filterColumn colId="83" hiddenButton="1"/>
    <filterColumn colId="84" hiddenButton="1"/>
    <filterColumn colId="85" hiddenButton="1"/>
    <filterColumn colId="86" hiddenButton="1"/>
    <filterColumn colId="87" hiddenButton="1"/>
    <filterColumn colId="88" hiddenButton="1"/>
    <filterColumn colId="89" hiddenButton="1"/>
    <filterColumn colId="90" hiddenButton="1"/>
    <filterColumn colId="91" hiddenButton="1"/>
    <filterColumn colId="92" hiddenButton="1"/>
    <filterColumn colId="93" hiddenButton="1"/>
    <filterColumn colId="94" hiddenButton="1"/>
    <filterColumn colId="95" hiddenButton="1"/>
    <filterColumn colId="96" hiddenButton="1"/>
    <filterColumn colId="97" hiddenButton="1"/>
    <filterColumn colId="98" hiddenButton="1"/>
    <filterColumn colId="99" hiddenButton="1"/>
    <filterColumn colId="100" hiddenButton="1"/>
    <filterColumn colId="101" hiddenButton="1"/>
    <filterColumn colId="102" hiddenButton="1"/>
    <filterColumn colId="103" hiddenButton="1"/>
    <filterColumn colId="104" hiddenButton="1"/>
    <filterColumn colId="105" hiddenButton="1"/>
    <filterColumn colId="106" hiddenButton="1"/>
    <filterColumn colId="107" hiddenButton="1"/>
    <filterColumn colId="108" hiddenButton="1"/>
    <filterColumn colId="109" hiddenButton="1"/>
    <filterColumn colId="110" hiddenButton="1"/>
    <filterColumn colId="111" hiddenButton="1"/>
    <filterColumn colId="112" hiddenButton="1"/>
    <filterColumn colId="113" hiddenButton="1"/>
    <filterColumn colId="114" hiddenButton="1"/>
    <filterColumn colId="115" hiddenButton="1"/>
    <filterColumn colId="116" hiddenButton="1"/>
    <filterColumn colId="117" hiddenButton="1"/>
    <filterColumn colId="118" hiddenButton="1"/>
    <filterColumn colId="119" hiddenButton="1"/>
    <filterColumn colId="120" hiddenButton="1"/>
    <filterColumn colId="121" hiddenButton="1"/>
    <filterColumn colId="122" hiddenButton="1"/>
    <filterColumn colId="123" hiddenButton="1"/>
  </autoFilter>
  <tableColumns count="124">
    <tableColumn id="1" name="County" totalsRowLabel="Statewide " dataDxfId="1009" totalsRowDxfId="123" dataCellStyle="Normal 14 2"/>
    <tableColumn id="4" name="Cell 1" totalsRowFunction="sum" dataDxfId="1008" totalsRowDxfId="122" dataCellStyle="Normal 14 2"/>
    <tableColumn id="5" name="Cell 2" totalsRowFunction="sum" dataDxfId="1007" totalsRowDxfId="121" dataCellStyle="Normal 14 2"/>
    <tableColumn id="6" name="Cell 3" totalsRowFunction="sum" dataDxfId="1006" totalsRowDxfId="120" dataCellStyle="Normal 14 2"/>
    <tableColumn id="7" name="Cell 4" totalsRowFunction="sum" dataDxfId="1005" totalsRowDxfId="119" dataCellStyle="Normal 14 2"/>
    <tableColumn id="8" name="Cell 5" totalsRowFunction="sum" dataDxfId="1004" totalsRowDxfId="118" dataCellStyle="Normal 14 2"/>
    <tableColumn id="9" name="Cell 6" totalsRowFunction="sum" dataDxfId="1003" totalsRowDxfId="117" dataCellStyle="Normal 14 2"/>
    <tableColumn id="10" name="Cell 7" totalsRowFunction="sum" dataDxfId="1002" totalsRowDxfId="116" dataCellStyle="Normal 14 2"/>
    <tableColumn id="11" name="Cell 8" totalsRowFunction="sum" dataDxfId="1001" totalsRowDxfId="115" dataCellStyle="Normal 14 2"/>
    <tableColumn id="12" name="Cell 9" totalsRowFunction="sum" dataDxfId="1000" totalsRowDxfId="114" dataCellStyle="Normal 14 2"/>
    <tableColumn id="13" name="Cell 10" totalsRowFunction="sum" dataDxfId="999" totalsRowDxfId="113" dataCellStyle="Normal 14 2"/>
    <tableColumn id="14" name="Cell 11" totalsRowFunction="sum" dataDxfId="998" totalsRowDxfId="112" dataCellStyle="Normal 14 2"/>
    <tableColumn id="15" name="Cell 12" totalsRowFunction="sum" dataDxfId="997" totalsRowDxfId="111" dataCellStyle="Normal 14 2"/>
    <tableColumn id="16" name="Cell 13" totalsRowFunction="sum" dataDxfId="996" totalsRowDxfId="110" dataCellStyle="Normal 14 2"/>
    <tableColumn id="17" name="Cell 14" totalsRowFunction="sum" dataDxfId="995" totalsRowDxfId="109" dataCellStyle="Normal 14 2"/>
    <tableColumn id="18" name="Cell 15" totalsRowFunction="sum" dataDxfId="994" totalsRowDxfId="108" dataCellStyle="Normal 14 2"/>
    <tableColumn id="19" name="Cell 16" totalsRowFunction="sum" dataDxfId="993" totalsRowDxfId="107" dataCellStyle="Normal 14 2"/>
    <tableColumn id="20" name="Cell 17" totalsRowFunction="sum" dataDxfId="992" totalsRowDxfId="106" dataCellStyle="Normal 14 2"/>
    <tableColumn id="21" name="Cell 18" totalsRowFunction="sum" dataDxfId="991" totalsRowDxfId="105" dataCellStyle="Normal 14 2"/>
    <tableColumn id="22" name="Cell 19" totalsRowFunction="sum" dataDxfId="990" totalsRowDxfId="104" dataCellStyle="Normal 14 2"/>
    <tableColumn id="23" name="Cell 20" totalsRowFunction="sum" dataDxfId="989" totalsRowDxfId="103" dataCellStyle="Normal 14 2"/>
    <tableColumn id="24" name="Cell 21" totalsRowFunction="sum" dataDxfId="988" totalsRowDxfId="102" dataCellStyle="Normal 14 2"/>
    <tableColumn id="25" name="Cell 22" totalsRowFunction="sum" dataDxfId="987" totalsRowDxfId="101" dataCellStyle="Normal 14 2"/>
    <tableColumn id="26" name="Cell 23" totalsRowFunction="sum" dataDxfId="986" totalsRowDxfId="100" dataCellStyle="Normal 14 2"/>
    <tableColumn id="27" name="Cell 24" totalsRowFunction="sum" dataDxfId="985" totalsRowDxfId="99" dataCellStyle="Normal 14 2"/>
    <tableColumn id="28" name="Cell 25" totalsRowFunction="sum" dataDxfId="984" totalsRowDxfId="98" dataCellStyle="Normal 14 2"/>
    <tableColumn id="29" name="Cell 26" totalsRowFunction="sum" dataDxfId="983" totalsRowDxfId="97" dataCellStyle="Normal 14 2"/>
    <tableColumn id="30" name="Cell 27" totalsRowFunction="sum" dataDxfId="982" totalsRowDxfId="96" dataCellStyle="Normal 14 2"/>
    <tableColumn id="31" name="Cell 28" totalsRowFunction="sum" dataDxfId="981" totalsRowDxfId="95" dataCellStyle="Normal 14 2"/>
    <tableColumn id="32" name="Cell 29" totalsRowFunction="sum" dataDxfId="980" totalsRowDxfId="94" dataCellStyle="Normal 14 2"/>
    <tableColumn id="33" name="Cell 30" totalsRowFunction="sum" dataDxfId="979" totalsRowDxfId="93" dataCellStyle="Normal 14 2"/>
    <tableColumn id="34" name="Cell 31" totalsRowFunction="sum" dataDxfId="978" totalsRowDxfId="92" dataCellStyle="Normal 14 2"/>
    <tableColumn id="35" name="Cell 32" totalsRowFunction="sum" dataDxfId="977" totalsRowDxfId="91" dataCellStyle="Normal 14 2"/>
    <tableColumn id="36" name="Cell 33" totalsRowFunction="sum" dataDxfId="976" totalsRowDxfId="90" dataCellStyle="Normal 14 2"/>
    <tableColumn id="37" name="Cell 34" totalsRowFunction="sum" dataDxfId="975" totalsRowDxfId="89" dataCellStyle="Normal 14 2"/>
    <tableColumn id="38" name="Cell 35" totalsRowFunction="sum" dataDxfId="974" totalsRowDxfId="88" dataCellStyle="Normal 14 2"/>
    <tableColumn id="39" name="Cell 36" totalsRowFunction="sum" dataDxfId="973" totalsRowDxfId="87" dataCellStyle="Normal 14 2"/>
    <tableColumn id="40" name="Cell 37" totalsRowFunction="sum" dataDxfId="972" totalsRowDxfId="86" dataCellStyle="Normal 14 2"/>
    <tableColumn id="41" name="Cell 38" totalsRowFunction="sum" dataDxfId="971" totalsRowDxfId="85" dataCellStyle="Normal 14 2"/>
    <tableColumn id="42" name="Cell 39" totalsRowFunction="sum" dataDxfId="970" totalsRowDxfId="84" dataCellStyle="Normal 14 2"/>
    <tableColumn id="43" name="Cell 40" totalsRowFunction="sum" dataDxfId="969" totalsRowDxfId="83" dataCellStyle="Normal 14 2"/>
    <tableColumn id="44" name="Cell 41" totalsRowFunction="sum" dataDxfId="968" totalsRowDxfId="82" dataCellStyle="Normal 14 2"/>
    <tableColumn id="45" name="Cell 42" totalsRowFunction="sum" dataDxfId="967" totalsRowDxfId="81" dataCellStyle="Normal 14 2"/>
    <tableColumn id="46" name="Cell 43" totalsRowFunction="sum" dataDxfId="966" totalsRowDxfId="80" dataCellStyle="Normal 14 2"/>
    <tableColumn id="47" name="Cell 44" totalsRowFunction="sum" dataDxfId="965" totalsRowDxfId="79" dataCellStyle="Normal 14 2"/>
    <tableColumn id="48" name="Cell 45" totalsRowFunction="sum" dataDxfId="964" totalsRowDxfId="78" dataCellStyle="Normal 14 2"/>
    <tableColumn id="49" name="Cell 46" totalsRowFunction="sum" dataDxfId="963" totalsRowDxfId="77" dataCellStyle="Normal 14 2"/>
    <tableColumn id="50" name="Cell 47" totalsRowFunction="sum" dataDxfId="962" totalsRowDxfId="76" dataCellStyle="Normal 14 2"/>
    <tableColumn id="51" name="Cell 48" totalsRowFunction="sum" dataDxfId="961" totalsRowDxfId="75" dataCellStyle="Normal 14 2"/>
    <tableColumn id="52" name="Cell 49" totalsRowFunction="sum" dataDxfId="960" totalsRowDxfId="74" dataCellStyle="Normal 14 2"/>
    <tableColumn id="53" name="Cell 50" totalsRowFunction="sum" dataDxfId="959" totalsRowDxfId="73" dataCellStyle="Normal 14 2"/>
    <tableColumn id="54" name="Cell 51" totalsRowFunction="sum" dataDxfId="958" totalsRowDxfId="72" dataCellStyle="Normal 14 2"/>
    <tableColumn id="55" name="Cell 52" totalsRowFunction="sum" dataDxfId="957" totalsRowDxfId="71" dataCellStyle="Normal 14 2"/>
    <tableColumn id="56" name="Cell 53" totalsRowFunction="sum" dataDxfId="956" totalsRowDxfId="70" dataCellStyle="Normal 14 2"/>
    <tableColumn id="57" name="Cell 54" totalsRowFunction="sum" dataDxfId="955" totalsRowDxfId="69" dataCellStyle="Normal 14 2"/>
    <tableColumn id="58" name="Cell 55" totalsRowFunction="sum" dataDxfId="954" totalsRowDxfId="68" dataCellStyle="Normal 14 2"/>
    <tableColumn id="59" name="Cell 56" totalsRowFunction="sum" dataDxfId="953" totalsRowDxfId="67" dataCellStyle="Normal 14 2"/>
    <tableColumn id="60" name="Cell 57" totalsRowFunction="sum" dataDxfId="952" totalsRowDxfId="66" dataCellStyle="Normal 14 2"/>
    <tableColumn id="61" name="Cell 58" totalsRowFunction="sum" dataDxfId="951" totalsRowDxfId="65" dataCellStyle="Normal 14 2"/>
    <tableColumn id="62" name="Cell 59" totalsRowFunction="sum" dataDxfId="950" totalsRowDxfId="64" dataCellStyle="Normal 14 2"/>
    <tableColumn id="63" name="Cell 60" totalsRowFunction="sum" dataDxfId="949" totalsRowDxfId="63" dataCellStyle="Normal 14 2"/>
    <tableColumn id="64" name="Cell 61" totalsRowFunction="sum" dataDxfId="948" totalsRowDxfId="62" dataCellStyle="Normal 14 2"/>
    <tableColumn id="65" name="Cell 62" totalsRowFunction="sum" dataDxfId="947" totalsRowDxfId="61" dataCellStyle="Normal 14 2"/>
    <tableColumn id="66" name="Cell 63" totalsRowFunction="sum" dataDxfId="946" totalsRowDxfId="60" dataCellStyle="Normal 14 2"/>
    <tableColumn id="67" name="Cell 64" totalsRowFunction="sum" dataDxfId="945" totalsRowDxfId="59" dataCellStyle="Normal 14 2"/>
    <tableColumn id="68" name="Cell 65" totalsRowFunction="sum" dataDxfId="944" totalsRowDxfId="58" dataCellStyle="Normal 14 2"/>
    <tableColumn id="69" name="Cell 66" totalsRowFunction="sum" dataDxfId="943" totalsRowDxfId="57" dataCellStyle="Normal 14 2"/>
    <tableColumn id="70" name="Cell 67" totalsRowFunction="sum" dataDxfId="942" totalsRowDxfId="56" dataCellStyle="Normal 14 2"/>
    <tableColumn id="71" name="Cell 68" totalsRowFunction="sum" dataDxfId="941" totalsRowDxfId="55" dataCellStyle="Normal 14 2"/>
    <tableColumn id="72" name="Cell 69" totalsRowFunction="sum" dataDxfId="940" totalsRowDxfId="54" dataCellStyle="Normal 14 2"/>
    <tableColumn id="73" name="Cell 70" totalsRowFunction="sum" dataDxfId="939" totalsRowDxfId="53" dataCellStyle="Normal 14 2"/>
    <tableColumn id="74" name="Cell 71" totalsRowFunction="sum" dataDxfId="938" totalsRowDxfId="52" dataCellStyle="Normal 14 2"/>
    <tableColumn id="75" name="Cell 72" totalsRowFunction="sum" dataDxfId="937" totalsRowDxfId="51" dataCellStyle="Normal 14 2"/>
    <tableColumn id="76" name="Cell 73" totalsRowFunction="sum" dataDxfId="936" totalsRowDxfId="50" dataCellStyle="Normal 14 2"/>
    <tableColumn id="77" name="Cell 74" totalsRowFunction="sum" dataDxfId="935" totalsRowDxfId="49" dataCellStyle="Normal 14 2"/>
    <tableColumn id="78" name="Cell 75" totalsRowFunction="sum" dataDxfId="934" totalsRowDxfId="48" dataCellStyle="Normal 14 2"/>
    <tableColumn id="79" name="Cell 76" totalsRowFunction="sum" dataDxfId="933" totalsRowDxfId="47" dataCellStyle="Normal 14 2"/>
    <tableColumn id="80" name="Cell 77" totalsRowFunction="sum" dataDxfId="932" totalsRowDxfId="46" dataCellStyle="Normal 14 2"/>
    <tableColumn id="81" name="Cell 78" totalsRowFunction="sum" dataDxfId="931" totalsRowDxfId="45" dataCellStyle="Normal 14 2"/>
    <tableColumn id="82" name="Cell 79" totalsRowFunction="sum" dataDxfId="930" totalsRowDxfId="44" dataCellStyle="Normal 14 2"/>
    <tableColumn id="83" name="Cell 80" totalsRowFunction="sum" dataDxfId="929" totalsRowDxfId="43" dataCellStyle="Normal 14 2"/>
    <tableColumn id="84" name="Cell 81" totalsRowFunction="sum" dataDxfId="928" totalsRowDxfId="42" dataCellStyle="Normal 14 2"/>
    <tableColumn id="85" name="Cell 82" totalsRowFunction="sum" dataDxfId="927" totalsRowDxfId="41" dataCellStyle="Normal 14 2"/>
    <tableColumn id="86" name="Cell 83" totalsRowFunction="sum" dataDxfId="926" totalsRowDxfId="40" dataCellStyle="Normal 14 2"/>
    <tableColumn id="87" name="Cell 84" totalsRowFunction="sum" dataDxfId="925" totalsRowDxfId="39" dataCellStyle="Normal 14 2"/>
    <tableColumn id="88" name="Cell 85" totalsRowFunction="sum" dataDxfId="924" totalsRowDxfId="38" dataCellStyle="Normal 14 2"/>
    <tableColumn id="89" name="Cell 86" totalsRowFunction="sum" dataDxfId="923" totalsRowDxfId="37" dataCellStyle="Normal 14 2"/>
    <tableColumn id="90" name="Cell 87" totalsRowFunction="sum" dataDxfId="922" totalsRowDxfId="36" dataCellStyle="Normal 14 2"/>
    <tableColumn id="91" name="Cell 88" totalsRowFunction="sum" dataDxfId="921" totalsRowDxfId="35" dataCellStyle="Normal 14 2"/>
    <tableColumn id="92" name="Cell 89" totalsRowFunction="sum" dataDxfId="920" totalsRowDxfId="34" dataCellStyle="Normal 14 2"/>
    <tableColumn id="93" name="Cell 90" totalsRowFunction="sum" dataDxfId="919" totalsRowDxfId="33" dataCellStyle="Normal 14 2"/>
    <tableColumn id="94" name="Cell 91" totalsRowFunction="sum" dataDxfId="918" totalsRowDxfId="32" dataCellStyle="Normal 14 2"/>
    <tableColumn id="95" name="Cell 92" totalsRowFunction="sum" dataDxfId="917" totalsRowDxfId="31" dataCellStyle="Normal 14 2"/>
    <tableColumn id="96" name="Cell 93" totalsRowFunction="sum" dataDxfId="916" totalsRowDxfId="30" dataCellStyle="Normal 14 2"/>
    <tableColumn id="97" name="Cell 94" totalsRowFunction="sum" dataDxfId="915" totalsRowDxfId="29" dataCellStyle="Normal 14 2"/>
    <tableColumn id="98" name="Cell 95" totalsRowFunction="sum" dataDxfId="914" totalsRowDxfId="28" dataCellStyle="Normal 14 2"/>
    <tableColumn id="99" name="Cell 96" totalsRowFunction="sum" dataDxfId="913" totalsRowDxfId="27" dataCellStyle="Normal 14 2"/>
    <tableColumn id="100" name="Cell 97" totalsRowFunction="sum" dataDxfId="912" totalsRowDxfId="26" dataCellStyle="Normal 14 2"/>
    <tableColumn id="101" name="Cell 98" totalsRowFunction="sum" dataDxfId="911" totalsRowDxfId="25" dataCellStyle="Normal 14 2"/>
    <tableColumn id="102" name="Cell 99" totalsRowFunction="sum" dataDxfId="910" totalsRowDxfId="24" dataCellStyle="Normal 14 2"/>
    <tableColumn id="103" name="Cell 100" totalsRowFunction="sum" dataDxfId="909" totalsRowDxfId="23" dataCellStyle="Normal 14 2"/>
    <tableColumn id="104" name="Cell 101" totalsRowFunction="sum" dataDxfId="908" totalsRowDxfId="22" dataCellStyle="Normal 14 2"/>
    <tableColumn id="105" name="Cell 102" totalsRowFunction="sum" dataDxfId="907" totalsRowDxfId="21" dataCellStyle="Normal 14 2"/>
    <tableColumn id="106" name="Cell 103" totalsRowFunction="sum" dataDxfId="906" totalsRowDxfId="20" dataCellStyle="Normal 14 2"/>
    <tableColumn id="107" name="Cell 104" totalsRowFunction="sum" dataDxfId="905" totalsRowDxfId="19" dataCellStyle="Normal 14 2"/>
    <tableColumn id="108" name="Cell 105" totalsRowFunction="sum" dataDxfId="904" totalsRowDxfId="18" dataCellStyle="Normal 14 2"/>
    <tableColumn id="109" name="Cell 106" totalsRowFunction="sum" dataDxfId="903" totalsRowDxfId="17" dataCellStyle="Normal 14 2"/>
    <tableColumn id="110" name="Cell 107" totalsRowFunction="sum" dataDxfId="902" totalsRowDxfId="16" dataCellStyle="Normal 14 2"/>
    <tableColumn id="111" name="Cell 108" totalsRowFunction="sum" dataDxfId="901" totalsRowDxfId="15" dataCellStyle="Normal 14 2"/>
    <tableColumn id="112" name="Cell 109" totalsRowFunction="sum" dataDxfId="900" totalsRowDxfId="14" dataCellStyle="Normal 14 2"/>
    <tableColumn id="113" name="Cell 110" totalsRowFunction="sum" dataDxfId="899" totalsRowDxfId="13" dataCellStyle="Normal 14 2"/>
    <tableColumn id="114" name="Cell 111" totalsRowFunction="sum" dataDxfId="898" totalsRowDxfId="12" dataCellStyle="Normal 14 2"/>
    <tableColumn id="115" name="Cell 112" totalsRowFunction="sum" dataDxfId="897" totalsRowDxfId="11" dataCellStyle="Normal 14 2"/>
    <tableColumn id="116" name="Cell 113" totalsRowFunction="sum" dataDxfId="896" totalsRowDxfId="10" dataCellStyle="Normal 14 2"/>
    <tableColumn id="117" name="Cell 114" totalsRowFunction="sum" dataDxfId="895" totalsRowDxfId="9" dataCellStyle="Normal 14 2"/>
    <tableColumn id="118" name="Cell 115" totalsRowFunction="sum" dataDxfId="894" totalsRowDxfId="8" dataCellStyle="Normal 14 2"/>
    <tableColumn id="119" name="Cell 116" totalsRowFunction="sum" dataDxfId="893" totalsRowDxfId="7" dataCellStyle="Normal 14 2"/>
    <tableColumn id="120" name="Cell 117" totalsRowFunction="sum" dataDxfId="892" totalsRowDxfId="6" dataCellStyle="Normal 14 2"/>
    <tableColumn id="121" name="Cell 118" totalsRowFunction="sum" dataDxfId="891" totalsRowDxfId="5" dataCellStyle="Normal 14 2"/>
    <tableColumn id="122" name="Cell 119" totalsRowFunction="sum" dataDxfId="890" totalsRowDxfId="4" dataCellStyle="Normal 14 2"/>
    <tableColumn id="123" name="Cell 120" totalsRowFunction="sum" dataDxfId="889" totalsRowDxfId="3" dataCellStyle="Normal 14 2"/>
    <tableColumn id="124" name="Cell 121" totalsRowFunction="sum" dataDxfId="888" totalsRowDxfId="2" dataCellStyle="Normal 14 2"/>
    <tableColumn id="125" name="Cell 122" totalsRowFunction="sum" dataDxfId="887" totalsRowDxfId="1" dataCellStyle="Normal 14 2"/>
    <tableColumn id="126" name="Cell 123" totalsRowFunction="sum" dataDxfId="886" totalsRowDxfId="0" dataCellStyle="Normal 14 2"/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CF296 Data: December 2017" altTextSummary="County Not Reporting:  Alameda_x000a__x000a_County Revising:  Santa Clara"/>
    </ext>
  </extLst>
</table>
</file>

<file path=xl/tables/table5.xml><?xml version="1.0" encoding="utf-8"?>
<table xmlns="http://schemas.openxmlformats.org/spreadsheetml/2006/main" id="5" name="Oct17Data" displayName="Oct17Data" ref="A5:DT64" totalsRowCount="1" headerRowDxfId="884" dataDxfId="882" headerRowBorderDxfId="883" tableBorderDxfId="881" totalsRowBorderDxfId="880" headerRowCellStyle="Normal 14 2" dataCellStyle="Normal 14 2">
  <autoFilter ref="A5:DT6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  <filterColumn colId="76" hiddenButton="1"/>
    <filterColumn colId="77" hiddenButton="1"/>
    <filterColumn colId="78" hiddenButton="1"/>
    <filterColumn colId="79" hiddenButton="1"/>
    <filterColumn colId="80" hiddenButton="1"/>
    <filterColumn colId="81" hiddenButton="1"/>
    <filterColumn colId="82" hiddenButton="1"/>
    <filterColumn colId="83" hiddenButton="1"/>
    <filterColumn colId="84" hiddenButton="1"/>
    <filterColumn colId="85" hiddenButton="1"/>
    <filterColumn colId="86" hiddenButton="1"/>
    <filterColumn colId="87" hiddenButton="1"/>
    <filterColumn colId="88" hiddenButton="1"/>
    <filterColumn colId="89" hiddenButton="1"/>
    <filterColumn colId="90" hiddenButton="1"/>
    <filterColumn colId="91" hiddenButton="1"/>
    <filterColumn colId="92" hiddenButton="1"/>
    <filterColumn colId="93" hiddenButton="1"/>
    <filterColumn colId="94" hiddenButton="1"/>
    <filterColumn colId="95" hiddenButton="1"/>
    <filterColumn colId="96" hiddenButton="1"/>
    <filterColumn colId="97" hiddenButton="1"/>
    <filterColumn colId="98" hiddenButton="1"/>
    <filterColumn colId="99" hiddenButton="1"/>
    <filterColumn colId="100" hiddenButton="1"/>
    <filterColumn colId="101" hiddenButton="1"/>
    <filterColumn colId="102" hiddenButton="1"/>
    <filterColumn colId="103" hiddenButton="1"/>
    <filterColumn colId="104" hiddenButton="1"/>
    <filterColumn colId="105" hiddenButton="1"/>
    <filterColumn colId="106" hiddenButton="1"/>
    <filterColumn colId="107" hiddenButton="1"/>
    <filterColumn colId="108" hiddenButton="1"/>
    <filterColumn colId="109" hiddenButton="1"/>
    <filterColumn colId="110" hiddenButton="1"/>
    <filterColumn colId="111" hiddenButton="1"/>
    <filterColumn colId="112" hiddenButton="1"/>
    <filterColumn colId="113" hiddenButton="1"/>
    <filterColumn colId="114" hiddenButton="1"/>
    <filterColumn colId="115" hiddenButton="1"/>
    <filterColumn colId="116" hiddenButton="1"/>
    <filterColumn colId="117" hiddenButton="1"/>
    <filterColumn colId="118" hiddenButton="1"/>
    <filterColumn colId="119" hiddenButton="1"/>
    <filterColumn colId="120" hiddenButton="1"/>
    <filterColumn colId="121" hiddenButton="1"/>
    <filterColumn colId="122" hiddenButton="1"/>
    <filterColumn colId="123" hiddenButton="1"/>
  </autoFilter>
  <tableColumns count="124">
    <tableColumn id="1" name="County" totalsRowLabel="Statewide " dataDxfId="879" totalsRowDxfId="878" dataCellStyle="Normal 14 2"/>
    <tableColumn id="4" name="Cell 1" totalsRowFunction="sum" dataDxfId="877" totalsRowDxfId="876" dataCellStyle="Normal 14 2"/>
    <tableColumn id="5" name="Cell 2" totalsRowFunction="sum" dataDxfId="875" totalsRowDxfId="874" dataCellStyle="Normal 14 2"/>
    <tableColumn id="6" name="Cell 3" totalsRowFunction="sum" dataDxfId="873" totalsRowDxfId="872" dataCellStyle="Normal 14 2"/>
    <tableColumn id="7" name="Cell 4" totalsRowFunction="sum" dataDxfId="871" totalsRowDxfId="870" dataCellStyle="Normal 14 2"/>
    <tableColumn id="8" name="Cell 5" totalsRowFunction="sum" dataDxfId="869" totalsRowDxfId="868" dataCellStyle="Normal 14 2"/>
    <tableColumn id="9" name="Cell 6" totalsRowFunction="sum" dataDxfId="867" totalsRowDxfId="866" dataCellStyle="Normal 14 2"/>
    <tableColumn id="10" name="Cell 7" totalsRowFunction="sum" dataDxfId="865" totalsRowDxfId="864" dataCellStyle="Normal 14 2"/>
    <tableColumn id="11" name="Cell 8" totalsRowFunction="sum" dataDxfId="863" totalsRowDxfId="862" dataCellStyle="Normal 14 2"/>
    <tableColumn id="12" name="Cell 9" totalsRowFunction="sum" dataDxfId="861" totalsRowDxfId="860" dataCellStyle="Normal 14 2"/>
    <tableColumn id="13" name="Cell 10" totalsRowFunction="sum" dataDxfId="859" totalsRowDxfId="858" dataCellStyle="Normal 14 2"/>
    <tableColumn id="14" name="Cell 11" totalsRowFunction="sum" dataDxfId="857" totalsRowDxfId="856" dataCellStyle="Normal 14 2"/>
    <tableColumn id="15" name="Cell 12" totalsRowFunction="sum" dataDxfId="855" totalsRowDxfId="854" dataCellStyle="Normal 14 2"/>
    <tableColumn id="16" name="Cell 13" totalsRowFunction="sum" dataDxfId="853" totalsRowDxfId="852" dataCellStyle="Normal 14 2"/>
    <tableColumn id="17" name="Cell 14" totalsRowFunction="sum" dataDxfId="851" totalsRowDxfId="850" dataCellStyle="Normal 14 2"/>
    <tableColumn id="18" name="Cell 15" totalsRowFunction="sum" dataDxfId="849" totalsRowDxfId="848" dataCellStyle="Normal 14 2"/>
    <tableColumn id="19" name="Cell 16" totalsRowFunction="sum" dataDxfId="847" totalsRowDxfId="846" dataCellStyle="Normal 14 2"/>
    <tableColumn id="20" name="Cell 17" totalsRowFunction="sum" dataDxfId="845" totalsRowDxfId="844" dataCellStyle="Normal 14 2"/>
    <tableColumn id="21" name="Cell 18" totalsRowFunction="sum" dataDxfId="843" totalsRowDxfId="842" dataCellStyle="Normal 14 2"/>
    <tableColumn id="22" name="Cell 19" totalsRowFunction="sum" dataDxfId="841" totalsRowDxfId="840" dataCellStyle="Normal 14 2"/>
    <tableColumn id="23" name="Cell 20" totalsRowFunction="sum" dataDxfId="839" totalsRowDxfId="838" dataCellStyle="Normal 14 2"/>
    <tableColumn id="24" name="Cell 21" totalsRowFunction="sum" dataDxfId="837" totalsRowDxfId="836" dataCellStyle="Normal 14 2"/>
    <tableColumn id="25" name="Cell 22" totalsRowFunction="sum" dataDxfId="835" totalsRowDxfId="834" dataCellStyle="Normal 14 2"/>
    <tableColumn id="26" name="Cell 23" totalsRowFunction="sum" dataDxfId="833" totalsRowDxfId="832" dataCellStyle="Normal 14 2"/>
    <tableColumn id="27" name="Cell 24" totalsRowFunction="sum" dataDxfId="831" totalsRowDxfId="830" dataCellStyle="Normal 14 2"/>
    <tableColumn id="28" name="Cell 25" totalsRowFunction="sum" dataDxfId="829" totalsRowDxfId="828" dataCellStyle="Normal 14 2"/>
    <tableColumn id="29" name="Cell 26" totalsRowFunction="sum" dataDxfId="827" totalsRowDxfId="826" dataCellStyle="Normal 14 2"/>
    <tableColumn id="30" name="Cell 27" totalsRowFunction="sum" dataDxfId="825" totalsRowDxfId="824" dataCellStyle="Normal 14 2"/>
    <tableColumn id="31" name="Cell 28" totalsRowFunction="sum" dataDxfId="823" totalsRowDxfId="822" dataCellStyle="Normal 14 2"/>
    <tableColumn id="32" name="Cell 29" totalsRowFunction="sum" dataDxfId="821" totalsRowDxfId="820" dataCellStyle="Normal 14 2"/>
    <tableColumn id="33" name="Cell 30" totalsRowFunction="sum" dataDxfId="819" totalsRowDxfId="818" dataCellStyle="Normal 14 2"/>
    <tableColumn id="34" name="Cell 31" totalsRowFunction="sum" dataDxfId="817" totalsRowDxfId="816" dataCellStyle="Normal 14 2"/>
    <tableColumn id="35" name="Cell 32" totalsRowFunction="sum" dataDxfId="815" totalsRowDxfId="814" dataCellStyle="Normal 14 2"/>
    <tableColumn id="36" name="Cell 33" totalsRowFunction="sum" dataDxfId="813" totalsRowDxfId="812" dataCellStyle="Normal 14 2"/>
    <tableColumn id="37" name="Cell 34" totalsRowFunction="sum" dataDxfId="811" totalsRowDxfId="810" dataCellStyle="Normal 14 2"/>
    <tableColumn id="38" name="Cell 35" totalsRowFunction="sum" dataDxfId="809" totalsRowDxfId="808" dataCellStyle="Normal 14 2"/>
    <tableColumn id="39" name="Cell 36" totalsRowFunction="sum" dataDxfId="807" totalsRowDxfId="806" dataCellStyle="Normal 14 2"/>
    <tableColumn id="40" name="Cell 37" totalsRowFunction="sum" dataDxfId="805" totalsRowDxfId="804" dataCellStyle="Normal 14 2"/>
    <tableColumn id="41" name="Cell 38" totalsRowFunction="sum" dataDxfId="803" totalsRowDxfId="802" dataCellStyle="Normal 14 2"/>
    <tableColumn id="42" name="Cell 39" totalsRowFunction="sum" dataDxfId="801" totalsRowDxfId="800" dataCellStyle="Normal 14 2"/>
    <tableColumn id="43" name="Cell 40" totalsRowFunction="sum" dataDxfId="799" totalsRowDxfId="798" dataCellStyle="Normal 14 2"/>
    <tableColumn id="44" name="Cell 41" totalsRowFunction="sum" dataDxfId="797" totalsRowDxfId="796" dataCellStyle="Normal 14 2"/>
    <tableColumn id="45" name="Cell 42" totalsRowFunction="sum" dataDxfId="795" totalsRowDxfId="794" dataCellStyle="Normal 14 2"/>
    <tableColumn id="46" name="Cell 43" totalsRowFunction="sum" dataDxfId="793" totalsRowDxfId="792" dataCellStyle="Normal 14 2"/>
    <tableColumn id="47" name="Cell 44" totalsRowFunction="sum" dataDxfId="791" totalsRowDxfId="790" dataCellStyle="Normal 14 2"/>
    <tableColumn id="48" name="Cell 45" totalsRowFunction="sum" dataDxfId="789" totalsRowDxfId="788" dataCellStyle="Normal 14 2"/>
    <tableColumn id="49" name="Cell 46" totalsRowFunction="sum" dataDxfId="787" totalsRowDxfId="786" dataCellStyle="Normal 14 2"/>
    <tableColumn id="50" name="Cell 47" totalsRowFunction="sum" dataDxfId="785" totalsRowDxfId="784" dataCellStyle="Normal 14 2"/>
    <tableColumn id="51" name="Cell 48" totalsRowFunction="sum" dataDxfId="783" totalsRowDxfId="782" dataCellStyle="Normal 14 2"/>
    <tableColumn id="52" name="Cell 49" totalsRowFunction="sum" dataDxfId="781" totalsRowDxfId="780" dataCellStyle="Normal 14 2"/>
    <tableColumn id="53" name="Cell 50" totalsRowFunction="sum" dataDxfId="779" totalsRowDxfId="778" dataCellStyle="Normal 14 2"/>
    <tableColumn id="54" name="Cell 51" totalsRowFunction="sum" dataDxfId="777" totalsRowDxfId="776" dataCellStyle="Normal 14 2"/>
    <tableColumn id="55" name="Cell 52" totalsRowFunction="sum" dataDxfId="775" totalsRowDxfId="774" dataCellStyle="Normal 14 2"/>
    <tableColumn id="56" name="Cell 53" totalsRowFunction="sum" dataDxfId="773" totalsRowDxfId="772" dataCellStyle="Normal 14 2"/>
    <tableColumn id="57" name="Cell 54" totalsRowFunction="sum" dataDxfId="771" totalsRowDxfId="770" dataCellStyle="Normal 14 2"/>
    <tableColumn id="58" name="Cell 55" totalsRowFunction="sum" dataDxfId="769" totalsRowDxfId="768" dataCellStyle="Normal 14 2"/>
    <tableColumn id="59" name="Cell 56" totalsRowFunction="sum" dataDxfId="767" totalsRowDxfId="766" dataCellStyle="Normal 14 2"/>
    <tableColumn id="60" name="Cell 57" totalsRowFunction="sum" dataDxfId="765" totalsRowDxfId="764" dataCellStyle="Normal 14 2"/>
    <tableColumn id="61" name="Cell 58" totalsRowFunction="sum" dataDxfId="763" totalsRowDxfId="762" dataCellStyle="Normal 14 2"/>
    <tableColumn id="62" name="Cell 59" totalsRowFunction="sum" dataDxfId="761" totalsRowDxfId="760" dataCellStyle="Normal 14 2"/>
    <tableColumn id="63" name="Cell 60" totalsRowFunction="sum" dataDxfId="759" totalsRowDxfId="758" dataCellStyle="Normal 14 2"/>
    <tableColumn id="64" name="Cell 61" totalsRowFunction="sum" dataDxfId="757" totalsRowDxfId="756" dataCellStyle="Normal 14 2"/>
    <tableColumn id="65" name="Cell 62" totalsRowFunction="sum" dataDxfId="755" totalsRowDxfId="754" dataCellStyle="Normal 14 2"/>
    <tableColumn id="66" name="Cell 63" totalsRowFunction="sum" dataDxfId="753" totalsRowDxfId="752" dataCellStyle="Normal 14 2"/>
    <tableColumn id="67" name="Cell 64" totalsRowFunction="sum" dataDxfId="751" totalsRowDxfId="750" dataCellStyle="Normal 14 2"/>
    <tableColumn id="68" name="Cell 65" totalsRowFunction="sum" dataDxfId="749" totalsRowDxfId="748" dataCellStyle="Normal 14 2"/>
    <tableColumn id="69" name="Cell 66" totalsRowFunction="sum" dataDxfId="747" totalsRowDxfId="746" dataCellStyle="Normal 14 2"/>
    <tableColumn id="70" name="Cell 67" totalsRowFunction="sum" dataDxfId="745" totalsRowDxfId="744" dataCellStyle="Normal 14 2"/>
    <tableColumn id="71" name="Cell 68" totalsRowFunction="sum" dataDxfId="743" totalsRowDxfId="742" dataCellStyle="Normal 14 2"/>
    <tableColumn id="72" name="Cell 69" totalsRowFunction="sum" dataDxfId="741" totalsRowDxfId="740" dataCellStyle="Normal 14 2"/>
    <tableColumn id="73" name="Cell 70" totalsRowFunction="sum" dataDxfId="739" totalsRowDxfId="738" dataCellStyle="Normal 14 2"/>
    <tableColumn id="74" name="Cell 71" totalsRowFunction="sum" dataDxfId="737" totalsRowDxfId="736" dataCellStyle="Normal 14 2"/>
    <tableColumn id="75" name="Cell 72" totalsRowFunction="sum" dataDxfId="735" totalsRowDxfId="734" dataCellStyle="Normal 14 2"/>
    <tableColumn id="76" name="Cell 73" totalsRowFunction="sum" dataDxfId="733" totalsRowDxfId="732" dataCellStyle="Normal 14 2"/>
    <tableColumn id="77" name="Cell 74" totalsRowFunction="sum" dataDxfId="731" totalsRowDxfId="730" dataCellStyle="Normal 14 2"/>
    <tableColumn id="78" name="Cell 75" totalsRowFunction="sum" dataDxfId="729" totalsRowDxfId="728" dataCellStyle="Normal 14 2"/>
    <tableColumn id="79" name="Cell 76" totalsRowFunction="sum" dataDxfId="727" totalsRowDxfId="726" dataCellStyle="Normal 14 2"/>
    <tableColumn id="80" name="Cell 77" totalsRowFunction="sum" dataDxfId="725" totalsRowDxfId="724" dataCellStyle="Normal 14 2"/>
    <tableColumn id="81" name="Cell 78" totalsRowFunction="sum" dataDxfId="723" totalsRowDxfId="722" dataCellStyle="Normal 14 2"/>
    <tableColumn id="82" name="Cell 79" totalsRowFunction="sum" dataDxfId="721" totalsRowDxfId="720" dataCellStyle="Normal 14 2"/>
    <tableColumn id="83" name="Cell 80" totalsRowFunction="sum" dataDxfId="719" totalsRowDxfId="718" dataCellStyle="Normal 14 2"/>
    <tableColumn id="84" name="Cell 81" totalsRowFunction="sum" dataDxfId="717" totalsRowDxfId="716" dataCellStyle="Normal 14 2"/>
    <tableColumn id="85" name="Cell 82" totalsRowFunction="sum" dataDxfId="715" totalsRowDxfId="714" dataCellStyle="Normal 14 2"/>
    <tableColumn id="86" name="Cell 83" totalsRowFunction="sum" dataDxfId="713" totalsRowDxfId="712" dataCellStyle="Normal 14 2"/>
    <tableColumn id="87" name="Cell 84" totalsRowFunction="sum" dataDxfId="711" totalsRowDxfId="710" dataCellStyle="Normal 14 2"/>
    <tableColumn id="88" name="Cell 85" totalsRowFunction="sum" dataDxfId="709" totalsRowDxfId="708" dataCellStyle="Normal 14 2"/>
    <tableColumn id="89" name="Cell 86" totalsRowFunction="sum" dataDxfId="707" totalsRowDxfId="706" dataCellStyle="Normal 14 2"/>
    <tableColumn id="90" name="Cell 87" totalsRowFunction="sum" dataDxfId="705" totalsRowDxfId="704" dataCellStyle="Normal 14 2"/>
    <tableColumn id="91" name="Cell 88" totalsRowFunction="sum" dataDxfId="703" totalsRowDxfId="702" dataCellStyle="Normal 14 2"/>
    <tableColumn id="92" name="Cell 89" totalsRowFunction="sum" dataDxfId="701" totalsRowDxfId="700" dataCellStyle="Normal 14 2"/>
    <tableColumn id="93" name="Cell 90" totalsRowFunction="sum" dataDxfId="699" totalsRowDxfId="698" dataCellStyle="Normal 14 2"/>
    <tableColumn id="94" name="Cell 91" totalsRowFunction="sum" dataDxfId="697" totalsRowDxfId="696" dataCellStyle="Normal 14 2"/>
    <tableColumn id="95" name="Cell 92" totalsRowFunction="sum" dataDxfId="695" totalsRowDxfId="694" dataCellStyle="Normal 14 2"/>
    <tableColumn id="96" name="Cell 93" totalsRowFunction="sum" dataDxfId="693" totalsRowDxfId="692" dataCellStyle="Normal 14 2"/>
    <tableColumn id="97" name="Cell 94" totalsRowFunction="sum" dataDxfId="691" totalsRowDxfId="690" dataCellStyle="Normal 14 2"/>
    <tableColumn id="98" name="Cell 95" totalsRowFunction="sum" dataDxfId="689" totalsRowDxfId="688" dataCellStyle="Normal 14 2"/>
    <tableColumn id="99" name="Cell 96" totalsRowFunction="sum" dataDxfId="687" totalsRowDxfId="686" dataCellStyle="Normal 14 2"/>
    <tableColumn id="100" name="Cell 97" totalsRowFunction="sum" dataDxfId="685" totalsRowDxfId="684" dataCellStyle="Normal 14 2"/>
    <tableColumn id="101" name="Cell 98" totalsRowFunction="sum" dataDxfId="683" totalsRowDxfId="682" dataCellStyle="Normal 14 2"/>
    <tableColumn id="102" name="Cell 99" totalsRowFunction="sum" dataDxfId="681" totalsRowDxfId="680" dataCellStyle="Normal 14 2"/>
    <tableColumn id="103" name="Cell 100" totalsRowFunction="sum" dataDxfId="679" totalsRowDxfId="678" dataCellStyle="Normal 14 2"/>
    <tableColumn id="104" name="Cell 101" totalsRowFunction="sum" dataDxfId="677" totalsRowDxfId="676" dataCellStyle="Normal 14 2"/>
    <tableColumn id="105" name="Cell 102" totalsRowFunction="sum" dataDxfId="675" totalsRowDxfId="674" dataCellStyle="Normal 14 2"/>
    <tableColumn id="106" name="Cell 103" totalsRowFunction="sum" dataDxfId="673" totalsRowDxfId="672" dataCellStyle="Normal 14 2"/>
    <tableColumn id="107" name="Cell 104" totalsRowFunction="sum" dataDxfId="671" totalsRowDxfId="670" dataCellStyle="Normal 14 2"/>
    <tableColumn id="108" name="Cell 105" totalsRowFunction="sum" dataDxfId="669" totalsRowDxfId="668" dataCellStyle="Normal 14 2"/>
    <tableColumn id="109" name="Cell 106" totalsRowFunction="sum" dataDxfId="667" totalsRowDxfId="666" dataCellStyle="Normal 14 2"/>
    <tableColumn id="110" name="Cell 107" totalsRowFunction="sum" dataDxfId="665" totalsRowDxfId="664" dataCellStyle="Normal 14 2"/>
    <tableColumn id="111" name="Cell 108" totalsRowFunction="sum" dataDxfId="663" totalsRowDxfId="662" dataCellStyle="Normal 14 2"/>
    <tableColumn id="112" name="Cell 109" totalsRowFunction="sum" dataDxfId="661" totalsRowDxfId="660" dataCellStyle="Normal 14 2"/>
    <tableColumn id="113" name="Cell 110" totalsRowFunction="sum" dataDxfId="659" totalsRowDxfId="658" dataCellStyle="Normal 14 2"/>
    <tableColumn id="114" name="Cell 111" totalsRowFunction="sum" dataDxfId="657" totalsRowDxfId="656" dataCellStyle="Normal 14 2"/>
    <tableColumn id="115" name="Cell 112" totalsRowFunction="sum" dataDxfId="655" totalsRowDxfId="654" dataCellStyle="Normal 14 2"/>
    <tableColumn id="116" name="Cell 113" totalsRowFunction="sum" dataDxfId="653" totalsRowDxfId="652" dataCellStyle="Normal 14 2"/>
    <tableColumn id="117" name="Cell 114" totalsRowFunction="sum" dataDxfId="651" totalsRowDxfId="650" dataCellStyle="Normal 14 2"/>
    <tableColumn id="118" name="Cell 115" totalsRowFunction="sum" dataDxfId="649" totalsRowDxfId="648" dataCellStyle="Normal 14 2"/>
    <tableColumn id="119" name="Cell 116" totalsRowFunction="sum" dataDxfId="647" totalsRowDxfId="646" dataCellStyle="Normal 14 2"/>
    <tableColumn id="120" name="Cell 117" totalsRowFunction="sum" dataDxfId="645" totalsRowDxfId="644" dataCellStyle="Normal 14 2"/>
    <tableColumn id="121" name="Cell 118" totalsRowFunction="sum" dataDxfId="643" totalsRowDxfId="642" dataCellStyle="Normal 14 2"/>
    <tableColumn id="122" name="Cell 119" totalsRowFunction="sum" dataDxfId="641" totalsRowDxfId="640" dataCellStyle="Normal 14 2"/>
    <tableColumn id="123" name="Cell 120" totalsRowFunction="sum" dataDxfId="639" totalsRowDxfId="638" dataCellStyle="Normal 14 2"/>
    <tableColumn id="124" name="Cell 121" totalsRowFunction="sum" dataDxfId="637" totalsRowDxfId="636" dataCellStyle="Normal 14 2"/>
    <tableColumn id="125" name="Cell 122" totalsRowFunction="sum" dataDxfId="635" totalsRowDxfId="634" dataCellStyle="Normal 14 2"/>
    <tableColumn id="126" name="Cell 123" totalsRowFunction="sum" dataDxfId="633" totalsRowDxfId="632" dataCellStyle="Normal 14 2"/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CF296 Data: December 2017" altTextSummary="County Not Reporting:  Alameda"/>
    </ext>
  </extLst>
</table>
</file>

<file path=xl/tables/table6.xml><?xml version="1.0" encoding="utf-8"?>
<table xmlns="http://schemas.openxmlformats.org/spreadsheetml/2006/main" id="6" name="Nov17Data" displayName="Nov17Data" ref="A5:DT64" totalsRowCount="1" headerRowDxfId="630" dataDxfId="628" headerRowBorderDxfId="629" tableBorderDxfId="627" totalsRowBorderDxfId="626" headerRowCellStyle="Normal 14 2" dataCellStyle="Normal 14 2">
  <autoFilter ref="A5:DT6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  <filterColumn colId="76" hiddenButton="1"/>
    <filterColumn colId="77" hiddenButton="1"/>
    <filterColumn colId="78" hiddenButton="1"/>
    <filterColumn colId="79" hiddenButton="1"/>
    <filterColumn colId="80" hiddenButton="1"/>
    <filterColumn colId="81" hiddenButton="1"/>
    <filterColumn colId="82" hiddenButton="1"/>
    <filterColumn colId="83" hiddenButton="1"/>
    <filterColumn colId="84" hiddenButton="1"/>
    <filterColumn colId="85" hiddenButton="1"/>
    <filterColumn colId="86" hiddenButton="1"/>
    <filterColumn colId="87" hiddenButton="1"/>
    <filterColumn colId="88" hiddenButton="1"/>
    <filterColumn colId="89" hiddenButton="1"/>
    <filterColumn colId="90" hiddenButton="1"/>
    <filterColumn colId="91" hiddenButton="1"/>
    <filterColumn colId="92" hiddenButton="1"/>
    <filterColumn colId="93" hiddenButton="1"/>
    <filterColumn colId="94" hiddenButton="1"/>
    <filterColumn colId="95" hiddenButton="1"/>
    <filterColumn colId="96" hiddenButton="1"/>
    <filterColumn colId="97" hiddenButton="1"/>
    <filterColumn colId="98" hiddenButton="1"/>
    <filterColumn colId="99" hiddenButton="1"/>
    <filterColumn colId="100" hiddenButton="1"/>
    <filterColumn colId="101" hiddenButton="1"/>
    <filterColumn colId="102" hiddenButton="1"/>
    <filterColumn colId="103" hiddenButton="1"/>
    <filterColumn colId="104" hiddenButton="1"/>
    <filterColumn colId="105" hiddenButton="1"/>
    <filterColumn colId="106" hiddenButton="1"/>
    <filterColumn colId="107" hiddenButton="1"/>
    <filterColumn colId="108" hiddenButton="1"/>
    <filterColumn colId="109" hiddenButton="1"/>
    <filterColumn colId="110" hiddenButton="1"/>
    <filterColumn colId="111" hiddenButton="1"/>
    <filterColumn colId="112" hiddenButton="1"/>
    <filterColumn colId="113" hiddenButton="1"/>
    <filterColumn colId="114" hiddenButton="1"/>
    <filterColumn colId="115" hiddenButton="1"/>
    <filterColumn colId="116" hiddenButton="1"/>
    <filterColumn colId="117" hiddenButton="1"/>
    <filterColumn colId="118" hiddenButton="1"/>
    <filterColumn colId="119" hiddenButton="1"/>
    <filterColumn colId="120" hiddenButton="1"/>
    <filterColumn colId="121" hiddenButton="1"/>
    <filterColumn colId="122" hiddenButton="1"/>
    <filterColumn colId="123" hiddenButton="1"/>
  </autoFilter>
  <tableColumns count="124">
    <tableColumn id="1" name="County" totalsRowLabel="Statewide " dataDxfId="625" totalsRowDxfId="624" dataCellStyle="Normal 14 2"/>
    <tableColumn id="4" name="Cell 1" totalsRowFunction="sum" dataDxfId="623" totalsRowDxfId="622" dataCellStyle="Normal 14 2"/>
    <tableColumn id="5" name="Cell 2" totalsRowFunction="sum" dataDxfId="621" totalsRowDxfId="620" dataCellStyle="Normal 14 2"/>
    <tableColumn id="6" name="Cell 3" totalsRowFunction="sum" dataDxfId="619" totalsRowDxfId="618" dataCellStyle="Normal 14 2"/>
    <tableColumn id="7" name="Cell 4" totalsRowFunction="sum" dataDxfId="617" totalsRowDxfId="616" dataCellStyle="Normal 14 2"/>
    <tableColumn id="8" name="Cell 5" totalsRowFunction="sum" dataDxfId="615" totalsRowDxfId="614" dataCellStyle="Normal 14 2"/>
    <tableColumn id="9" name="Cell 6" totalsRowFunction="sum" dataDxfId="613" totalsRowDxfId="612" dataCellStyle="Normal 14 2"/>
    <tableColumn id="10" name="Cell 7" totalsRowFunction="sum" dataDxfId="611" totalsRowDxfId="610" dataCellStyle="Normal 14 2"/>
    <tableColumn id="11" name="Cell 8" totalsRowFunction="sum" dataDxfId="609" totalsRowDxfId="608" dataCellStyle="Normal 14 2"/>
    <tableColumn id="12" name="Cell 9" totalsRowFunction="sum" dataDxfId="607" totalsRowDxfId="606" dataCellStyle="Normal 14 2"/>
    <tableColumn id="13" name="Cell 10" totalsRowFunction="sum" dataDxfId="605" totalsRowDxfId="604" dataCellStyle="Normal 14 2"/>
    <tableColumn id="14" name="Cell 11" totalsRowFunction="sum" dataDxfId="603" totalsRowDxfId="602" dataCellStyle="Normal 14 2"/>
    <tableColumn id="15" name="Cell 12" totalsRowFunction="sum" dataDxfId="601" totalsRowDxfId="600" dataCellStyle="Normal 14 2"/>
    <tableColumn id="16" name="Cell 13" totalsRowFunction="sum" dataDxfId="599" totalsRowDxfId="598" dataCellStyle="Normal 14 2"/>
    <tableColumn id="17" name="Cell 14" totalsRowFunction="sum" dataDxfId="597" totalsRowDxfId="596" dataCellStyle="Normal 14 2"/>
    <tableColumn id="18" name="Cell 15" totalsRowFunction="sum" dataDxfId="595" totalsRowDxfId="594" dataCellStyle="Normal 14 2"/>
    <tableColumn id="19" name="Cell 16" totalsRowFunction="sum" dataDxfId="593" totalsRowDxfId="592" dataCellStyle="Normal 14 2"/>
    <tableColumn id="20" name="Cell 17" totalsRowFunction="sum" dataDxfId="591" totalsRowDxfId="590" dataCellStyle="Normal 14 2"/>
    <tableColumn id="21" name="Cell 18" totalsRowFunction="sum" dataDxfId="589" totalsRowDxfId="588" dataCellStyle="Normal 14 2"/>
    <tableColumn id="22" name="Cell 19" totalsRowFunction="sum" dataDxfId="587" totalsRowDxfId="586" dataCellStyle="Normal 14 2"/>
    <tableColumn id="23" name="Cell 20" totalsRowFunction="sum" dataDxfId="585" totalsRowDxfId="584" dataCellStyle="Normal 14 2"/>
    <tableColumn id="24" name="Cell 21" totalsRowFunction="sum" dataDxfId="583" totalsRowDxfId="582" dataCellStyle="Normal 14 2"/>
    <tableColumn id="25" name="Cell 22" totalsRowFunction="sum" dataDxfId="581" totalsRowDxfId="580" dataCellStyle="Normal 14 2"/>
    <tableColumn id="26" name="Cell 23" totalsRowFunction="sum" dataDxfId="579" totalsRowDxfId="578" dataCellStyle="Normal 14 2"/>
    <tableColumn id="27" name="Cell 24" totalsRowFunction="sum" dataDxfId="577" totalsRowDxfId="576" dataCellStyle="Normal 14 2"/>
    <tableColumn id="28" name="Cell 25" totalsRowFunction="sum" dataDxfId="575" totalsRowDxfId="574" dataCellStyle="Normal 14 2"/>
    <tableColumn id="29" name="Cell 26" totalsRowFunction="sum" dataDxfId="573" totalsRowDxfId="572" dataCellStyle="Normal 14 2"/>
    <tableColumn id="30" name="Cell 27" totalsRowFunction="sum" dataDxfId="571" totalsRowDxfId="570" dataCellStyle="Normal 14 2"/>
    <tableColumn id="31" name="Cell 28" totalsRowFunction="sum" dataDxfId="569" totalsRowDxfId="568" dataCellStyle="Normal 14 2"/>
    <tableColumn id="32" name="Cell 29" totalsRowFunction="sum" dataDxfId="567" totalsRowDxfId="566" dataCellStyle="Normal 14 2"/>
    <tableColumn id="33" name="Cell 30" totalsRowFunction="sum" dataDxfId="565" totalsRowDxfId="564" dataCellStyle="Normal 14 2"/>
    <tableColumn id="34" name="Cell 31" totalsRowFunction="sum" dataDxfId="563" totalsRowDxfId="562" dataCellStyle="Normal 14 2"/>
    <tableColumn id="35" name="Cell 32" totalsRowFunction="sum" dataDxfId="561" totalsRowDxfId="560" dataCellStyle="Normal 14 2"/>
    <tableColumn id="36" name="Cell 33" totalsRowFunction="sum" dataDxfId="559" totalsRowDxfId="558" dataCellStyle="Normal 14 2"/>
    <tableColumn id="37" name="Cell 34" totalsRowFunction="sum" dataDxfId="557" totalsRowDxfId="556" dataCellStyle="Normal 14 2"/>
    <tableColumn id="38" name="Cell 35" totalsRowFunction="sum" dataDxfId="555" totalsRowDxfId="554" dataCellStyle="Normal 14 2"/>
    <tableColumn id="39" name="Cell 36" totalsRowFunction="sum" dataDxfId="553" totalsRowDxfId="552" dataCellStyle="Normal 14 2"/>
    <tableColumn id="40" name="Cell 37" totalsRowFunction="sum" dataDxfId="551" totalsRowDxfId="550" dataCellStyle="Normal 14 2"/>
    <tableColumn id="41" name="Cell 38" totalsRowFunction="sum" dataDxfId="549" totalsRowDxfId="548" dataCellStyle="Normal 14 2"/>
    <tableColumn id="42" name="Cell 39" totalsRowFunction="sum" dataDxfId="547" totalsRowDxfId="546" dataCellStyle="Normal 14 2"/>
    <tableColumn id="43" name="Cell 40" totalsRowFunction="sum" dataDxfId="545" totalsRowDxfId="544" dataCellStyle="Normal 14 2"/>
    <tableColumn id="44" name="Cell 41" totalsRowFunction="sum" dataDxfId="543" totalsRowDxfId="542" dataCellStyle="Normal 14 2"/>
    <tableColumn id="45" name="Cell 42" totalsRowFunction="sum" dataDxfId="541" totalsRowDxfId="540" dataCellStyle="Normal 14 2"/>
    <tableColumn id="46" name="Cell 43" totalsRowFunction="sum" dataDxfId="539" totalsRowDxfId="538" dataCellStyle="Normal 14 2"/>
    <tableColumn id="47" name="Cell 44" totalsRowFunction="sum" dataDxfId="537" totalsRowDxfId="536" dataCellStyle="Normal 14 2"/>
    <tableColumn id="48" name="Cell 45" totalsRowFunction="sum" dataDxfId="535" totalsRowDxfId="534" dataCellStyle="Normal 14 2"/>
    <tableColumn id="49" name="Cell 46" totalsRowFunction="sum" dataDxfId="533" totalsRowDxfId="532" dataCellStyle="Normal 14 2"/>
    <tableColumn id="50" name="Cell 47" totalsRowFunction="sum" dataDxfId="531" totalsRowDxfId="530" dataCellStyle="Normal 14 2"/>
    <tableColumn id="51" name="Cell 48" totalsRowFunction="sum" dataDxfId="529" totalsRowDxfId="528" dataCellStyle="Normal 14 2"/>
    <tableColumn id="52" name="Cell 49" totalsRowFunction="sum" dataDxfId="527" totalsRowDxfId="526" dataCellStyle="Normal 14 2"/>
    <tableColumn id="53" name="Cell 50" totalsRowFunction="sum" dataDxfId="525" totalsRowDxfId="524" dataCellStyle="Normal 14 2"/>
    <tableColumn id="54" name="Cell 51" totalsRowFunction="sum" dataDxfId="523" totalsRowDxfId="522" dataCellStyle="Normal 14 2"/>
    <tableColumn id="55" name="Cell 52" totalsRowFunction="sum" dataDxfId="521" totalsRowDxfId="520" dataCellStyle="Normal 14 2"/>
    <tableColumn id="56" name="Cell 53" totalsRowFunction="sum" dataDxfId="519" totalsRowDxfId="518" dataCellStyle="Normal 14 2"/>
    <tableColumn id="57" name="Cell 54" totalsRowFunction="sum" dataDxfId="517" totalsRowDxfId="516" dataCellStyle="Normal 14 2"/>
    <tableColumn id="58" name="Cell 55" totalsRowFunction="sum" dataDxfId="515" totalsRowDxfId="514" dataCellStyle="Normal 14 2"/>
    <tableColumn id="59" name="Cell 56" totalsRowFunction="sum" dataDxfId="513" totalsRowDxfId="512" dataCellStyle="Normal 14 2"/>
    <tableColumn id="60" name="Cell 57" totalsRowFunction="sum" dataDxfId="511" totalsRowDxfId="510" dataCellStyle="Normal 14 2"/>
    <tableColumn id="61" name="Cell 58" totalsRowFunction="sum" dataDxfId="509" totalsRowDxfId="508" dataCellStyle="Normal 14 2"/>
    <tableColumn id="62" name="Cell 59" totalsRowFunction="sum" dataDxfId="507" totalsRowDxfId="506" dataCellStyle="Normal 14 2"/>
    <tableColumn id="63" name="Cell 60" totalsRowFunction="sum" dataDxfId="505" totalsRowDxfId="504" dataCellStyle="Normal 14 2"/>
    <tableColumn id="64" name="Cell 61" totalsRowFunction="sum" dataDxfId="503" totalsRowDxfId="502" dataCellStyle="Normal 14 2"/>
    <tableColumn id="65" name="Cell 62" totalsRowFunction="sum" dataDxfId="501" totalsRowDxfId="500" dataCellStyle="Normal 14 2"/>
    <tableColumn id="66" name="Cell 63" totalsRowFunction="sum" dataDxfId="499" totalsRowDxfId="498" dataCellStyle="Normal 14 2"/>
    <tableColumn id="67" name="Cell 64" totalsRowFunction="sum" dataDxfId="497" totalsRowDxfId="496" dataCellStyle="Normal 14 2"/>
    <tableColumn id="68" name="Cell 65" totalsRowFunction="sum" dataDxfId="495" totalsRowDxfId="494" dataCellStyle="Normal 14 2"/>
    <tableColumn id="69" name="Cell 66" totalsRowFunction="sum" dataDxfId="493" totalsRowDxfId="492" dataCellStyle="Normal 14 2"/>
    <tableColumn id="70" name="Cell 67" totalsRowFunction="sum" dataDxfId="491" totalsRowDxfId="490" dataCellStyle="Normal 14 2"/>
    <tableColumn id="71" name="Cell 68" totalsRowFunction="sum" dataDxfId="489" totalsRowDxfId="488" dataCellStyle="Normal 14 2"/>
    <tableColumn id="72" name="Cell 69" totalsRowFunction="sum" dataDxfId="487" totalsRowDxfId="486" dataCellStyle="Normal 14 2"/>
    <tableColumn id="73" name="Cell 70" totalsRowFunction="sum" dataDxfId="485" totalsRowDxfId="484" dataCellStyle="Normal 14 2"/>
    <tableColumn id="74" name="Cell 71" totalsRowFunction="sum" dataDxfId="483" totalsRowDxfId="482" dataCellStyle="Normal 14 2"/>
    <tableColumn id="75" name="Cell 72" totalsRowFunction="sum" dataDxfId="481" totalsRowDxfId="480" dataCellStyle="Normal 14 2"/>
    <tableColumn id="76" name="Cell 73" totalsRowFunction="sum" dataDxfId="479" totalsRowDxfId="478" dataCellStyle="Normal 14 2"/>
    <tableColumn id="77" name="Cell 74" totalsRowFunction="sum" dataDxfId="477" totalsRowDxfId="476" dataCellStyle="Normal 14 2"/>
    <tableColumn id="78" name="Cell 75" totalsRowFunction="sum" dataDxfId="475" totalsRowDxfId="474" dataCellStyle="Normal 14 2"/>
    <tableColumn id="79" name="Cell 76" totalsRowFunction="sum" dataDxfId="473" totalsRowDxfId="472" dataCellStyle="Normal 14 2"/>
    <tableColumn id="80" name="Cell 77" totalsRowFunction="sum" dataDxfId="471" totalsRowDxfId="470" dataCellStyle="Normal 14 2"/>
    <tableColumn id="81" name="Cell 78" totalsRowFunction="sum" dataDxfId="469" totalsRowDxfId="468" dataCellStyle="Normal 14 2"/>
    <tableColumn id="82" name="Cell 79" totalsRowFunction="sum" dataDxfId="467" totalsRowDxfId="466" dataCellStyle="Normal 14 2"/>
    <tableColumn id="83" name="Cell 80" totalsRowFunction="sum" dataDxfId="465" totalsRowDxfId="464" dataCellStyle="Normal 14 2"/>
    <tableColumn id="84" name="Cell 81" totalsRowFunction="sum" dataDxfId="463" totalsRowDxfId="462" dataCellStyle="Normal 14 2"/>
    <tableColumn id="85" name="Cell 82" totalsRowFunction="sum" dataDxfId="461" totalsRowDxfId="460" dataCellStyle="Normal 14 2"/>
    <tableColumn id="86" name="Cell 83" totalsRowFunction="sum" dataDxfId="459" totalsRowDxfId="458" dataCellStyle="Normal 14 2"/>
    <tableColumn id="87" name="Cell 84" totalsRowFunction="sum" dataDxfId="457" totalsRowDxfId="456" dataCellStyle="Normal 14 2"/>
    <tableColumn id="88" name="Cell 85" totalsRowFunction="sum" dataDxfId="455" totalsRowDxfId="454" dataCellStyle="Normal 14 2"/>
    <tableColumn id="89" name="Cell 86" totalsRowFunction="sum" dataDxfId="453" totalsRowDxfId="452" dataCellStyle="Normal 14 2"/>
    <tableColumn id="90" name="Cell 87" totalsRowFunction="sum" dataDxfId="451" totalsRowDxfId="450" dataCellStyle="Normal 14 2"/>
    <tableColumn id="91" name="Cell 88" totalsRowFunction="sum" dataDxfId="449" totalsRowDxfId="448" dataCellStyle="Normal 14 2"/>
    <tableColumn id="92" name="Cell 89" totalsRowFunction="sum" dataDxfId="447" totalsRowDxfId="446" dataCellStyle="Normal 14 2"/>
    <tableColumn id="93" name="Cell 90" totalsRowFunction="sum" dataDxfId="445" totalsRowDxfId="444" dataCellStyle="Normal 14 2"/>
    <tableColumn id="94" name="Cell 91" totalsRowFunction="sum" dataDxfId="443" totalsRowDxfId="442" dataCellStyle="Normal 14 2"/>
    <tableColumn id="95" name="Cell 92" totalsRowFunction="sum" dataDxfId="441" totalsRowDxfId="440" dataCellStyle="Normal 14 2"/>
    <tableColumn id="96" name="Cell 93" totalsRowFunction="sum" dataDxfId="439" totalsRowDxfId="438" dataCellStyle="Normal 14 2"/>
    <tableColumn id="97" name="Cell 94" totalsRowFunction="sum" dataDxfId="437" totalsRowDxfId="436" dataCellStyle="Normal 14 2"/>
    <tableColumn id="98" name="Cell 95" totalsRowFunction="sum" dataDxfId="435" totalsRowDxfId="434" dataCellStyle="Normal 14 2"/>
    <tableColumn id="99" name="Cell 96" totalsRowFunction="sum" dataDxfId="433" totalsRowDxfId="432" dataCellStyle="Normal 14 2"/>
    <tableColumn id="100" name="Cell 97" totalsRowFunction="sum" dataDxfId="431" totalsRowDxfId="430" dataCellStyle="Normal 14 2"/>
    <tableColumn id="101" name="Cell 98" totalsRowFunction="sum" dataDxfId="429" totalsRowDxfId="428" dataCellStyle="Normal 14 2"/>
    <tableColumn id="102" name="Cell 99" totalsRowFunction="sum" dataDxfId="427" totalsRowDxfId="426" dataCellStyle="Normal 14 2"/>
    <tableColumn id="103" name="Cell 100" totalsRowFunction="sum" dataDxfId="425" totalsRowDxfId="424" dataCellStyle="Normal 14 2"/>
    <tableColumn id="104" name="Cell 101" totalsRowFunction="sum" dataDxfId="423" totalsRowDxfId="422" dataCellStyle="Normal 14 2"/>
    <tableColumn id="105" name="Cell 102" totalsRowFunction="sum" dataDxfId="421" totalsRowDxfId="420" dataCellStyle="Normal 14 2"/>
    <tableColumn id="106" name="Cell 103" totalsRowFunction="sum" dataDxfId="419" totalsRowDxfId="418" dataCellStyle="Normal 14 2"/>
    <tableColumn id="107" name="Cell 104" totalsRowFunction="sum" dataDxfId="417" totalsRowDxfId="416" dataCellStyle="Normal 14 2"/>
    <tableColumn id="108" name="Cell 105" totalsRowFunction="sum" dataDxfId="415" totalsRowDxfId="414" dataCellStyle="Normal 14 2"/>
    <tableColumn id="109" name="Cell 106" totalsRowFunction="sum" dataDxfId="413" totalsRowDxfId="412" dataCellStyle="Normal 14 2"/>
    <tableColumn id="110" name="Cell 107" totalsRowFunction="sum" dataDxfId="411" totalsRowDxfId="410" dataCellStyle="Normal 14 2"/>
    <tableColumn id="111" name="Cell 108" totalsRowFunction="sum" dataDxfId="409" totalsRowDxfId="408" dataCellStyle="Normal 14 2"/>
    <tableColumn id="112" name="Cell 109" totalsRowFunction="sum" dataDxfId="407" totalsRowDxfId="406" dataCellStyle="Normal 14 2"/>
    <tableColumn id="113" name="Cell 110" totalsRowFunction="sum" dataDxfId="405" totalsRowDxfId="404" dataCellStyle="Normal 14 2"/>
    <tableColumn id="114" name="Cell 111" totalsRowFunction="sum" dataDxfId="403" totalsRowDxfId="402" dataCellStyle="Normal 14 2"/>
    <tableColumn id="115" name="Cell 112" totalsRowFunction="sum" dataDxfId="401" totalsRowDxfId="400" dataCellStyle="Normal 14 2"/>
    <tableColumn id="116" name="Cell 113" totalsRowFunction="sum" dataDxfId="399" totalsRowDxfId="398" dataCellStyle="Normal 14 2"/>
    <tableColumn id="117" name="Cell 114" totalsRowFunction="sum" dataDxfId="397" totalsRowDxfId="396" dataCellStyle="Normal 14 2"/>
    <tableColumn id="118" name="Cell 115" totalsRowFunction="sum" dataDxfId="395" totalsRowDxfId="394" dataCellStyle="Normal 14 2"/>
    <tableColumn id="119" name="Cell 116" totalsRowFunction="sum" dataDxfId="393" totalsRowDxfId="392" dataCellStyle="Normal 14 2"/>
    <tableColumn id="120" name="Cell 117" totalsRowFunction="sum" dataDxfId="391" totalsRowDxfId="390" dataCellStyle="Normal 14 2"/>
    <tableColumn id="121" name="Cell 118" totalsRowFunction="sum" dataDxfId="389" totalsRowDxfId="388" dataCellStyle="Normal 14 2"/>
    <tableColumn id="122" name="Cell 119" totalsRowFunction="sum" dataDxfId="387" totalsRowDxfId="386" dataCellStyle="Normal 14 2"/>
    <tableColumn id="123" name="Cell 120" totalsRowFunction="sum" dataDxfId="385" totalsRowDxfId="384" dataCellStyle="Normal 14 2"/>
    <tableColumn id="124" name="Cell 121" totalsRowFunction="sum" dataDxfId="383" totalsRowDxfId="382" dataCellStyle="Normal 14 2"/>
    <tableColumn id="125" name="Cell 122" totalsRowFunction="sum" dataDxfId="381" totalsRowDxfId="380" dataCellStyle="Normal 14 2"/>
    <tableColumn id="126" name="Cell 123" totalsRowFunction="sum" dataDxfId="379" totalsRowDxfId="378" dataCellStyle="Normal 14 2"/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CF296 Data: December 2017" altTextSummary="County Not Reporting:  Alameda"/>
    </ext>
  </extLst>
</table>
</file>

<file path=xl/tables/table7.xml><?xml version="1.0" encoding="utf-8"?>
<table xmlns="http://schemas.openxmlformats.org/spreadsheetml/2006/main" id="7" name="Dec17Data" displayName="Dec17Data" ref="A5:DT64" totalsRowCount="1" headerRowDxfId="376" dataDxfId="374" headerRowBorderDxfId="375" tableBorderDxfId="373" totalsRowBorderDxfId="372" headerRowCellStyle="Normal 14 2" dataCellStyle="Normal 14 2">
  <autoFilter ref="A5:DT6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  <filterColumn colId="76" hiddenButton="1"/>
    <filterColumn colId="77" hiddenButton="1"/>
    <filterColumn colId="78" hiddenButton="1"/>
    <filterColumn colId="79" hiddenButton="1"/>
    <filterColumn colId="80" hiddenButton="1"/>
    <filterColumn colId="81" hiddenButton="1"/>
    <filterColumn colId="82" hiddenButton="1"/>
    <filterColumn colId="83" hiddenButton="1"/>
    <filterColumn colId="84" hiddenButton="1"/>
    <filterColumn colId="85" hiddenButton="1"/>
    <filterColumn colId="86" hiddenButton="1"/>
    <filterColumn colId="87" hiddenButton="1"/>
    <filterColumn colId="88" hiddenButton="1"/>
    <filterColumn colId="89" hiddenButton="1"/>
    <filterColumn colId="90" hiddenButton="1"/>
    <filterColumn colId="91" hiddenButton="1"/>
    <filterColumn colId="92" hiddenButton="1"/>
    <filterColumn colId="93" hiddenButton="1"/>
    <filterColumn colId="94" hiddenButton="1"/>
    <filterColumn colId="95" hiddenButton="1"/>
    <filterColumn colId="96" hiddenButton="1"/>
    <filterColumn colId="97" hiddenButton="1"/>
    <filterColumn colId="98" hiddenButton="1"/>
    <filterColumn colId="99" hiddenButton="1"/>
    <filterColumn colId="100" hiddenButton="1"/>
    <filterColumn colId="101" hiddenButton="1"/>
    <filterColumn colId="102" hiddenButton="1"/>
    <filterColumn colId="103" hiddenButton="1"/>
    <filterColumn colId="104" hiddenButton="1"/>
    <filterColumn colId="105" hiddenButton="1"/>
    <filterColumn colId="106" hiddenButton="1"/>
    <filterColumn colId="107" hiddenButton="1"/>
    <filterColumn colId="108" hiddenButton="1"/>
    <filterColumn colId="109" hiddenButton="1"/>
    <filterColumn colId="110" hiddenButton="1"/>
    <filterColumn colId="111" hiddenButton="1"/>
    <filterColumn colId="112" hiddenButton="1"/>
    <filterColumn colId="113" hiddenButton="1"/>
    <filterColumn colId="114" hiddenButton="1"/>
    <filterColumn colId="115" hiddenButton="1"/>
    <filterColumn colId="116" hiddenButton="1"/>
    <filterColumn colId="117" hiddenButton="1"/>
    <filterColumn colId="118" hiddenButton="1"/>
    <filterColumn colId="119" hiddenButton="1"/>
    <filterColumn colId="120" hiddenButton="1"/>
    <filterColumn colId="121" hiddenButton="1"/>
    <filterColumn colId="122" hiddenButton="1"/>
    <filterColumn colId="123" hiddenButton="1"/>
  </autoFilter>
  <tableColumns count="124">
    <tableColumn id="1" name="County" totalsRowLabel="Statewide " dataDxfId="371" totalsRowDxfId="370" dataCellStyle="Normal 14 2"/>
    <tableColumn id="4" name="Cell 1" totalsRowFunction="sum" dataDxfId="369" totalsRowDxfId="368" dataCellStyle="Normal 14 2"/>
    <tableColumn id="5" name="Cell 2" totalsRowFunction="sum" dataDxfId="367" totalsRowDxfId="366" dataCellStyle="Normal 14 2"/>
    <tableColumn id="6" name="Cell 3" totalsRowFunction="sum" dataDxfId="365" totalsRowDxfId="364" dataCellStyle="Normal 14 2"/>
    <tableColumn id="7" name="Cell 4" totalsRowFunction="sum" dataDxfId="363" totalsRowDxfId="362" dataCellStyle="Normal 14 2"/>
    <tableColumn id="8" name="Cell 5" totalsRowFunction="sum" dataDxfId="361" totalsRowDxfId="360" dataCellStyle="Normal 14 2"/>
    <tableColumn id="9" name="Cell 6" totalsRowFunction="sum" dataDxfId="359" totalsRowDxfId="358" dataCellStyle="Normal 14 2"/>
    <tableColumn id="10" name="Cell 7" totalsRowFunction="sum" dataDxfId="357" totalsRowDxfId="356" dataCellStyle="Normal 14 2"/>
    <tableColumn id="11" name="Cell 8" totalsRowFunction="sum" dataDxfId="355" totalsRowDxfId="354" dataCellStyle="Normal 14 2"/>
    <tableColumn id="12" name="Cell 9" totalsRowFunction="sum" dataDxfId="353" totalsRowDxfId="352" dataCellStyle="Normal 14 2"/>
    <tableColumn id="13" name="Cell 10" totalsRowFunction="sum" dataDxfId="351" totalsRowDxfId="350" dataCellStyle="Normal 14 2"/>
    <tableColumn id="14" name="Cell 11" totalsRowFunction="sum" dataDxfId="349" totalsRowDxfId="348" dataCellStyle="Normal 14 2"/>
    <tableColumn id="15" name="Cell 12" totalsRowFunction="sum" dataDxfId="347" totalsRowDxfId="346" dataCellStyle="Normal 14 2"/>
    <tableColumn id="16" name="Cell 13" totalsRowFunction="sum" dataDxfId="345" totalsRowDxfId="344" dataCellStyle="Normal 14 2"/>
    <tableColumn id="17" name="Cell 14" totalsRowFunction="sum" dataDxfId="343" totalsRowDxfId="342" dataCellStyle="Normal 14 2"/>
    <tableColumn id="18" name="Cell 15" totalsRowFunction="sum" dataDxfId="341" totalsRowDxfId="340" dataCellStyle="Normal 14 2"/>
    <tableColumn id="19" name="Cell 16" totalsRowFunction="sum" dataDxfId="339" totalsRowDxfId="338" dataCellStyle="Normal 14 2"/>
    <tableColumn id="20" name="Cell 17" totalsRowFunction="sum" dataDxfId="337" totalsRowDxfId="336" dataCellStyle="Normal 14 2"/>
    <tableColumn id="21" name="Cell 18" totalsRowFunction="sum" dataDxfId="335" totalsRowDxfId="334" dataCellStyle="Normal 14 2"/>
    <tableColumn id="22" name="Cell 19" totalsRowFunction="sum" dataDxfId="333" totalsRowDxfId="332" dataCellStyle="Normal 14 2"/>
    <tableColumn id="23" name="Cell 20" totalsRowFunction="sum" dataDxfId="331" totalsRowDxfId="330" dataCellStyle="Normal 14 2"/>
    <tableColumn id="24" name="Cell 21" totalsRowFunction="sum" dataDxfId="329" totalsRowDxfId="328" dataCellStyle="Normal 14 2"/>
    <tableColumn id="25" name="Cell 22" totalsRowFunction="sum" dataDxfId="327" totalsRowDxfId="326" dataCellStyle="Normal 14 2"/>
    <tableColumn id="26" name="Cell 23" totalsRowFunction="sum" dataDxfId="325" totalsRowDxfId="324" dataCellStyle="Normal 14 2"/>
    <tableColumn id="27" name="Cell 24" totalsRowFunction="sum" dataDxfId="323" totalsRowDxfId="322" dataCellStyle="Normal 14 2"/>
    <tableColumn id="28" name="Cell 25" totalsRowFunction="sum" dataDxfId="321" totalsRowDxfId="320" dataCellStyle="Normal 14 2"/>
    <tableColumn id="29" name="Cell 26" totalsRowFunction="sum" dataDxfId="319" totalsRowDxfId="318" dataCellStyle="Normal 14 2"/>
    <tableColumn id="30" name="Cell 27" totalsRowFunction="sum" dataDxfId="317" totalsRowDxfId="316" dataCellStyle="Normal 14 2"/>
    <tableColumn id="31" name="Cell 28" totalsRowFunction="sum" dataDxfId="315" totalsRowDxfId="314" dataCellStyle="Normal 14 2"/>
    <tableColumn id="32" name="Cell 29" totalsRowFunction="sum" dataDxfId="313" totalsRowDxfId="312" dataCellStyle="Normal 14 2"/>
    <tableColumn id="33" name="Cell 30" totalsRowFunction="sum" dataDxfId="311" totalsRowDxfId="310" dataCellStyle="Normal 14 2"/>
    <tableColumn id="34" name="Cell 31" totalsRowFunction="sum" dataDxfId="309" totalsRowDxfId="308" dataCellStyle="Normal 14 2"/>
    <tableColumn id="35" name="Cell 32" totalsRowFunction="sum" dataDxfId="307" totalsRowDxfId="306" dataCellStyle="Normal 14 2"/>
    <tableColumn id="36" name="Cell 33" totalsRowFunction="sum" dataDxfId="305" totalsRowDxfId="304" dataCellStyle="Normal 14 2"/>
    <tableColumn id="37" name="Cell 34" totalsRowFunction="sum" dataDxfId="303" totalsRowDxfId="302" dataCellStyle="Normal 14 2"/>
    <tableColumn id="38" name="Cell 35" totalsRowFunction="sum" dataDxfId="301" totalsRowDxfId="300" dataCellStyle="Normal 14 2"/>
    <tableColumn id="39" name="Cell 36" totalsRowFunction="sum" dataDxfId="299" totalsRowDxfId="298" dataCellStyle="Normal 14 2"/>
    <tableColumn id="40" name="Cell 37" totalsRowFunction="sum" dataDxfId="297" totalsRowDxfId="296" dataCellStyle="Normal 14 2"/>
    <tableColumn id="41" name="Cell 38" totalsRowFunction="sum" dataDxfId="295" totalsRowDxfId="294" dataCellStyle="Normal 14 2"/>
    <tableColumn id="42" name="Cell 39" totalsRowFunction="sum" dataDxfId="293" totalsRowDxfId="292" dataCellStyle="Normal 14 2"/>
    <tableColumn id="43" name="Cell 40" totalsRowFunction="sum" dataDxfId="291" totalsRowDxfId="290" dataCellStyle="Normal 14 2"/>
    <tableColumn id="44" name="Cell 41" totalsRowFunction="sum" dataDxfId="289" totalsRowDxfId="288" dataCellStyle="Normal 14 2"/>
    <tableColumn id="45" name="Cell 42" totalsRowFunction="sum" dataDxfId="287" totalsRowDxfId="286" dataCellStyle="Normal 14 2"/>
    <tableColumn id="46" name="Cell 43" totalsRowFunction="sum" dataDxfId="285" totalsRowDxfId="284" dataCellStyle="Normal 14 2"/>
    <tableColumn id="47" name="Cell 44" totalsRowFunction="sum" dataDxfId="283" totalsRowDxfId="282" dataCellStyle="Normal 14 2"/>
    <tableColumn id="48" name="Cell 45" totalsRowFunction="sum" dataDxfId="281" totalsRowDxfId="280" dataCellStyle="Normal 14 2"/>
    <tableColumn id="49" name="Cell 46" totalsRowFunction="sum" dataDxfId="279" totalsRowDxfId="278" dataCellStyle="Normal 14 2"/>
    <tableColumn id="50" name="Cell 47" totalsRowFunction="sum" dataDxfId="277" totalsRowDxfId="276" dataCellStyle="Normal 14 2"/>
    <tableColumn id="51" name="Cell 48" totalsRowFunction="sum" dataDxfId="275" totalsRowDxfId="274" dataCellStyle="Normal 14 2"/>
    <tableColumn id="52" name="Cell 49" totalsRowFunction="sum" dataDxfId="273" totalsRowDxfId="272" dataCellStyle="Normal 14 2"/>
    <tableColumn id="53" name="Cell 50" totalsRowFunction="sum" dataDxfId="271" totalsRowDxfId="270" dataCellStyle="Normal 14 2"/>
    <tableColumn id="54" name="Cell 51" totalsRowFunction="sum" dataDxfId="269" totalsRowDxfId="268" dataCellStyle="Normal 14 2"/>
    <tableColumn id="55" name="Cell 52" totalsRowFunction="sum" dataDxfId="267" totalsRowDxfId="266" dataCellStyle="Normal 14 2"/>
    <tableColumn id="56" name="Cell 53" totalsRowFunction="sum" dataDxfId="265" totalsRowDxfId="264" dataCellStyle="Normal 14 2"/>
    <tableColumn id="57" name="Cell 54" totalsRowFunction="sum" dataDxfId="263" totalsRowDxfId="262" dataCellStyle="Normal 14 2"/>
    <tableColumn id="58" name="Cell 55" totalsRowFunction="sum" dataDxfId="261" totalsRowDxfId="260" dataCellStyle="Normal 14 2"/>
    <tableColumn id="59" name="Cell 56" totalsRowFunction="sum" dataDxfId="259" totalsRowDxfId="258" dataCellStyle="Normal 14 2"/>
    <tableColumn id="60" name="Cell 57" totalsRowFunction="sum" dataDxfId="257" totalsRowDxfId="256" dataCellStyle="Normal 14 2"/>
    <tableColumn id="61" name="Cell 58" totalsRowFunction="sum" dataDxfId="255" totalsRowDxfId="254" dataCellStyle="Normal 14 2"/>
    <tableColumn id="62" name="Cell 59" totalsRowFunction="sum" dataDxfId="253" totalsRowDxfId="252" dataCellStyle="Normal 14 2"/>
    <tableColumn id="63" name="Cell 60" totalsRowFunction="sum" dataDxfId="251" totalsRowDxfId="250" dataCellStyle="Normal 14 2"/>
    <tableColumn id="64" name="Cell 61" totalsRowFunction="sum" dataDxfId="249" totalsRowDxfId="248" dataCellStyle="Normal 14 2"/>
    <tableColumn id="65" name="Cell 62" totalsRowFunction="sum" dataDxfId="247" totalsRowDxfId="246" dataCellStyle="Normal 14 2"/>
    <tableColumn id="66" name="Cell 63" totalsRowFunction="sum" dataDxfId="245" totalsRowDxfId="244" dataCellStyle="Normal 14 2"/>
    <tableColumn id="67" name="Cell 64" totalsRowFunction="sum" dataDxfId="243" totalsRowDxfId="242" dataCellStyle="Normal 14 2"/>
    <tableColumn id="68" name="Cell 65" totalsRowFunction="sum" dataDxfId="241" totalsRowDxfId="240" dataCellStyle="Normal 14 2"/>
    <tableColumn id="69" name="Cell 66" totalsRowFunction="sum" dataDxfId="239" totalsRowDxfId="238" dataCellStyle="Normal 14 2"/>
    <tableColumn id="70" name="Cell 67" totalsRowFunction="sum" dataDxfId="237" totalsRowDxfId="236" dataCellStyle="Normal 14 2"/>
    <tableColumn id="71" name="Cell 68" totalsRowFunction="sum" dataDxfId="235" totalsRowDxfId="234" dataCellStyle="Normal 14 2"/>
    <tableColumn id="72" name="Cell 69" totalsRowFunction="sum" dataDxfId="233" totalsRowDxfId="232" dataCellStyle="Normal 14 2"/>
    <tableColumn id="73" name="Cell 70" totalsRowFunction="sum" dataDxfId="231" totalsRowDxfId="230" dataCellStyle="Normal 14 2"/>
    <tableColumn id="74" name="Cell 71" totalsRowFunction="sum" dataDxfId="229" totalsRowDxfId="228" dataCellStyle="Normal 14 2"/>
    <tableColumn id="75" name="Cell 72" totalsRowFunction="sum" dataDxfId="227" totalsRowDxfId="226" dataCellStyle="Normal 14 2"/>
    <tableColumn id="76" name="Cell 73" totalsRowFunction="sum" dataDxfId="225" totalsRowDxfId="224" dataCellStyle="Normal 14 2"/>
    <tableColumn id="77" name="Cell 74" totalsRowFunction="sum" dataDxfId="223" totalsRowDxfId="222" dataCellStyle="Normal 14 2"/>
    <tableColumn id="78" name="Cell 75" totalsRowFunction="sum" dataDxfId="221" totalsRowDxfId="220" dataCellStyle="Normal 14 2"/>
    <tableColumn id="79" name="Cell 76" totalsRowFunction="sum" dataDxfId="219" totalsRowDxfId="218" dataCellStyle="Normal 14 2"/>
    <tableColumn id="80" name="Cell 77" totalsRowFunction="sum" dataDxfId="217" totalsRowDxfId="216" dataCellStyle="Normal 14 2"/>
    <tableColumn id="81" name="Cell 78" totalsRowFunction="sum" dataDxfId="215" totalsRowDxfId="214" dataCellStyle="Normal 14 2"/>
    <tableColumn id="82" name="Cell 79" totalsRowFunction="sum" dataDxfId="213" totalsRowDxfId="212" dataCellStyle="Normal 14 2"/>
    <tableColumn id="83" name="Cell 80" totalsRowFunction="sum" dataDxfId="211" totalsRowDxfId="210" dataCellStyle="Normal 14 2"/>
    <tableColumn id="84" name="Cell 81" totalsRowFunction="sum" dataDxfId="209" totalsRowDxfId="208" dataCellStyle="Normal 14 2"/>
    <tableColumn id="85" name="Cell 82" totalsRowFunction="sum" dataDxfId="207" totalsRowDxfId="206" dataCellStyle="Normal 14 2"/>
    <tableColumn id="86" name="Cell 83" totalsRowFunction="sum" dataDxfId="205" totalsRowDxfId="204" dataCellStyle="Normal 14 2"/>
    <tableColumn id="87" name="Cell 84" totalsRowFunction="sum" dataDxfId="203" totalsRowDxfId="202" dataCellStyle="Normal 14 2"/>
    <tableColumn id="88" name="Cell 85" totalsRowFunction="sum" dataDxfId="201" totalsRowDxfId="200" dataCellStyle="Normal 14 2"/>
    <tableColumn id="89" name="Cell 86" totalsRowFunction="sum" dataDxfId="199" totalsRowDxfId="198" dataCellStyle="Normal 14 2"/>
    <tableColumn id="90" name="Cell 87" totalsRowFunction="sum" dataDxfId="197" totalsRowDxfId="196" dataCellStyle="Normal 14 2"/>
    <tableColumn id="91" name="Cell 88" totalsRowFunction="sum" dataDxfId="195" totalsRowDxfId="194" dataCellStyle="Normal 14 2"/>
    <tableColumn id="92" name="Cell 89" totalsRowFunction="sum" dataDxfId="193" totalsRowDxfId="192" dataCellStyle="Normal 14 2"/>
    <tableColumn id="93" name="Cell 90" totalsRowFunction="sum" dataDxfId="191" totalsRowDxfId="190" dataCellStyle="Normal 14 2"/>
    <tableColumn id="94" name="Cell 91" totalsRowFunction="sum" dataDxfId="189" totalsRowDxfId="188" dataCellStyle="Normal 14 2"/>
    <tableColumn id="95" name="Cell 92" totalsRowFunction="sum" dataDxfId="187" totalsRowDxfId="186" dataCellStyle="Normal 14 2"/>
    <tableColumn id="96" name="Cell 93" totalsRowFunction="sum" dataDxfId="185" totalsRowDxfId="184" dataCellStyle="Normal 14 2"/>
    <tableColumn id="97" name="Cell 94" totalsRowFunction="sum" dataDxfId="183" totalsRowDxfId="182" dataCellStyle="Normal 14 2"/>
    <tableColumn id="98" name="Cell 95" totalsRowFunction="sum" dataDxfId="181" totalsRowDxfId="180" dataCellStyle="Normal 14 2"/>
    <tableColumn id="99" name="Cell 96" totalsRowFunction="sum" dataDxfId="179" totalsRowDxfId="178" dataCellStyle="Normal 14 2"/>
    <tableColumn id="100" name="Cell 97" totalsRowFunction="sum" dataDxfId="177" totalsRowDxfId="176" dataCellStyle="Normal 14 2"/>
    <tableColumn id="101" name="Cell 98" totalsRowFunction="sum" dataDxfId="175" totalsRowDxfId="174" dataCellStyle="Normal 14 2"/>
    <tableColumn id="102" name="Cell 99" totalsRowFunction="sum" dataDxfId="173" totalsRowDxfId="172" dataCellStyle="Normal 14 2"/>
    <tableColumn id="103" name="Cell 100" totalsRowFunction="sum" dataDxfId="171" totalsRowDxfId="170" dataCellStyle="Normal 14 2"/>
    <tableColumn id="104" name="Cell 101" totalsRowFunction="sum" dataDxfId="169" totalsRowDxfId="168" dataCellStyle="Normal 14 2"/>
    <tableColumn id="105" name="Cell 102" totalsRowFunction="sum" dataDxfId="167" totalsRowDxfId="166" dataCellStyle="Normal 14 2"/>
    <tableColumn id="106" name="Cell 103" totalsRowFunction="sum" dataDxfId="165" totalsRowDxfId="164" dataCellStyle="Normal 14 2"/>
    <tableColumn id="107" name="Cell 104" totalsRowFunction="sum" dataDxfId="163" totalsRowDxfId="162" dataCellStyle="Normal 14 2"/>
    <tableColumn id="108" name="Cell 105" totalsRowFunction="sum" dataDxfId="161" totalsRowDxfId="160" dataCellStyle="Normal 14 2"/>
    <tableColumn id="109" name="Cell 106" totalsRowFunction="sum" dataDxfId="159" totalsRowDxfId="158" dataCellStyle="Normal 14 2"/>
    <tableColumn id="110" name="Cell 107" totalsRowFunction="sum" dataDxfId="157" totalsRowDxfId="156" dataCellStyle="Normal 14 2"/>
    <tableColumn id="111" name="Cell 108" totalsRowFunction="sum" dataDxfId="155" totalsRowDxfId="154" dataCellStyle="Normal 14 2"/>
    <tableColumn id="112" name="Cell 109" totalsRowFunction="sum" dataDxfId="153" totalsRowDxfId="152" dataCellStyle="Normal 14 2"/>
    <tableColumn id="113" name="Cell 110" totalsRowFunction="sum" dataDxfId="151" totalsRowDxfId="150" dataCellStyle="Normal 14 2"/>
    <tableColumn id="114" name="Cell 111" totalsRowFunction="sum" dataDxfId="149" totalsRowDxfId="148" dataCellStyle="Normal 14 2"/>
    <tableColumn id="115" name="Cell 112" totalsRowFunction="sum" dataDxfId="147" totalsRowDxfId="146" dataCellStyle="Normal 14 2"/>
    <tableColumn id="116" name="Cell 113" totalsRowFunction="sum" dataDxfId="145" totalsRowDxfId="144" dataCellStyle="Normal 14 2"/>
    <tableColumn id="117" name="Cell 114" totalsRowFunction="sum" dataDxfId="143" totalsRowDxfId="142" dataCellStyle="Normal 14 2"/>
    <tableColumn id="118" name="Cell 115" totalsRowFunction="sum" dataDxfId="141" totalsRowDxfId="140" dataCellStyle="Normal 14 2"/>
    <tableColumn id="119" name="Cell 116" totalsRowFunction="sum" dataDxfId="139" totalsRowDxfId="138" dataCellStyle="Normal 14 2"/>
    <tableColumn id="120" name="Cell 117" totalsRowFunction="sum" dataDxfId="137" totalsRowDxfId="136" dataCellStyle="Normal 14 2"/>
    <tableColumn id="121" name="Cell 118" totalsRowFunction="sum" dataDxfId="135" totalsRowDxfId="134" dataCellStyle="Normal 14 2"/>
    <tableColumn id="122" name="Cell 119" totalsRowFunction="sum" dataDxfId="133" totalsRowDxfId="132" dataCellStyle="Normal 14 2"/>
    <tableColumn id="123" name="Cell 120" totalsRowFunction="sum" dataDxfId="131" totalsRowDxfId="130" dataCellStyle="Normal 14 2"/>
    <tableColumn id="124" name="Cell 121" totalsRowFunction="sum" dataDxfId="129" totalsRowDxfId="128" dataCellStyle="Normal 14 2"/>
    <tableColumn id="125" name="Cell 122" totalsRowFunction="sum" dataDxfId="127" totalsRowDxfId="126" dataCellStyle="Normal 14 2"/>
    <tableColumn id="126" name="Cell 123" totalsRowFunction="sum" dataDxfId="125" totalsRowDxfId="124" dataCellStyle="Normal 14 2"/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CF296 Data: December 2017" altTextSummary="County Not Reporting:  Alameda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G17"/>
  <sheetViews>
    <sheetView showGridLines="0" tabSelected="1" zoomScaleNormal="100" workbookViewId="0"/>
  </sheetViews>
  <sheetFormatPr defaultRowHeight="12.75"/>
  <cols>
    <col min="1" max="1" width="21.140625" style="2" bestFit="1" customWidth="1"/>
    <col min="2" max="2" width="22.5703125" style="2" customWidth="1"/>
    <col min="3" max="3" width="49.28515625" style="14" customWidth="1"/>
    <col min="4" max="254" width="9.140625" style="2"/>
    <col min="255" max="255" width="15.85546875" style="2" bestFit="1" customWidth="1"/>
    <col min="256" max="256" width="14.5703125" style="2" bestFit="1" customWidth="1"/>
    <col min="257" max="257" width="24" style="2" bestFit="1" customWidth="1"/>
    <col min="258" max="258" width="69.7109375" style="2" customWidth="1"/>
    <col min="259" max="259" width="12.140625" style="2" customWidth="1"/>
    <col min="260" max="510" width="9.140625" style="2"/>
    <col min="511" max="511" width="15.85546875" style="2" bestFit="1" customWidth="1"/>
    <col min="512" max="512" width="14.5703125" style="2" bestFit="1" customWidth="1"/>
    <col min="513" max="513" width="24" style="2" bestFit="1" customWidth="1"/>
    <col min="514" max="514" width="69.7109375" style="2" customWidth="1"/>
    <col min="515" max="515" width="12.140625" style="2" customWidth="1"/>
    <col min="516" max="766" width="9.140625" style="2"/>
    <col min="767" max="767" width="15.85546875" style="2" bestFit="1" customWidth="1"/>
    <col min="768" max="768" width="14.5703125" style="2" bestFit="1" customWidth="1"/>
    <col min="769" max="769" width="24" style="2" bestFit="1" customWidth="1"/>
    <col min="770" max="770" width="69.7109375" style="2" customWidth="1"/>
    <col min="771" max="771" width="12.140625" style="2" customWidth="1"/>
    <col min="772" max="1022" width="9.140625" style="2"/>
    <col min="1023" max="1023" width="15.85546875" style="2" bestFit="1" customWidth="1"/>
    <col min="1024" max="1024" width="14.5703125" style="2" bestFit="1" customWidth="1"/>
    <col min="1025" max="1025" width="24" style="2" bestFit="1" customWidth="1"/>
    <col min="1026" max="1026" width="69.7109375" style="2" customWidth="1"/>
    <col min="1027" max="1027" width="12.140625" style="2" customWidth="1"/>
    <col min="1028" max="1278" width="9.140625" style="2"/>
    <col min="1279" max="1279" width="15.85546875" style="2" bestFit="1" customWidth="1"/>
    <col min="1280" max="1280" width="14.5703125" style="2" bestFit="1" customWidth="1"/>
    <col min="1281" max="1281" width="24" style="2" bestFit="1" customWidth="1"/>
    <col min="1282" max="1282" width="69.7109375" style="2" customWidth="1"/>
    <col min="1283" max="1283" width="12.140625" style="2" customWidth="1"/>
    <col min="1284" max="1534" width="9.140625" style="2"/>
    <col min="1535" max="1535" width="15.85546875" style="2" bestFit="1" customWidth="1"/>
    <col min="1536" max="1536" width="14.5703125" style="2" bestFit="1" customWidth="1"/>
    <col min="1537" max="1537" width="24" style="2" bestFit="1" customWidth="1"/>
    <col min="1538" max="1538" width="69.7109375" style="2" customWidth="1"/>
    <col min="1539" max="1539" width="12.140625" style="2" customWidth="1"/>
    <col min="1540" max="1790" width="9.140625" style="2"/>
    <col min="1791" max="1791" width="15.85546875" style="2" bestFit="1" customWidth="1"/>
    <col min="1792" max="1792" width="14.5703125" style="2" bestFit="1" customWidth="1"/>
    <col min="1793" max="1793" width="24" style="2" bestFit="1" customWidth="1"/>
    <col min="1794" max="1794" width="69.7109375" style="2" customWidth="1"/>
    <col min="1795" max="1795" width="12.140625" style="2" customWidth="1"/>
    <col min="1796" max="2046" width="9.140625" style="2"/>
    <col min="2047" max="2047" width="15.85546875" style="2" bestFit="1" customWidth="1"/>
    <col min="2048" max="2048" width="14.5703125" style="2" bestFit="1" customWidth="1"/>
    <col min="2049" max="2049" width="24" style="2" bestFit="1" customWidth="1"/>
    <col min="2050" max="2050" width="69.7109375" style="2" customWidth="1"/>
    <col min="2051" max="2051" width="12.140625" style="2" customWidth="1"/>
    <col min="2052" max="2302" width="9.140625" style="2"/>
    <col min="2303" max="2303" width="15.85546875" style="2" bestFit="1" customWidth="1"/>
    <col min="2304" max="2304" width="14.5703125" style="2" bestFit="1" customWidth="1"/>
    <col min="2305" max="2305" width="24" style="2" bestFit="1" customWidth="1"/>
    <col min="2306" max="2306" width="69.7109375" style="2" customWidth="1"/>
    <col min="2307" max="2307" width="12.140625" style="2" customWidth="1"/>
    <col min="2308" max="2558" width="9.140625" style="2"/>
    <col min="2559" max="2559" width="15.85546875" style="2" bestFit="1" customWidth="1"/>
    <col min="2560" max="2560" width="14.5703125" style="2" bestFit="1" customWidth="1"/>
    <col min="2561" max="2561" width="24" style="2" bestFit="1" customWidth="1"/>
    <col min="2562" max="2562" width="69.7109375" style="2" customWidth="1"/>
    <col min="2563" max="2563" width="12.140625" style="2" customWidth="1"/>
    <col min="2564" max="2814" width="9.140625" style="2"/>
    <col min="2815" max="2815" width="15.85546875" style="2" bestFit="1" customWidth="1"/>
    <col min="2816" max="2816" width="14.5703125" style="2" bestFit="1" customWidth="1"/>
    <col min="2817" max="2817" width="24" style="2" bestFit="1" customWidth="1"/>
    <col min="2818" max="2818" width="69.7109375" style="2" customWidth="1"/>
    <col min="2819" max="2819" width="12.140625" style="2" customWidth="1"/>
    <col min="2820" max="3070" width="9.140625" style="2"/>
    <col min="3071" max="3071" width="15.85546875" style="2" bestFit="1" customWidth="1"/>
    <col min="3072" max="3072" width="14.5703125" style="2" bestFit="1" customWidth="1"/>
    <col min="3073" max="3073" width="24" style="2" bestFit="1" customWidth="1"/>
    <col min="3074" max="3074" width="69.7109375" style="2" customWidth="1"/>
    <col min="3075" max="3075" width="12.140625" style="2" customWidth="1"/>
    <col min="3076" max="3326" width="9.140625" style="2"/>
    <col min="3327" max="3327" width="15.85546875" style="2" bestFit="1" customWidth="1"/>
    <col min="3328" max="3328" width="14.5703125" style="2" bestFit="1" customWidth="1"/>
    <col min="3329" max="3329" width="24" style="2" bestFit="1" customWidth="1"/>
    <col min="3330" max="3330" width="69.7109375" style="2" customWidth="1"/>
    <col min="3331" max="3331" width="12.140625" style="2" customWidth="1"/>
    <col min="3332" max="3582" width="9.140625" style="2"/>
    <col min="3583" max="3583" width="15.85546875" style="2" bestFit="1" customWidth="1"/>
    <col min="3584" max="3584" width="14.5703125" style="2" bestFit="1" customWidth="1"/>
    <col min="3585" max="3585" width="24" style="2" bestFit="1" customWidth="1"/>
    <col min="3586" max="3586" width="69.7109375" style="2" customWidth="1"/>
    <col min="3587" max="3587" width="12.140625" style="2" customWidth="1"/>
    <col min="3588" max="3838" width="9.140625" style="2"/>
    <col min="3839" max="3839" width="15.85546875" style="2" bestFit="1" customWidth="1"/>
    <col min="3840" max="3840" width="14.5703125" style="2" bestFit="1" customWidth="1"/>
    <col min="3841" max="3841" width="24" style="2" bestFit="1" customWidth="1"/>
    <col min="3842" max="3842" width="69.7109375" style="2" customWidth="1"/>
    <col min="3843" max="3843" width="12.140625" style="2" customWidth="1"/>
    <col min="3844" max="4094" width="9.140625" style="2"/>
    <col min="4095" max="4095" width="15.85546875" style="2" bestFit="1" customWidth="1"/>
    <col min="4096" max="4096" width="14.5703125" style="2" bestFit="1" customWidth="1"/>
    <col min="4097" max="4097" width="24" style="2" bestFit="1" customWidth="1"/>
    <col min="4098" max="4098" width="69.7109375" style="2" customWidth="1"/>
    <col min="4099" max="4099" width="12.140625" style="2" customWidth="1"/>
    <col min="4100" max="4350" width="9.140625" style="2"/>
    <col min="4351" max="4351" width="15.85546875" style="2" bestFit="1" customWidth="1"/>
    <col min="4352" max="4352" width="14.5703125" style="2" bestFit="1" customWidth="1"/>
    <col min="4353" max="4353" width="24" style="2" bestFit="1" customWidth="1"/>
    <col min="4354" max="4354" width="69.7109375" style="2" customWidth="1"/>
    <col min="4355" max="4355" width="12.140625" style="2" customWidth="1"/>
    <col min="4356" max="4606" width="9.140625" style="2"/>
    <col min="4607" max="4607" width="15.85546875" style="2" bestFit="1" customWidth="1"/>
    <col min="4608" max="4608" width="14.5703125" style="2" bestFit="1" customWidth="1"/>
    <col min="4609" max="4609" width="24" style="2" bestFit="1" customWidth="1"/>
    <col min="4610" max="4610" width="69.7109375" style="2" customWidth="1"/>
    <col min="4611" max="4611" width="12.140625" style="2" customWidth="1"/>
    <col min="4612" max="4862" width="9.140625" style="2"/>
    <col min="4863" max="4863" width="15.85546875" style="2" bestFit="1" customWidth="1"/>
    <col min="4864" max="4864" width="14.5703125" style="2" bestFit="1" customWidth="1"/>
    <col min="4865" max="4865" width="24" style="2" bestFit="1" customWidth="1"/>
    <col min="4866" max="4866" width="69.7109375" style="2" customWidth="1"/>
    <col min="4867" max="4867" width="12.140625" style="2" customWidth="1"/>
    <col min="4868" max="5118" width="9.140625" style="2"/>
    <col min="5119" max="5119" width="15.85546875" style="2" bestFit="1" customWidth="1"/>
    <col min="5120" max="5120" width="14.5703125" style="2" bestFit="1" customWidth="1"/>
    <col min="5121" max="5121" width="24" style="2" bestFit="1" customWidth="1"/>
    <col min="5122" max="5122" width="69.7109375" style="2" customWidth="1"/>
    <col min="5123" max="5123" width="12.140625" style="2" customWidth="1"/>
    <col min="5124" max="5374" width="9.140625" style="2"/>
    <col min="5375" max="5375" width="15.85546875" style="2" bestFit="1" customWidth="1"/>
    <col min="5376" max="5376" width="14.5703125" style="2" bestFit="1" customWidth="1"/>
    <col min="5377" max="5377" width="24" style="2" bestFit="1" customWidth="1"/>
    <col min="5378" max="5378" width="69.7109375" style="2" customWidth="1"/>
    <col min="5379" max="5379" width="12.140625" style="2" customWidth="1"/>
    <col min="5380" max="5630" width="9.140625" style="2"/>
    <col min="5631" max="5631" width="15.85546875" style="2" bestFit="1" customWidth="1"/>
    <col min="5632" max="5632" width="14.5703125" style="2" bestFit="1" customWidth="1"/>
    <col min="5633" max="5633" width="24" style="2" bestFit="1" customWidth="1"/>
    <col min="5634" max="5634" width="69.7109375" style="2" customWidth="1"/>
    <col min="5635" max="5635" width="12.140625" style="2" customWidth="1"/>
    <col min="5636" max="5886" width="9.140625" style="2"/>
    <col min="5887" max="5887" width="15.85546875" style="2" bestFit="1" customWidth="1"/>
    <col min="5888" max="5888" width="14.5703125" style="2" bestFit="1" customWidth="1"/>
    <col min="5889" max="5889" width="24" style="2" bestFit="1" customWidth="1"/>
    <col min="5890" max="5890" width="69.7109375" style="2" customWidth="1"/>
    <col min="5891" max="5891" width="12.140625" style="2" customWidth="1"/>
    <col min="5892" max="6142" width="9.140625" style="2"/>
    <col min="6143" max="6143" width="15.85546875" style="2" bestFit="1" customWidth="1"/>
    <col min="6144" max="6144" width="14.5703125" style="2" bestFit="1" customWidth="1"/>
    <col min="6145" max="6145" width="24" style="2" bestFit="1" customWidth="1"/>
    <col min="6146" max="6146" width="69.7109375" style="2" customWidth="1"/>
    <col min="6147" max="6147" width="12.140625" style="2" customWidth="1"/>
    <col min="6148" max="6398" width="9.140625" style="2"/>
    <col min="6399" max="6399" width="15.85546875" style="2" bestFit="1" customWidth="1"/>
    <col min="6400" max="6400" width="14.5703125" style="2" bestFit="1" customWidth="1"/>
    <col min="6401" max="6401" width="24" style="2" bestFit="1" customWidth="1"/>
    <col min="6402" max="6402" width="69.7109375" style="2" customWidth="1"/>
    <col min="6403" max="6403" width="12.140625" style="2" customWidth="1"/>
    <col min="6404" max="6654" width="9.140625" style="2"/>
    <col min="6655" max="6655" width="15.85546875" style="2" bestFit="1" customWidth="1"/>
    <col min="6656" max="6656" width="14.5703125" style="2" bestFit="1" customWidth="1"/>
    <col min="6657" max="6657" width="24" style="2" bestFit="1" customWidth="1"/>
    <col min="6658" max="6658" width="69.7109375" style="2" customWidth="1"/>
    <col min="6659" max="6659" width="12.140625" style="2" customWidth="1"/>
    <col min="6660" max="6910" width="9.140625" style="2"/>
    <col min="6911" max="6911" width="15.85546875" style="2" bestFit="1" customWidth="1"/>
    <col min="6912" max="6912" width="14.5703125" style="2" bestFit="1" customWidth="1"/>
    <col min="6913" max="6913" width="24" style="2" bestFit="1" customWidth="1"/>
    <col min="6914" max="6914" width="69.7109375" style="2" customWidth="1"/>
    <col min="6915" max="6915" width="12.140625" style="2" customWidth="1"/>
    <col min="6916" max="7166" width="9.140625" style="2"/>
    <col min="7167" max="7167" width="15.85546875" style="2" bestFit="1" customWidth="1"/>
    <col min="7168" max="7168" width="14.5703125" style="2" bestFit="1" customWidth="1"/>
    <col min="7169" max="7169" width="24" style="2" bestFit="1" customWidth="1"/>
    <col min="7170" max="7170" width="69.7109375" style="2" customWidth="1"/>
    <col min="7171" max="7171" width="12.140625" style="2" customWidth="1"/>
    <col min="7172" max="7422" width="9.140625" style="2"/>
    <col min="7423" max="7423" width="15.85546875" style="2" bestFit="1" customWidth="1"/>
    <col min="7424" max="7424" width="14.5703125" style="2" bestFit="1" customWidth="1"/>
    <col min="7425" max="7425" width="24" style="2" bestFit="1" customWidth="1"/>
    <col min="7426" max="7426" width="69.7109375" style="2" customWidth="1"/>
    <col min="7427" max="7427" width="12.140625" style="2" customWidth="1"/>
    <col min="7428" max="7678" width="9.140625" style="2"/>
    <col min="7679" max="7679" width="15.85546875" style="2" bestFit="1" customWidth="1"/>
    <col min="7680" max="7680" width="14.5703125" style="2" bestFit="1" customWidth="1"/>
    <col min="7681" max="7681" width="24" style="2" bestFit="1" customWidth="1"/>
    <col min="7682" max="7682" width="69.7109375" style="2" customWidth="1"/>
    <col min="7683" max="7683" width="12.140625" style="2" customWidth="1"/>
    <col min="7684" max="7934" width="9.140625" style="2"/>
    <col min="7935" max="7935" width="15.85546875" style="2" bestFit="1" customWidth="1"/>
    <col min="7936" max="7936" width="14.5703125" style="2" bestFit="1" customWidth="1"/>
    <col min="7937" max="7937" width="24" style="2" bestFit="1" customWidth="1"/>
    <col min="7938" max="7938" width="69.7109375" style="2" customWidth="1"/>
    <col min="7939" max="7939" width="12.140625" style="2" customWidth="1"/>
    <col min="7940" max="8190" width="9.140625" style="2"/>
    <col min="8191" max="8191" width="15.85546875" style="2" bestFit="1" customWidth="1"/>
    <col min="8192" max="8192" width="14.5703125" style="2" bestFit="1" customWidth="1"/>
    <col min="8193" max="8193" width="24" style="2" bestFit="1" customWidth="1"/>
    <col min="8194" max="8194" width="69.7109375" style="2" customWidth="1"/>
    <col min="8195" max="8195" width="12.140625" style="2" customWidth="1"/>
    <col min="8196" max="8446" width="9.140625" style="2"/>
    <col min="8447" max="8447" width="15.85546875" style="2" bestFit="1" customWidth="1"/>
    <col min="8448" max="8448" width="14.5703125" style="2" bestFit="1" customWidth="1"/>
    <col min="8449" max="8449" width="24" style="2" bestFit="1" customWidth="1"/>
    <col min="8450" max="8450" width="69.7109375" style="2" customWidth="1"/>
    <col min="8451" max="8451" width="12.140625" style="2" customWidth="1"/>
    <col min="8452" max="8702" width="9.140625" style="2"/>
    <col min="8703" max="8703" width="15.85546875" style="2" bestFit="1" customWidth="1"/>
    <col min="8704" max="8704" width="14.5703125" style="2" bestFit="1" customWidth="1"/>
    <col min="8705" max="8705" width="24" style="2" bestFit="1" customWidth="1"/>
    <col min="8706" max="8706" width="69.7109375" style="2" customWidth="1"/>
    <col min="8707" max="8707" width="12.140625" style="2" customWidth="1"/>
    <col min="8708" max="8958" width="9.140625" style="2"/>
    <col min="8959" max="8959" width="15.85546875" style="2" bestFit="1" customWidth="1"/>
    <col min="8960" max="8960" width="14.5703125" style="2" bestFit="1" customWidth="1"/>
    <col min="8961" max="8961" width="24" style="2" bestFit="1" customWidth="1"/>
    <col min="8962" max="8962" width="69.7109375" style="2" customWidth="1"/>
    <col min="8963" max="8963" width="12.140625" style="2" customWidth="1"/>
    <col min="8964" max="9214" width="9.140625" style="2"/>
    <col min="9215" max="9215" width="15.85546875" style="2" bestFit="1" customWidth="1"/>
    <col min="9216" max="9216" width="14.5703125" style="2" bestFit="1" customWidth="1"/>
    <col min="9217" max="9217" width="24" style="2" bestFit="1" customWidth="1"/>
    <col min="9218" max="9218" width="69.7109375" style="2" customWidth="1"/>
    <col min="9219" max="9219" width="12.140625" style="2" customWidth="1"/>
    <col min="9220" max="9470" width="9.140625" style="2"/>
    <col min="9471" max="9471" width="15.85546875" style="2" bestFit="1" customWidth="1"/>
    <col min="9472" max="9472" width="14.5703125" style="2" bestFit="1" customWidth="1"/>
    <col min="9473" max="9473" width="24" style="2" bestFit="1" customWidth="1"/>
    <col min="9474" max="9474" width="69.7109375" style="2" customWidth="1"/>
    <col min="9475" max="9475" width="12.140625" style="2" customWidth="1"/>
    <col min="9476" max="9726" width="9.140625" style="2"/>
    <col min="9727" max="9727" width="15.85546875" style="2" bestFit="1" customWidth="1"/>
    <col min="9728" max="9728" width="14.5703125" style="2" bestFit="1" customWidth="1"/>
    <col min="9729" max="9729" width="24" style="2" bestFit="1" customWidth="1"/>
    <col min="9730" max="9730" width="69.7109375" style="2" customWidth="1"/>
    <col min="9731" max="9731" width="12.140625" style="2" customWidth="1"/>
    <col min="9732" max="9982" width="9.140625" style="2"/>
    <col min="9983" max="9983" width="15.85546875" style="2" bestFit="1" customWidth="1"/>
    <col min="9984" max="9984" width="14.5703125" style="2" bestFit="1" customWidth="1"/>
    <col min="9985" max="9985" width="24" style="2" bestFit="1" customWidth="1"/>
    <col min="9986" max="9986" width="69.7109375" style="2" customWidth="1"/>
    <col min="9987" max="9987" width="12.140625" style="2" customWidth="1"/>
    <col min="9988" max="10238" width="9.140625" style="2"/>
    <col min="10239" max="10239" width="15.85546875" style="2" bestFit="1" customWidth="1"/>
    <col min="10240" max="10240" width="14.5703125" style="2" bestFit="1" customWidth="1"/>
    <col min="10241" max="10241" width="24" style="2" bestFit="1" customWidth="1"/>
    <col min="10242" max="10242" width="69.7109375" style="2" customWidth="1"/>
    <col min="10243" max="10243" width="12.140625" style="2" customWidth="1"/>
    <col min="10244" max="10494" width="9.140625" style="2"/>
    <col min="10495" max="10495" width="15.85546875" style="2" bestFit="1" customWidth="1"/>
    <col min="10496" max="10496" width="14.5703125" style="2" bestFit="1" customWidth="1"/>
    <col min="10497" max="10497" width="24" style="2" bestFit="1" customWidth="1"/>
    <col min="10498" max="10498" width="69.7109375" style="2" customWidth="1"/>
    <col min="10499" max="10499" width="12.140625" style="2" customWidth="1"/>
    <col min="10500" max="10750" width="9.140625" style="2"/>
    <col min="10751" max="10751" width="15.85546875" style="2" bestFit="1" customWidth="1"/>
    <col min="10752" max="10752" width="14.5703125" style="2" bestFit="1" customWidth="1"/>
    <col min="10753" max="10753" width="24" style="2" bestFit="1" customWidth="1"/>
    <col min="10754" max="10754" width="69.7109375" style="2" customWidth="1"/>
    <col min="10755" max="10755" width="12.140625" style="2" customWidth="1"/>
    <col min="10756" max="11006" width="9.140625" style="2"/>
    <col min="11007" max="11007" width="15.85546875" style="2" bestFit="1" customWidth="1"/>
    <col min="11008" max="11008" width="14.5703125" style="2" bestFit="1" customWidth="1"/>
    <col min="11009" max="11009" width="24" style="2" bestFit="1" customWidth="1"/>
    <col min="11010" max="11010" width="69.7109375" style="2" customWidth="1"/>
    <col min="11011" max="11011" width="12.140625" style="2" customWidth="1"/>
    <col min="11012" max="11262" width="9.140625" style="2"/>
    <col min="11263" max="11263" width="15.85546875" style="2" bestFit="1" customWidth="1"/>
    <col min="11264" max="11264" width="14.5703125" style="2" bestFit="1" customWidth="1"/>
    <col min="11265" max="11265" width="24" style="2" bestFit="1" customWidth="1"/>
    <col min="11266" max="11266" width="69.7109375" style="2" customWidth="1"/>
    <col min="11267" max="11267" width="12.140625" style="2" customWidth="1"/>
    <col min="11268" max="11518" width="9.140625" style="2"/>
    <col min="11519" max="11519" width="15.85546875" style="2" bestFit="1" customWidth="1"/>
    <col min="11520" max="11520" width="14.5703125" style="2" bestFit="1" customWidth="1"/>
    <col min="11521" max="11521" width="24" style="2" bestFit="1" customWidth="1"/>
    <col min="11522" max="11522" width="69.7109375" style="2" customWidth="1"/>
    <col min="11523" max="11523" width="12.140625" style="2" customWidth="1"/>
    <col min="11524" max="11774" width="9.140625" style="2"/>
    <col min="11775" max="11775" width="15.85546875" style="2" bestFit="1" customWidth="1"/>
    <col min="11776" max="11776" width="14.5703125" style="2" bestFit="1" customWidth="1"/>
    <col min="11777" max="11777" width="24" style="2" bestFit="1" customWidth="1"/>
    <col min="11778" max="11778" width="69.7109375" style="2" customWidth="1"/>
    <col min="11779" max="11779" width="12.140625" style="2" customWidth="1"/>
    <col min="11780" max="12030" width="9.140625" style="2"/>
    <col min="12031" max="12031" width="15.85546875" style="2" bestFit="1" customWidth="1"/>
    <col min="12032" max="12032" width="14.5703125" style="2" bestFit="1" customWidth="1"/>
    <col min="12033" max="12033" width="24" style="2" bestFit="1" customWidth="1"/>
    <col min="12034" max="12034" width="69.7109375" style="2" customWidth="1"/>
    <col min="12035" max="12035" width="12.140625" style="2" customWidth="1"/>
    <col min="12036" max="12286" width="9.140625" style="2"/>
    <col min="12287" max="12287" width="15.85546875" style="2" bestFit="1" customWidth="1"/>
    <col min="12288" max="12288" width="14.5703125" style="2" bestFit="1" customWidth="1"/>
    <col min="12289" max="12289" width="24" style="2" bestFit="1" customWidth="1"/>
    <col min="12290" max="12290" width="69.7109375" style="2" customWidth="1"/>
    <col min="12291" max="12291" width="12.140625" style="2" customWidth="1"/>
    <col min="12292" max="12542" width="9.140625" style="2"/>
    <col min="12543" max="12543" width="15.85546875" style="2" bestFit="1" customWidth="1"/>
    <col min="12544" max="12544" width="14.5703125" style="2" bestFit="1" customWidth="1"/>
    <col min="12545" max="12545" width="24" style="2" bestFit="1" customWidth="1"/>
    <col min="12546" max="12546" width="69.7109375" style="2" customWidth="1"/>
    <col min="12547" max="12547" width="12.140625" style="2" customWidth="1"/>
    <col min="12548" max="12798" width="9.140625" style="2"/>
    <col min="12799" max="12799" width="15.85546875" style="2" bestFit="1" customWidth="1"/>
    <col min="12800" max="12800" width="14.5703125" style="2" bestFit="1" customWidth="1"/>
    <col min="12801" max="12801" width="24" style="2" bestFit="1" customWidth="1"/>
    <col min="12802" max="12802" width="69.7109375" style="2" customWidth="1"/>
    <col min="12803" max="12803" width="12.140625" style="2" customWidth="1"/>
    <col min="12804" max="13054" width="9.140625" style="2"/>
    <col min="13055" max="13055" width="15.85546875" style="2" bestFit="1" customWidth="1"/>
    <col min="13056" max="13056" width="14.5703125" style="2" bestFit="1" customWidth="1"/>
    <col min="13057" max="13057" width="24" style="2" bestFit="1" customWidth="1"/>
    <col min="13058" max="13058" width="69.7109375" style="2" customWidth="1"/>
    <col min="13059" max="13059" width="12.140625" style="2" customWidth="1"/>
    <col min="13060" max="13310" width="9.140625" style="2"/>
    <col min="13311" max="13311" width="15.85546875" style="2" bestFit="1" customWidth="1"/>
    <col min="13312" max="13312" width="14.5703125" style="2" bestFit="1" customWidth="1"/>
    <col min="13313" max="13313" width="24" style="2" bestFit="1" customWidth="1"/>
    <col min="13314" max="13314" width="69.7109375" style="2" customWidth="1"/>
    <col min="13315" max="13315" width="12.140625" style="2" customWidth="1"/>
    <col min="13316" max="13566" width="9.140625" style="2"/>
    <col min="13567" max="13567" width="15.85546875" style="2" bestFit="1" customWidth="1"/>
    <col min="13568" max="13568" width="14.5703125" style="2" bestFit="1" customWidth="1"/>
    <col min="13569" max="13569" width="24" style="2" bestFit="1" customWidth="1"/>
    <col min="13570" max="13570" width="69.7109375" style="2" customWidth="1"/>
    <col min="13571" max="13571" width="12.140625" style="2" customWidth="1"/>
    <col min="13572" max="13822" width="9.140625" style="2"/>
    <col min="13823" max="13823" width="15.85546875" style="2" bestFit="1" customWidth="1"/>
    <col min="13824" max="13824" width="14.5703125" style="2" bestFit="1" customWidth="1"/>
    <col min="13825" max="13825" width="24" style="2" bestFit="1" customWidth="1"/>
    <col min="13826" max="13826" width="69.7109375" style="2" customWidth="1"/>
    <col min="13827" max="13827" width="12.140625" style="2" customWidth="1"/>
    <col min="13828" max="14078" width="9.140625" style="2"/>
    <col min="14079" max="14079" width="15.85546875" style="2" bestFit="1" customWidth="1"/>
    <col min="14080" max="14080" width="14.5703125" style="2" bestFit="1" customWidth="1"/>
    <col min="14081" max="14081" width="24" style="2" bestFit="1" customWidth="1"/>
    <col min="14082" max="14082" width="69.7109375" style="2" customWidth="1"/>
    <col min="14083" max="14083" width="12.140625" style="2" customWidth="1"/>
    <col min="14084" max="14334" width="9.140625" style="2"/>
    <col min="14335" max="14335" width="15.85546875" style="2" bestFit="1" customWidth="1"/>
    <col min="14336" max="14336" width="14.5703125" style="2" bestFit="1" customWidth="1"/>
    <col min="14337" max="14337" width="24" style="2" bestFit="1" customWidth="1"/>
    <col min="14338" max="14338" width="69.7109375" style="2" customWidth="1"/>
    <col min="14339" max="14339" width="12.140625" style="2" customWidth="1"/>
    <col min="14340" max="14590" width="9.140625" style="2"/>
    <col min="14591" max="14591" width="15.85546875" style="2" bestFit="1" customWidth="1"/>
    <col min="14592" max="14592" width="14.5703125" style="2" bestFit="1" customWidth="1"/>
    <col min="14593" max="14593" width="24" style="2" bestFit="1" customWidth="1"/>
    <col min="14594" max="14594" width="69.7109375" style="2" customWidth="1"/>
    <col min="14595" max="14595" width="12.140625" style="2" customWidth="1"/>
    <col min="14596" max="14846" width="9.140625" style="2"/>
    <col min="14847" max="14847" width="15.85546875" style="2" bestFit="1" customWidth="1"/>
    <col min="14848" max="14848" width="14.5703125" style="2" bestFit="1" customWidth="1"/>
    <col min="14849" max="14849" width="24" style="2" bestFit="1" customWidth="1"/>
    <col min="14850" max="14850" width="69.7109375" style="2" customWidth="1"/>
    <col min="14851" max="14851" width="12.140625" style="2" customWidth="1"/>
    <col min="14852" max="15102" width="9.140625" style="2"/>
    <col min="15103" max="15103" width="15.85546875" style="2" bestFit="1" customWidth="1"/>
    <col min="15104" max="15104" width="14.5703125" style="2" bestFit="1" customWidth="1"/>
    <col min="15105" max="15105" width="24" style="2" bestFit="1" customWidth="1"/>
    <col min="15106" max="15106" width="69.7109375" style="2" customWidth="1"/>
    <col min="15107" max="15107" width="12.140625" style="2" customWidth="1"/>
    <col min="15108" max="15358" width="9.140625" style="2"/>
    <col min="15359" max="15359" width="15.85546875" style="2" bestFit="1" customWidth="1"/>
    <col min="15360" max="15360" width="14.5703125" style="2" bestFit="1" customWidth="1"/>
    <col min="15361" max="15361" width="24" style="2" bestFit="1" customWidth="1"/>
    <col min="15362" max="15362" width="69.7109375" style="2" customWidth="1"/>
    <col min="15363" max="15363" width="12.140625" style="2" customWidth="1"/>
    <col min="15364" max="15614" width="9.140625" style="2"/>
    <col min="15615" max="15615" width="15.85546875" style="2" bestFit="1" customWidth="1"/>
    <col min="15616" max="15616" width="14.5703125" style="2" bestFit="1" customWidth="1"/>
    <col min="15617" max="15617" width="24" style="2" bestFit="1" customWidth="1"/>
    <col min="15618" max="15618" width="69.7109375" style="2" customWidth="1"/>
    <col min="15619" max="15619" width="12.140625" style="2" customWidth="1"/>
    <col min="15620" max="15870" width="9.140625" style="2"/>
    <col min="15871" max="15871" width="15.85546875" style="2" bestFit="1" customWidth="1"/>
    <col min="15872" max="15872" width="14.5703125" style="2" bestFit="1" customWidth="1"/>
    <col min="15873" max="15873" width="24" style="2" bestFit="1" customWidth="1"/>
    <col min="15874" max="15874" width="69.7109375" style="2" customWidth="1"/>
    <col min="15875" max="15875" width="12.140625" style="2" customWidth="1"/>
    <col min="15876" max="16126" width="9.140625" style="2"/>
    <col min="16127" max="16127" width="15.85546875" style="2" bestFit="1" customWidth="1"/>
    <col min="16128" max="16128" width="14.5703125" style="2" bestFit="1" customWidth="1"/>
    <col min="16129" max="16129" width="24" style="2" bestFit="1" customWidth="1"/>
    <col min="16130" max="16130" width="69.7109375" style="2" customWidth="1"/>
    <col min="16131" max="16131" width="12.140625" style="2" customWidth="1"/>
    <col min="16132" max="16384" width="9.140625" style="2"/>
  </cols>
  <sheetData>
    <row r="1" spans="1:7" ht="12.75" customHeight="1">
      <c r="A1" s="146" t="s">
        <v>353</v>
      </c>
      <c r="B1" s="146"/>
      <c r="C1" s="146"/>
      <c r="D1" s="1"/>
      <c r="F1" s="3"/>
      <c r="G1" s="3"/>
    </row>
    <row r="2" spans="1:7" ht="33.75" customHeight="1">
      <c r="A2" s="166" t="s">
        <v>345</v>
      </c>
      <c r="B2" s="167"/>
      <c r="C2" s="168"/>
    </row>
    <row r="3" spans="1:7" ht="16.5">
      <c r="A3" s="169" t="s">
        <v>346</v>
      </c>
      <c r="B3" s="170"/>
      <c r="C3" s="171"/>
    </row>
    <row r="4" spans="1:7" ht="27" customHeight="1" thickBot="1">
      <c r="A4" s="4" t="s">
        <v>2</v>
      </c>
      <c r="B4" s="5" t="s">
        <v>3</v>
      </c>
      <c r="C4" s="6" t="s">
        <v>4</v>
      </c>
    </row>
    <row r="5" spans="1:7" ht="33" customHeight="1" thickTop="1">
      <c r="A5" s="147" t="s">
        <v>11</v>
      </c>
      <c r="B5" s="148">
        <v>43045</v>
      </c>
      <c r="C5" s="8" t="s">
        <v>5</v>
      </c>
      <c r="E5" s="9"/>
      <c r="F5" s="10"/>
      <c r="G5" s="3"/>
    </row>
    <row r="6" spans="1:7" ht="33" customHeight="1">
      <c r="A6" s="147" t="s">
        <v>337</v>
      </c>
      <c r="B6" s="148">
        <v>43045</v>
      </c>
      <c r="C6" s="8" t="s">
        <v>6</v>
      </c>
      <c r="E6" s="9"/>
      <c r="G6" s="3"/>
    </row>
    <row r="7" spans="1:7" ht="33" customHeight="1">
      <c r="A7" s="147" t="s">
        <v>339</v>
      </c>
      <c r="B7" s="148">
        <v>43045</v>
      </c>
      <c r="C7" s="8" t="s">
        <v>6</v>
      </c>
      <c r="E7" s="9"/>
      <c r="G7" s="3"/>
    </row>
    <row r="8" spans="1:7" ht="33" customHeight="1">
      <c r="A8" s="147" t="s">
        <v>341</v>
      </c>
      <c r="B8" s="148">
        <v>43116</v>
      </c>
      <c r="C8" s="8" t="s">
        <v>6</v>
      </c>
      <c r="E8" s="9"/>
      <c r="G8" s="3"/>
    </row>
    <row r="9" spans="1:7" ht="33" customHeight="1">
      <c r="A9" s="147" t="s">
        <v>1</v>
      </c>
      <c r="B9" s="148">
        <v>43145</v>
      </c>
      <c r="C9" s="8" t="s">
        <v>354</v>
      </c>
      <c r="E9" s="9"/>
      <c r="F9" s="10"/>
      <c r="G9" s="3"/>
    </row>
    <row r="10" spans="1:7" ht="33" customHeight="1">
      <c r="A10" s="147" t="s">
        <v>0</v>
      </c>
      <c r="B10" s="148">
        <v>43145</v>
      </c>
      <c r="C10" s="8" t="s">
        <v>6</v>
      </c>
      <c r="E10" s="9"/>
      <c r="G10" s="3"/>
    </row>
    <row r="11" spans="1:7" ht="33" customHeight="1">
      <c r="A11" s="7" t="s">
        <v>347</v>
      </c>
      <c r="B11" s="148"/>
      <c r="C11" s="8"/>
      <c r="G11" s="3"/>
    </row>
    <row r="12" spans="1:7" ht="33" customHeight="1">
      <c r="A12" s="7" t="s">
        <v>348</v>
      </c>
      <c r="B12" s="148"/>
      <c r="C12" s="8"/>
      <c r="G12" s="3"/>
    </row>
    <row r="13" spans="1:7" ht="33" customHeight="1">
      <c r="A13" s="7" t="s">
        <v>349</v>
      </c>
      <c r="B13" s="148"/>
      <c r="C13" s="8"/>
      <c r="G13" s="3"/>
    </row>
    <row r="14" spans="1:7" ht="33" customHeight="1">
      <c r="A14" s="7" t="s">
        <v>350</v>
      </c>
      <c r="B14" s="148"/>
      <c r="C14" s="8"/>
      <c r="G14" s="3"/>
    </row>
    <row r="15" spans="1:7" ht="33" customHeight="1">
      <c r="A15" s="7" t="s">
        <v>351</v>
      </c>
      <c r="B15" s="148"/>
      <c r="C15" s="8"/>
      <c r="G15" s="3"/>
    </row>
    <row r="16" spans="1:7" ht="33" customHeight="1">
      <c r="A16" s="11" t="s">
        <v>352</v>
      </c>
      <c r="B16" s="149"/>
      <c r="C16" s="12"/>
      <c r="G16" s="3"/>
    </row>
    <row r="17" spans="1:3" ht="30" customHeight="1">
      <c r="A17" s="13"/>
      <c r="B17" s="13"/>
      <c r="C17" s="13"/>
    </row>
  </sheetData>
  <mergeCells count="2">
    <mergeCell ref="A2:C2"/>
    <mergeCell ref="A3:C3"/>
  </mergeCells>
  <conditionalFormatting sqref="B10:C16">
    <cfRule type="expression" dxfId="1532" priority="2">
      <formula>$B10=""</formula>
    </cfRule>
  </conditionalFormatting>
  <conditionalFormatting sqref="B5:C9">
    <cfRule type="expression" dxfId="1531" priority="1">
      <formula>$B5=""</formula>
    </cfRule>
  </conditionalFormatting>
  <hyperlinks>
    <hyperlink ref="A5" location="'Jul17'!A1" display="July 2017"/>
    <hyperlink ref="A6" location="'Aug17'!A1" display="August 2017"/>
    <hyperlink ref="A7" location="'Sep17'!A1" display="September 2017"/>
    <hyperlink ref="A8" location="'Oct17'!A1" display="October 2017"/>
    <hyperlink ref="A9" location="'Nov17'!A1" display="November 2017"/>
    <hyperlink ref="A10" location="'Dec17'!A1" display="December 2017"/>
  </hyperlinks>
  <printOptions horizontalCentered="1" verticalCentered="1"/>
  <pageMargins left="0.25" right="0.25" top="0.5" bottom="0.5" header="0.25" footer="0.25"/>
  <pageSetup orientation="landscape" r:id="rId1"/>
  <headerFooter alignWithMargins="0">
    <oddHeader>&amp;L&amp;"Arial"&amp;11STATE OF CALIFORNIA
HEALTH AND HUMAN SERVICES AGENCY&amp;R&amp;"Arial"&amp;11CALIFORNIA DEPARTMENT OF SOCIAL SERVICES
DATA SYSTEMS AND SURVEY DESIGN BUREAU&amp;C&amp;"Arial"&amp;11</oddHeader>
    <oddFooter>&amp;L&amp;"Arial"&amp;11&amp;R&amp;"Arial"&amp;11&amp;C&amp;"Arial"&amp;11&amp;P of &amp;N</oddFooter>
  </headerFooter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6">
    <pageSetUpPr fitToPage="1"/>
  </sheetPr>
  <dimension ref="A1:AO57"/>
  <sheetViews>
    <sheetView showGridLines="0" zoomScaleNormal="100" workbookViewId="0"/>
  </sheetViews>
  <sheetFormatPr defaultColWidth="9" defaultRowHeight="12.75"/>
  <cols>
    <col min="1" max="1" width="2.7109375" style="111" customWidth="1"/>
    <col min="2" max="2" width="2.7109375" style="31" customWidth="1"/>
    <col min="3" max="3" width="2.7109375" style="22" customWidth="1"/>
    <col min="4" max="4" width="17.140625" style="22" customWidth="1"/>
    <col min="5" max="5" width="8.5703125" style="21" customWidth="1"/>
    <col min="6" max="6" width="3" style="22" customWidth="1"/>
    <col min="7" max="7" width="8.5703125" style="22" customWidth="1"/>
    <col min="8" max="8" width="3" style="22" customWidth="1"/>
    <col min="9" max="9" width="8.5703125" style="23" customWidth="1"/>
    <col min="10" max="10" width="3" style="21" customWidth="1"/>
    <col min="11" max="11" width="8.5703125" style="22" customWidth="1"/>
    <col min="12" max="12" width="3" style="22" customWidth="1"/>
    <col min="13" max="13" width="12.85546875" style="21" customWidth="1"/>
    <col min="14" max="14" width="3" style="23" customWidth="1"/>
    <col min="15" max="15" width="8.5703125" style="22" customWidth="1"/>
    <col min="16" max="16" width="3" style="21" customWidth="1"/>
    <col min="17" max="17" width="8.42578125" style="21" customWidth="1"/>
    <col min="18" max="18" width="3" style="22" customWidth="1"/>
    <col min="19" max="19" width="8.5703125" style="23" customWidth="1"/>
    <col min="20" max="20" width="3" style="22" customWidth="1"/>
    <col min="21" max="21" width="8.5703125" style="21" customWidth="1"/>
    <col min="22" max="22" width="3" style="21" customWidth="1"/>
    <col min="23" max="23" width="11.140625" style="22" customWidth="1"/>
    <col min="24" max="24" width="2.7109375" style="21" customWidth="1"/>
    <col min="25" max="25" width="2.42578125" style="22" customWidth="1"/>
    <col min="26" max="26" width="2.140625" style="22" customWidth="1"/>
    <col min="27" max="27" width="2.7109375" style="22" customWidth="1"/>
    <col min="28" max="28" width="3" style="23" customWidth="1"/>
    <col min="29" max="29" width="10.85546875" style="24" customWidth="1"/>
    <col min="30" max="30" width="3" style="23" customWidth="1"/>
    <col min="31" max="31" width="10.85546875" style="25" customWidth="1"/>
    <col min="32" max="32" width="9" style="26" customWidth="1"/>
    <col min="33" max="33" width="3.7109375" style="26" customWidth="1"/>
    <col min="34" max="41" width="9" style="26"/>
    <col min="42" max="16384" width="9" style="22"/>
  </cols>
  <sheetData>
    <row r="1" spans="1:41">
      <c r="A1" s="15" t="s">
        <v>94</v>
      </c>
      <c r="B1" s="16"/>
      <c r="C1" s="17"/>
      <c r="D1" s="17"/>
      <c r="E1" s="18"/>
      <c r="F1" s="17"/>
      <c r="G1" s="17"/>
      <c r="H1" s="17"/>
      <c r="I1" s="19"/>
      <c r="J1" s="18"/>
      <c r="K1" s="17"/>
      <c r="L1" s="17"/>
      <c r="M1" s="18"/>
      <c r="N1" s="19"/>
      <c r="O1" s="17"/>
      <c r="P1" s="18"/>
      <c r="Q1" s="18"/>
      <c r="R1" s="17"/>
      <c r="S1" s="19"/>
      <c r="T1" s="17"/>
      <c r="U1" s="18"/>
      <c r="V1" s="18"/>
      <c r="W1" s="20"/>
    </row>
    <row r="2" spans="1:41" s="31" customFormat="1" ht="21" customHeight="1">
      <c r="A2" s="203" t="s">
        <v>7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7"/>
      <c r="Q2" s="27"/>
      <c r="R2" s="27"/>
      <c r="S2" s="27"/>
      <c r="T2" s="27"/>
      <c r="U2" s="27"/>
      <c r="V2" s="28"/>
      <c r="W2" s="29"/>
      <c r="X2" s="30"/>
      <c r="Y2" s="30"/>
      <c r="Z2" s="30"/>
      <c r="AA2" s="30"/>
      <c r="AB2" s="30"/>
      <c r="AC2" s="30"/>
      <c r="AD2" s="30"/>
      <c r="AE2" s="30"/>
    </row>
    <row r="3" spans="1:41" s="35" customFormat="1" ht="16.149999999999999" customHeight="1">
      <c r="A3" s="32" t="s">
        <v>8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4"/>
    </row>
    <row r="4" spans="1:41" s="31" customFormat="1" ht="15.6" customHeight="1">
      <c r="A4" s="32" t="s">
        <v>9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28"/>
      <c r="W4" s="29"/>
      <c r="X4" s="30"/>
      <c r="Y4" s="30"/>
      <c r="Z4" s="30"/>
      <c r="AA4" s="30"/>
      <c r="AB4" s="30"/>
      <c r="AC4" s="30"/>
      <c r="AD4" s="30"/>
      <c r="AE4" s="30"/>
    </row>
    <row r="5" spans="1:41" ht="6" customHeight="1">
      <c r="A5" s="36"/>
      <c r="B5" s="37"/>
      <c r="C5" s="37"/>
      <c r="D5" s="37"/>
      <c r="E5" s="38"/>
      <c r="F5" s="37"/>
      <c r="G5" s="37"/>
      <c r="H5" s="37"/>
      <c r="I5" s="39"/>
      <c r="J5" s="38"/>
      <c r="K5" s="37"/>
      <c r="L5" s="37"/>
      <c r="M5" s="38"/>
      <c r="N5" s="39"/>
      <c r="O5" s="37"/>
      <c r="P5" s="38"/>
      <c r="Q5" s="38"/>
      <c r="R5" s="37"/>
      <c r="S5" s="39"/>
      <c r="T5" s="37"/>
      <c r="U5" s="38"/>
      <c r="V5" s="38"/>
      <c r="W5" s="40"/>
      <c r="X5" s="26"/>
      <c r="Y5" s="26"/>
      <c r="Z5" s="26"/>
      <c r="AA5" s="26"/>
      <c r="AB5" s="26"/>
      <c r="AC5" s="26"/>
      <c r="AD5" s="26"/>
      <c r="AE5" s="26"/>
      <c r="AF5" s="22"/>
      <c r="AG5" s="22"/>
      <c r="AH5" s="22"/>
      <c r="AI5" s="22"/>
      <c r="AJ5" s="22"/>
      <c r="AK5" s="22"/>
      <c r="AL5" s="22"/>
      <c r="AM5" s="22"/>
      <c r="AN5" s="22"/>
      <c r="AO5" s="22"/>
    </row>
    <row r="6" spans="1:41" s="42" customFormat="1" ht="23.25">
      <c r="A6" s="205" t="s">
        <v>10</v>
      </c>
      <c r="B6" s="206"/>
      <c r="C6" s="206"/>
      <c r="D6" s="206"/>
      <c r="E6" s="206"/>
      <c r="F6" s="206"/>
      <c r="G6" s="206"/>
      <c r="H6" s="206"/>
      <c r="I6" s="206"/>
      <c r="J6" s="206"/>
      <c r="K6" s="206"/>
      <c r="L6" s="207" t="s">
        <v>1</v>
      </c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9"/>
      <c r="X6" s="41"/>
      <c r="Y6" s="41"/>
      <c r="Z6" s="41"/>
      <c r="AA6" s="41"/>
      <c r="AB6" s="41"/>
      <c r="AC6" s="41"/>
      <c r="AD6" s="41"/>
      <c r="AE6" s="41"/>
    </row>
    <row r="7" spans="1:41" s="26" customFormat="1" ht="15.75" customHeight="1">
      <c r="A7" s="176" t="s">
        <v>12</v>
      </c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8"/>
      <c r="R7" s="182"/>
      <c r="S7" s="210"/>
      <c r="T7" s="210"/>
      <c r="U7" s="183"/>
      <c r="V7" s="182" t="s">
        <v>13</v>
      </c>
      <c r="W7" s="183"/>
    </row>
    <row r="8" spans="1:41" s="30" customFormat="1">
      <c r="A8" s="43" t="s">
        <v>14</v>
      </c>
      <c r="B8" s="197" t="s">
        <v>15</v>
      </c>
      <c r="C8" s="197"/>
      <c r="D8" s="197"/>
      <c r="E8" s="197"/>
      <c r="F8" s="197"/>
      <c r="G8" s="197"/>
      <c r="H8" s="197"/>
      <c r="I8" s="197"/>
      <c r="J8" s="197"/>
      <c r="K8" s="197"/>
      <c r="L8" s="197"/>
      <c r="M8" s="197"/>
      <c r="N8" s="197"/>
      <c r="O8" s="197"/>
      <c r="P8" s="197"/>
      <c r="Q8" s="198"/>
      <c r="R8" s="44"/>
      <c r="S8" s="45"/>
      <c r="T8" s="45"/>
      <c r="U8" s="46"/>
      <c r="V8" s="47">
        <v>1</v>
      </c>
      <c r="W8" s="48">
        <v>150695</v>
      </c>
      <c r="X8" s="26"/>
      <c r="Y8" s="26"/>
      <c r="Z8" s="26"/>
      <c r="AA8" s="26"/>
      <c r="AB8" s="26"/>
      <c r="AC8" s="26"/>
      <c r="AD8" s="26"/>
      <c r="AE8" s="26"/>
    </row>
    <row r="9" spans="1:41" s="55" customFormat="1">
      <c r="A9" s="43"/>
      <c r="B9" s="49" t="s">
        <v>16</v>
      </c>
      <c r="C9" s="189" t="s">
        <v>17</v>
      </c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90"/>
      <c r="R9" s="50"/>
      <c r="S9" s="51"/>
      <c r="T9" s="51"/>
      <c r="U9" s="52"/>
      <c r="V9" s="53">
        <v>2</v>
      </c>
      <c r="W9" s="54">
        <v>48107</v>
      </c>
      <c r="X9" s="26"/>
      <c r="Y9" s="26"/>
      <c r="Z9" s="26"/>
      <c r="AA9" s="26"/>
      <c r="AB9" s="26"/>
      <c r="AC9" s="26"/>
      <c r="AD9" s="26"/>
      <c r="AE9" s="26"/>
    </row>
    <row r="10" spans="1:41" s="55" customFormat="1">
      <c r="A10" s="43" t="s">
        <v>18</v>
      </c>
      <c r="B10" s="201" t="s">
        <v>19</v>
      </c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2"/>
      <c r="R10" s="50"/>
      <c r="S10" s="51"/>
      <c r="T10" s="51"/>
      <c r="U10" s="52"/>
      <c r="V10" s="70">
        <v>3</v>
      </c>
      <c r="W10" s="152">
        <v>147884</v>
      </c>
      <c r="X10" s="26"/>
      <c r="Y10" s="26"/>
      <c r="Z10" s="26"/>
      <c r="AA10" s="26"/>
      <c r="AB10" s="26"/>
      <c r="AC10" s="26"/>
      <c r="AD10" s="26"/>
      <c r="AE10" s="26"/>
    </row>
    <row r="11" spans="1:41" s="55" customFormat="1">
      <c r="A11" s="43"/>
      <c r="B11" s="56" t="s">
        <v>20</v>
      </c>
      <c r="C11" s="189" t="s">
        <v>21</v>
      </c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90"/>
      <c r="R11" s="57"/>
      <c r="S11" s="58"/>
      <c r="T11" s="58"/>
      <c r="U11" s="59"/>
      <c r="V11" s="60">
        <v>4</v>
      </c>
      <c r="W11" s="48">
        <v>91626</v>
      </c>
      <c r="X11" s="26"/>
      <c r="Y11" s="26"/>
      <c r="Z11" s="26"/>
      <c r="AA11" s="26"/>
      <c r="AB11" s="26"/>
      <c r="AC11" s="26"/>
      <c r="AD11" s="26"/>
      <c r="AE11" s="26"/>
    </row>
    <row r="12" spans="1:41" s="55" customFormat="1">
      <c r="A12" s="43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61"/>
      <c r="R12" s="182" t="s">
        <v>22</v>
      </c>
      <c r="S12" s="183"/>
      <c r="T12" s="182" t="s">
        <v>23</v>
      </c>
      <c r="U12" s="183"/>
      <c r="V12" s="182" t="s">
        <v>24</v>
      </c>
      <c r="W12" s="183"/>
      <c r="X12" s="26"/>
      <c r="Y12" s="26"/>
      <c r="Z12" s="26"/>
      <c r="AA12" s="26"/>
      <c r="AB12" s="26"/>
      <c r="AC12" s="26"/>
      <c r="AD12" s="26"/>
      <c r="AE12" s="26"/>
    </row>
    <row r="13" spans="1:41" s="55" customFormat="1">
      <c r="A13" s="43"/>
      <c r="B13" s="56"/>
      <c r="C13" s="56" t="s">
        <v>25</v>
      </c>
      <c r="D13" s="189" t="s">
        <v>26</v>
      </c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90"/>
      <c r="R13" s="47">
        <v>5</v>
      </c>
      <c r="S13" s="48">
        <v>147</v>
      </c>
      <c r="T13" s="47">
        <v>6</v>
      </c>
      <c r="U13" s="48">
        <v>2097</v>
      </c>
      <c r="V13" s="62">
        <v>7</v>
      </c>
      <c r="W13" s="153">
        <v>2244</v>
      </c>
      <c r="X13" s="26"/>
      <c r="Y13" s="26"/>
      <c r="Z13" s="26"/>
      <c r="AA13" s="26"/>
      <c r="AB13" s="26"/>
      <c r="AC13" s="26"/>
      <c r="AD13" s="26"/>
      <c r="AE13" s="26"/>
    </row>
    <row r="14" spans="1:41" s="55" customFormat="1">
      <c r="A14" s="63"/>
      <c r="B14" s="64" t="s">
        <v>27</v>
      </c>
      <c r="C14" s="189" t="s">
        <v>28</v>
      </c>
      <c r="D14" s="189"/>
      <c r="E14" s="189"/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90"/>
      <c r="R14" s="65">
        <v>8</v>
      </c>
      <c r="S14" s="154">
        <v>170</v>
      </c>
      <c r="T14" s="65">
        <v>9</v>
      </c>
      <c r="U14" s="154">
        <v>50252</v>
      </c>
      <c r="V14" s="65">
        <v>10</v>
      </c>
      <c r="W14" s="155">
        <v>50422</v>
      </c>
      <c r="X14" s="26"/>
      <c r="Y14" s="26"/>
      <c r="Z14" s="26"/>
      <c r="AA14" s="26"/>
      <c r="AB14" s="26"/>
      <c r="AC14" s="26"/>
      <c r="AD14" s="26"/>
      <c r="AE14" s="26"/>
    </row>
    <row r="15" spans="1:41" s="55" customFormat="1">
      <c r="A15" s="66"/>
      <c r="B15" s="64"/>
      <c r="C15" s="64" t="s">
        <v>25</v>
      </c>
      <c r="D15" s="189" t="s">
        <v>29</v>
      </c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90"/>
      <c r="R15" s="53">
        <v>11</v>
      </c>
      <c r="S15" s="48">
        <v>97</v>
      </c>
      <c r="T15" s="53">
        <v>12</v>
      </c>
      <c r="U15" s="48">
        <v>19926</v>
      </c>
      <c r="V15" s="65">
        <v>13</v>
      </c>
      <c r="W15" s="155">
        <v>20023</v>
      </c>
      <c r="X15" s="26"/>
      <c r="Y15" s="26"/>
      <c r="Z15" s="26"/>
      <c r="AA15" s="26"/>
      <c r="AB15" s="26"/>
      <c r="AC15" s="26"/>
      <c r="AD15" s="26"/>
      <c r="AE15" s="26"/>
    </row>
    <row r="16" spans="1:41" s="55" customFormat="1">
      <c r="A16" s="63"/>
      <c r="B16" s="64"/>
      <c r="C16" s="67" t="s">
        <v>30</v>
      </c>
      <c r="D16" s="189" t="s">
        <v>31</v>
      </c>
      <c r="E16" s="189"/>
      <c r="F16" s="189"/>
      <c r="G16" s="189"/>
      <c r="H16" s="189"/>
      <c r="I16" s="189"/>
      <c r="J16" s="189"/>
      <c r="K16" s="189"/>
      <c r="L16" s="189"/>
      <c r="M16" s="189"/>
      <c r="N16" s="189"/>
      <c r="O16" s="189"/>
      <c r="P16" s="189"/>
      <c r="Q16" s="190"/>
      <c r="R16" s="53">
        <v>14</v>
      </c>
      <c r="S16" s="48">
        <v>73</v>
      </c>
      <c r="T16" s="53">
        <v>15</v>
      </c>
      <c r="U16" s="48">
        <v>30326</v>
      </c>
      <c r="V16" s="65">
        <v>16</v>
      </c>
      <c r="W16" s="155">
        <v>30399</v>
      </c>
      <c r="X16" s="26"/>
      <c r="Y16" s="26"/>
      <c r="Z16" s="26"/>
      <c r="AA16" s="26"/>
      <c r="AB16" s="26"/>
      <c r="AC16" s="26"/>
      <c r="AD16" s="26"/>
      <c r="AE16" s="26"/>
    </row>
    <row r="17" spans="1:31" s="55" customFormat="1">
      <c r="A17" s="63"/>
      <c r="B17" s="64"/>
      <c r="C17" s="56" t="s">
        <v>32</v>
      </c>
      <c r="D17" s="199" t="s">
        <v>33</v>
      </c>
      <c r="E17" s="199"/>
      <c r="F17" s="199"/>
      <c r="G17" s="199"/>
      <c r="H17" s="199"/>
      <c r="I17" s="199"/>
      <c r="J17" s="199"/>
      <c r="K17" s="199"/>
      <c r="L17" s="199"/>
      <c r="M17" s="199"/>
      <c r="N17" s="199"/>
      <c r="O17" s="199"/>
      <c r="P17" s="199"/>
      <c r="Q17" s="200"/>
      <c r="R17" s="53">
        <v>17</v>
      </c>
      <c r="S17" s="48">
        <v>11</v>
      </c>
      <c r="T17" s="53">
        <v>18</v>
      </c>
      <c r="U17" s="48">
        <v>2757</v>
      </c>
      <c r="V17" s="65">
        <v>19</v>
      </c>
      <c r="W17" s="155">
        <v>2768</v>
      </c>
      <c r="X17" s="26"/>
      <c r="Y17" s="26"/>
      <c r="Z17" s="26"/>
      <c r="AA17" s="26"/>
      <c r="AB17" s="26"/>
      <c r="AC17" s="26"/>
      <c r="AD17" s="26"/>
      <c r="AE17" s="26"/>
    </row>
    <row r="18" spans="1:31" s="55" customFormat="1">
      <c r="A18" s="63"/>
      <c r="B18" s="64" t="s">
        <v>34</v>
      </c>
      <c r="C18" s="195" t="s">
        <v>35</v>
      </c>
      <c r="D18" s="195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5"/>
      <c r="Q18" s="196"/>
      <c r="R18" s="60">
        <v>20</v>
      </c>
      <c r="S18" s="48">
        <v>43</v>
      </c>
      <c r="T18" s="60">
        <v>21</v>
      </c>
      <c r="U18" s="48">
        <v>5793</v>
      </c>
      <c r="V18" s="65">
        <v>22</v>
      </c>
      <c r="W18" s="155">
        <v>5836</v>
      </c>
      <c r="X18" s="26"/>
      <c r="Y18" s="26"/>
      <c r="Z18" s="26"/>
      <c r="AA18" s="26"/>
      <c r="AB18" s="26"/>
      <c r="AC18" s="26"/>
      <c r="AD18" s="26"/>
      <c r="AE18" s="26"/>
    </row>
    <row r="19" spans="1:31" s="55" customFormat="1" ht="15.75">
      <c r="A19" s="176" t="s">
        <v>36</v>
      </c>
      <c r="B19" s="177"/>
      <c r="C19" s="177"/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8"/>
      <c r="R19" s="182" t="s">
        <v>22</v>
      </c>
      <c r="S19" s="183"/>
      <c r="T19" s="182" t="s">
        <v>23</v>
      </c>
      <c r="U19" s="183"/>
      <c r="V19" s="182" t="s">
        <v>24</v>
      </c>
      <c r="W19" s="183"/>
      <c r="X19" s="26"/>
      <c r="Y19" s="26"/>
      <c r="Z19" s="26"/>
      <c r="AA19" s="26"/>
      <c r="AB19" s="26"/>
      <c r="AC19" s="26"/>
      <c r="AD19" s="26"/>
      <c r="AE19" s="26"/>
    </row>
    <row r="20" spans="1:31" s="55" customFormat="1">
      <c r="A20" s="68" t="s">
        <v>37</v>
      </c>
      <c r="B20" s="197" t="s">
        <v>38</v>
      </c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197"/>
      <c r="Q20" s="198"/>
      <c r="R20" s="69">
        <v>23</v>
      </c>
      <c r="S20" s="154">
        <v>4156</v>
      </c>
      <c r="T20" s="69">
        <v>24</v>
      </c>
      <c r="U20" s="154">
        <v>125966</v>
      </c>
      <c r="V20" s="62">
        <v>25</v>
      </c>
      <c r="W20" s="154">
        <v>130122</v>
      </c>
      <c r="X20" s="26"/>
      <c r="Y20" s="26"/>
      <c r="Z20" s="26"/>
      <c r="AA20" s="26"/>
      <c r="AB20" s="26"/>
      <c r="AC20" s="26"/>
      <c r="AD20" s="26"/>
      <c r="AE20" s="26"/>
    </row>
    <row r="21" spans="1:31" s="26" customFormat="1">
      <c r="A21" s="68"/>
      <c r="B21" s="56" t="s">
        <v>39</v>
      </c>
      <c r="C21" s="189" t="s">
        <v>40</v>
      </c>
      <c r="D21" s="189"/>
      <c r="E21" s="189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90"/>
      <c r="R21" s="70">
        <v>26</v>
      </c>
      <c r="S21" s="152">
        <v>2588</v>
      </c>
      <c r="T21" s="70">
        <v>27</v>
      </c>
      <c r="U21" s="152">
        <v>50169</v>
      </c>
      <c r="V21" s="65">
        <v>28</v>
      </c>
      <c r="W21" s="152">
        <v>52757</v>
      </c>
    </row>
    <row r="22" spans="1:31" s="26" customFormat="1">
      <c r="A22" s="71"/>
      <c r="B22" s="56"/>
      <c r="C22" s="72" t="s">
        <v>41</v>
      </c>
      <c r="D22" s="191" t="s">
        <v>42</v>
      </c>
      <c r="E22" s="191"/>
      <c r="F22" s="191"/>
      <c r="G22" s="191"/>
      <c r="H22" s="191"/>
      <c r="I22" s="191"/>
      <c r="J22" s="191"/>
      <c r="K22" s="191"/>
      <c r="L22" s="191"/>
      <c r="M22" s="191"/>
      <c r="N22" s="191"/>
      <c r="O22" s="191"/>
      <c r="P22" s="191"/>
      <c r="Q22" s="192"/>
      <c r="R22" s="53">
        <v>29</v>
      </c>
      <c r="S22" s="48">
        <v>2274</v>
      </c>
      <c r="T22" s="53">
        <v>30</v>
      </c>
      <c r="U22" s="48">
        <v>46595</v>
      </c>
      <c r="V22" s="65">
        <v>31</v>
      </c>
      <c r="W22" s="155">
        <v>48869</v>
      </c>
    </row>
    <row r="23" spans="1:31" s="26" customFormat="1">
      <c r="A23" s="71"/>
      <c r="B23" s="56"/>
      <c r="C23" s="72" t="s">
        <v>43</v>
      </c>
      <c r="D23" s="191" t="s">
        <v>44</v>
      </c>
      <c r="E23" s="191"/>
      <c r="F23" s="191"/>
      <c r="G23" s="191"/>
      <c r="H23" s="191"/>
      <c r="I23" s="191"/>
      <c r="J23" s="191"/>
      <c r="K23" s="191"/>
      <c r="L23" s="191"/>
      <c r="M23" s="191"/>
      <c r="N23" s="191"/>
      <c r="O23" s="191"/>
      <c r="P23" s="191"/>
      <c r="Q23" s="192"/>
      <c r="R23" s="53">
        <v>32</v>
      </c>
      <c r="S23" s="48">
        <v>139</v>
      </c>
      <c r="T23" s="53">
        <v>33</v>
      </c>
      <c r="U23" s="48">
        <v>1906</v>
      </c>
      <c r="V23" s="65">
        <v>34</v>
      </c>
      <c r="W23" s="155">
        <v>2045</v>
      </c>
    </row>
    <row r="24" spans="1:31" s="26" customFormat="1">
      <c r="A24" s="71"/>
      <c r="B24" s="56"/>
      <c r="C24" s="72" t="s">
        <v>45</v>
      </c>
      <c r="D24" s="191" t="s">
        <v>46</v>
      </c>
      <c r="E24" s="191"/>
      <c r="F24" s="191"/>
      <c r="G24" s="191"/>
      <c r="H24" s="191"/>
      <c r="I24" s="191"/>
      <c r="J24" s="191"/>
      <c r="K24" s="191"/>
      <c r="L24" s="191"/>
      <c r="M24" s="191"/>
      <c r="N24" s="191"/>
      <c r="O24" s="191"/>
      <c r="P24" s="191"/>
      <c r="Q24" s="192"/>
      <c r="R24" s="53">
        <v>35</v>
      </c>
      <c r="S24" s="48">
        <v>175</v>
      </c>
      <c r="T24" s="53">
        <v>36</v>
      </c>
      <c r="U24" s="48">
        <v>1668</v>
      </c>
      <c r="V24" s="65">
        <v>37</v>
      </c>
      <c r="W24" s="155">
        <v>1843</v>
      </c>
    </row>
    <row r="25" spans="1:31" s="26" customFormat="1">
      <c r="A25" s="68"/>
      <c r="B25" s="56" t="s">
        <v>47</v>
      </c>
      <c r="C25" s="193" t="s">
        <v>48</v>
      </c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3"/>
      <c r="Q25" s="194"/>
      <c r="R25" s="60">
        <v>38</v>
      </c>
      <c r="S25" s="48">
        <v>1568</v>
      </c>
      <c r="T25" s="60">
        <v>39</v>
      </c>
      <c r="U25" s="48">
        <v>75797</v>
      </c>
      <c r="V25" s="65">
        <v>40</v>
      </c>
      <c r="W25" s="155">
        <v>77365</v>
      </c>
    </row>
    <row r="26" spans="1:31" s="26" customFormat="1" ht="15.75">
      <c r="A26" s="176" t="s">
        <v>49</v>
      </c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8"/>
      <c r="R26" s="182" t="s">
        <v>22</v>
      </c>
      <c r="S26" s="183"/>
      <c r="T26" s="182" t="s">
        <v>23</v>
      </c>
      <c r="U26" s="183"/>
      <c r="V26" s="182" t="s">
        <v>24</v>
      </c>
      <c r="W26" s="183"/>
    </row>
    <row r="27" spans="1:31" s="26" customFormat="1">
      <c r="A27" s="68" t="s">
        <v>50</v>
      </c>
      <c r="B27" s="172" t="s">
        <v>51</v>
      </c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3"/>
      <c r="R27" s="47">
        <v>41</v>
      </c>
      <c r="S27" s="48">
        <v>221109</v>
      </c>
      <c r="T27" s="47">
        <v>42</v>
      </c>
      <c r="U27" s="48">
        <v>1578952</v>
      </c>
      <c r="V27" s="62">
        <v>43</v>
      </c>
      <c r="W27" s="153">
        <v>1800061</v>
      </c>
    </row>
    <row r="28" spans="1:31" s="26" customFormat="1">
      <c r="A28" s="68"/>
      <c r="B28" s="73" t="s">
        <v>39</v>
      </c>
      <c r="C28" s="172" t="s">
        <v>52</v>
      </c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3"/>
      <c r="R28" s="53">
        <v>44</v>
      </c>
      <c r="S28" s="48">
        <v>221690</v>
      </c>
      <c r="T28" s="53">
        <v>45</v>
      </c>
      <c r="U28" s="48">
        <v>1588789</v>
      </c>
      <c r="V28" s="65">
        <v>46</v>
      </c>
      <c r="W28" s="155">
        <v>1810479</v>
      </c>
    </row>
    <row r="29" spans="1:31" s="26" customFormat="1">
      <c r="A29" s="68"/>
      <c r="B29" s="73" t="s">
        <v>47</v>
      </c>
      <c r="C29" s="172" t="s">
        <v>53</v>
      </c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2"/>
      <c r="O29" s="172"/>
      <c r="P29" s="172"/>
      <c r="Q29" s="173"/>
      <c r="R29" s="70">
        <v>47</v>
      </c>
      <c r="S29" s="156">
        <v>-581</v>
      </c>
      <c r="T29" s="70">
        <v>48</v>
      </c>
      <c r="U29" s="156">
        <v>-9837</v>
      </c>
      <c r="V29" s="65">
        <v>49</v>
      </c>
      <c r="W29" s="157">
        <v>-10418</v>
      </c>
    </row>
    <row r="30" spans="1:31" s="26" customFormat="1">
      <c r="A30" s="68" t="s">
        <v>54</v>
      </c>
      <c r="B30" s="172" t="s">
        <v>55</v>
      </c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3"/>
      <c r="R30" s="65">
        <v>50</v>
      </c>
      <c r="S30" s="158">
        <v>10902</v>
      </c>
      <c r="T30" s="65">
        <v>51</v>
      </c>
      <c r="U30" s="158">
        <v>146245</v>
      </c>
      <c r="V30" s="65">
        <v>52</v>
      </c>
      <c r="W30" s="155">
        <v>157147</v>
      </c>
    </row>
    <row r="31" spans="1:31" s="78" customFormat="1" ht="12.75" customHeight="1">
      <c r="A31" s="71"/>
      <c r="B31" s="73"/>
      <c r="C31" s="73"/>
      <c r="D31" s="73"/>
      <c r="E31" s="74"/>
      <c r="F31" s="180" t="s">
        <v>56</v>
      </c>
      <c r="G31" s="184"/>
      <c r="H31" s="184"/>
      <c r="I31" s="184"/>
      <c r="J31" s="184"/>
      <c r="K31" s="181"/>
      <c r="L31" s="180" t="s">
        <v>57</v>
      </c>
      <c r="M31" s="184"/>
      <c r="N31" s="184"/>
      <c r="O31" s="184"/>
      <c r="P31" s="184"/>
      <c r="Q31" s="181"/>
      <c r="R31" s="75"/>
      <c r="S31" s="76"/>
      <c r="T31" s="76"/>
      <c r="U31" s="76"/>
      <c r="V31" s="76"/>
      <c r="W31" s="77"/>
    </row>
    <row r="32" spans="1:31" s="26" customFormat="1">
      <c r="A32" s="71"/>
      <c r="B32" s="73"/>
      <c r="C32" s="73"/>
      <c r="D32" s="73"/>
      <c r="E32" s="56"/>
      <c r="F32" s="180" t="s">
        <v>58</v>
      </c>
      <c r="G32" s="181"/>
      <c r="H32" s="180" t="s">
        <v>59</v>
      </c>
      <c r="I32" s="181"/>
      <c r="J32" s="180" t="s">
        <v>60</v>
      </c>
      <c r="K32" s="181"/>
      <c r="L32" s="180" t="s">
        <v>58</v>
      </c>
      <c r="M32" s="181"/>
      <c r="N32" s="180" t="s">
        <v>59</v>
      </c>
      <c r="O32" s="181"/>
      <c r="P32" s="180" t="s">
        <v>60</v>
      </c>
      <c r="Q32" s="181"/>
      <c r="R32" s="79"/>
      <c r="S32" s="80"/>
      <c r="T32" s="80"/>
      <c r="U32" s="80"/>
      <c r="V32" s="80"/>
      <c r="W32" s="81"/>
    </row>
    <row r="33" spans="1:23" s="26" customFormat="1">
      <c r="A33" s="71"/>
      <c r="B33" s="73" t="s">
        <v>20</v>
      </c>
      <c r="C33" s="172" t="s">
        <v>61</v>
      </c>
      <c r="D33" s="172"/>
      <c r="E33" s="173"/>
      <c r="F33" s="82">
        <v>53</v>
      </c>
      <c r="G33" s="48">
        <v>5337</v>
      </c>
      <c r="H33" s="82">
        <v>54</v>
      </c>
      <c r="I33" s="48">
        <v>104</v>
      </c>
      <c r="J33" s="82">
        <v>55</v>
      </c>
      <c r="K33" s="48">
        <v>12</v>
      </c>
      <c r="L33" s="82">
        <v>56</v>
      </c>
      <c r="M33" s="48">
        <v>84585</v>
      </c>
      <c r="N33" s="82">
        <v>57</v>
      </c>
      <c r="O33" s="48">
        <v>974</v>
      </c>
      <c r="P33" s="82">
        <v>58</v>
      </c>
      <c r="Q33" s="48">
        <v>614</v>
      </c>
      <c r="R33" s="70">
        <v>59</v>
      </c>
      <c r="S33" s="159">
        <v>5453</v>
      </c>
      <c r="T33" s="83">
        <v>60</v>
      </c>
      <c r="U33" s="159">
        <v>86173</v>
      </c>
      <c r="V33" s="65">
        <v>61</v>
      </c>
      <c r="W33" s="155">
        <v>91626</v>
      </c>
    </row>
    <row r="34" spans="1:23" s="26" customFormat="1">
      <c r="A34" s="71"/>
      <c r="B34" s="73" t="s">
        <v>27</v>
      </c>
      <c r="C34" s="172" t="s">
        <v>62</v>
      </c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3"/>
      <c r="R34" s="53">
        <v>62</v>
      </c>
      <c r="S34" s="84">
        <v>-2548</v>
      </c>
      <c r="T34" s="85">
        <v>63</v>
      </c>
      <c r="U34" s="48">
        <v>2548</v>
      </c>
      <c r="V34" s="65">
        <v>64</v>
      </c>
      <c r="W34" s="155">
        <v>0</v>
      </c>
    </row>
    <row r="35" spans="1:23" s="26" customFormat="1">
      <c r="A35" s="71"/>
      <c r="B35" s="73" t="s">
        <v>63</v>
      </c>
      <c r="C35" s="172" t="s">
        <v>64</v>
      </c>
      <c r="D35" s="172"/>
      <c r="E35" s="172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3"/>
      <c r="R35" s="53">
        <v>65</v>
      </c>
      <c r="S35" s="48">
        <v>626</v>
      </c>
      <c r="T35" s="85">
        <v>66</v>
      </c>
      <c r="U35" s="48">
        <v>2699</v>
      </c>
      <c r="V35" s="65">
        <v>67</v>
      </c>
      <c r="W35" s="155">
        <v>3325</v>
      </c>
    </row>
    <row r="36" spans="1:23" s="26" customFormat="1">
      <c r="A36" s="71"/>
      <c r="B36" s="73" t="s">
        <v>65</v>
      </c>
      <c r="C36" s="172" t="s">
        <v>66</v>
      </c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3"/>
      <c r="R36" s="53">
        <v>68</v>
      </c>
      <c r="S36" s="48">
        <v>1110</v>
      </c>
      <c r="T36" s="85">
        <v>69</v>
      </c>
      <c r="U36" s="48">
        <v>14701</v>
      </c>
      <c r="V36" s="65">
        <v>70</v>
      </c>
      <c r="W36" s="155">
        <v>15811</v>
      </c>
    </row>
    <row r="37" spans="1:23" s="26" customFormat="1">
      <c r="A37" s="68"/>
      <c r="B37" s="73" t="s">
        <v>67</v>
      </c>
      <c r="C37" s="172" t="s">
        <v>68</v>
      </c>
      <c r="D37" s="172"/>
      <c r="E37" s="172"/>
      <c r="F37" s="172"/>
      <c r="G37" s="172"/>
      <c r="H37" s="172"/>
      <c r="I37" s="172"/>
      <c r="J37" s="172"/>
      <c r="K37" s="172"/>
      <c r="L37" s="172"/>
      <c r="M37" s="172"/>
      <c r="N37" s="172"/>
      <c r="O37" s="172"/>
      <c r="P37" s="172"/>
      <c r="Q37" s="173"/>
      <c r="R37" s="53">
        <v>71</v>
      </c>
      <c r="S37" s="48">
        <v>6261</v>
      </c>
      <c r="T37" s="85">
        <v>72</v>
      </c>
      <c r="U37" s="48">
        <v>40124</v>
      </c>
      <c r="V37" s="65">
        <v>73</v>
      </c>
      <c r="W37" s="155">
        <v>46385</v>
      </c>
    </row>
    <row r="38" spans="1:23" s="26" customFormat="1">
      <c r="A38" s="68" t="s">
        <v>69</v>
      </c>
      <c r="B38" s="172" t="s">
        <v>70</v>
      </c>
      <c r="C38" s="172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72"/>
      <c r="Q38" s="173"/>
      <c r="R38" s="86"/>
      <c r="S38" s="87"/>
      <c r="T38" s="87"/>
      <c r="U38" s="87"/>
      <c r="V38" s="87"/>
      <c r="W38" s="88"/>
    </row>
    <row r="39" spans="1:23" s="26" customFormat="1">
      <c r="A39" s="71"/>
      <c r="B39" s="172" t="s">
        <v>71</v>
      </c>
      <c r="C39" s="172"/>
      <c r="D39" s="172"/>
      <c r="E39" s="172"/>
      <c r="F39" s="172"/>
      <c r="G39" s="172"/>
      <c r="H39" s="172"/>
      <c r="I39" s="172"/>
      <c r="J39" s="172"/>
      <c r="K39" s="172"/>
      <c r="L39" s="172"/>
      <c r="M39" s="172"/>
      <c r="N39" s="172"/>
      <c r="O39" s="172"/>
      <c r="P39" s="172"/>
      <c r="Q39" s="173"/>
      <c r="R39" s="70">
        <v>74</v>
      </c>
      <c r="S39" s="159">
        <v>232011</v>
      </c>
      <c r="T39" s="83">
        <v>75</v>
      </c>
      <c r="U39" s="159">
        <v>1725197</v>
      </c>
      <c r="V39" s="65">
        <v>76</v>
      </c>
      <c r="W39" s="155">
        <v>1957208</v>
      </c>
    </row>
    <row r="40" spans="1:23" s="26" customFormat="1">
      <c r="A40" s="71"/>
      <c r="B40" s="73" t="s">
        <v>20</v>
      </c>
      <c r="C40" s="187" t="s">
        <v>72</v>
      </c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8"/>
      <c r="R40" s="89">
        <v>77</v>
      </c>
      <c r="S40" s="48">
        <v>227328</v>
      </c>
      <c r="T40" s="89">
        <v>78</v>
      </c>
      <c r="U40" s="48">
        <v>1696827</v>
      </c>
      <c r="V40" s="65">
        <v>79</v>
      </c>
      <c r="W40" s="155">
        <v>1924155</v>
      </c>
    </row>
    <row r="41" spans="1:23" s="26" customFormat="1">
      <c r="A41" s="71"/>
      <c r="B41" s="56"/>
      <c r="C41" s="90" t="s">
        <v>25</v>
      </c>
      <c r="D41" s="172" t="s">
        <v>73</v>
      </c>
      <c r="E41" s="172"/>
      <c r="F41" s="172"/>
      <c r="G41" s="172"/>
      <c r="H41" s="172"/>
      <c r="I41" s="172"/>
      <c r="J41" s="172"/>
      <c r="K41" s="173"/>
      <c r="L41" s="180" t="s">
        <v>74</v>
      </c>
      <c r="M41" s="181"/>
      <c r="N41" s="180" t="s">
        <v>75</v>
      </c>
      <c r="O41" s="184"/>
      <c r="P41" s="184"/>
      <c r="Q41" s="181"/>
      <c r="R41" s="75"/>
      <c r="S41" s="76"/>
      <c r="T41" s="76"/>
      <c r="U41" s="76"/>
      <c r="V41" s="76"/>
      <c r="W41" s="77"/>
    </row>
    <row r="42" spans="1:23" s="26" customFormat="1">
      <c r="A42" s="71"/>
      <c r="B42" s="56"/>
      <c r="C42" s="73"/>
      <c r="D42" s="172" t="s">
        <v>76</v>
      </c>
      <c r="E42" s="172"/>
      <c r="F42" s="172"/>
      <c r="G42" s="172"/>
      <c r="H42" s="172"/>
      <c r="I42" s="172"/>
      <c r="J42" s="172"/>
      <c r="K42" s="173"/>
      <c r="L42" s="91">
        <v>80</v>
      </c>
      <c r="M42" s="48">
        <v>3977381</v>
      </c>
      <c r="N42" s="180" t="s">
        <v>77</v>
      </c>
      <c r="O42" s="181"/>
      <c r="P42" s="180" t="s">
        <v>78</v>
      </c>
      <c r="Q42" s="181"/>
      <c r="R42" s="79"/>
      <c r="S42" s="80"/>
      <c r="T42" s="80"/>
      <c r="U42" s="80"/>
      <c r="V42" s="80"/>
      <c r="W42" s="81"/>
    </row>
    <row r="43" spans="1:23" s="26" customFormat="1">
      <c r="A43" s="71"/>
      <c r="B43" s="73" t="s">
        <v>27</v>
      </c>
      <c r="C43" s="172" t="s">
        <v>79</v>
      </c>
      <c r="D43" s="172"/>
      <c r="E43" s="172"/>
      <c r="F43" s="172"/>
      <c r="G43" s="172"/>
      <c r="H43" s="172"/>
      <c r="I43" s="172"/>
      <c r="J43" s="172"/>
      <c r="K43" s="172"/>
      <c r="L43" s="172"/>
      <c r="M43" s="173"/>
      <c r="N43" s="91">
        <v>81</v>
      </c>
      <c r="O43" s="48">
        <v>2490</v>
      </c>
      <c r="P43" s="91">
        <v>82</v>
      </c>
      <c r="Q43" s="48">
        <v>28459</v>
      </c>
      <c r="R43" s="53">
        <v>83</v>
      </c>
      <c r="S43" s="48">
        <v>4440</v>
      </c>
      <c r="T43" s="53">
        <v>84</v>
      </c>
      <c r="U43" s="48">
        <v>19096</v>
      </c>
      <c r="V43" s="70">
        <v>85</v>
      </c>
      <c r="W43" s="160">
        <v>23536</v>
      </c>
    </row>
    <row r="44" spans="1:23" s="26" customFormat="1">
      <c r="A44" s="71"/>
      <c r="B44" s="73" t="s">
        <v>34</v>
      </c>
      <c r="C44" s="172" t="s">
        <v>80</v>
      </c>
      <c r="D44" s="172"/>
      <c r="E44" s="172"/>
      <c r="F44" s="172"/>
      <c r="G44" s="172"/>
      <c r="H44" s="172"/>
      <c r="I44" s="172"/>
      <c r="J44" s="172"/>
      <c r="K44" s="172"/>
      <c r="L44" s="172"/>
      <c r="M44" s="173"/>
      <c r="N44" s="92">
        <v>86</v>
      </c>
      <c r="O44" s="48">
        <v>11503</v>
      </c>
      <c r="P44" s="92">
        <v>87</v>
      </c>
      <c r="Q44" s="48">
        <v>1015</v>
      </c>
      <c r="R44" s="53">
        <v>88</v>
      </c>
      <c r="S44" s="48">
        <v>243</v>
      </c>
      <c r="T44" s="53">
        <v>89</v>
      </c>
      <c r="U44" s="48">
        <v>9274</v>
      </c>
      <c r="V44" s="70">
        <v>90</v>
      </c>
      <c r="W44" s="160">
        <v>9517</v>
      </c>
    </row>
    <row r="45" spans="1:23" s="26" customFormat="1">
      <c r="A45" s="68" t="s">
        <v>81</v>
      </c>
      <c r="B45" s="172" t="s">
        <v>82</v>
      </c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3"/>
      <c r="R45" s="53">
        <v>91</v>
      </c>
      <c r="S45" s="48">
        <v>11999</v>
      </c>
      <c r="T45" s="53">
        <v>92</v>
      </c>
      <c r="U45" s="48">
        <v>131625</v>
      </c>
      <c r="V45" s="70">
        <v>93</v>
      </c>
      <c r="W45" s="160">
        <v>143624</v>
      </c>
    </row>
    <row r="46" spans="1:23" s="26" customFormat="1">
      <c r="A46" s="93"/>
      <c r="B46" s="94" t="s">
        <v>16</v>
      </c>
      <c r="C46" s="185" t="s">
        <v>83</v>
      </c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6"/>
      <c r="R46" s="53">
        <v>94</v>
      </c>
      <c r="S46" s="48">
        <v>56</v>
      </c>
      <c r="T46" s="53">
        <v>95</v>
      </c>
      <c r="U46" s="48">
        <v>818</v>
      </c>
      <c r="V46" s="70">
        <v>96</v>
      </c>
      <c r="W46" s="160">
        <v>874</v>
      </c>
    </row>
    <row r="47" spans="1:23" s="26" customFormat="1">
      <c r="A47" s="68" t="s">
        <v>84</v>
      </c>
      <c r="B47" s="172" t="s">
        <v>85</v>
      </c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3"/>
      <c r="R47" s="95">
        <v>97</v>
      </c>
      <c r="S47" s="161">
        <v>220012</v>
      </c>
      <c r="T47" s="95">
        <v>98</v>
      </c>
      <c r="U47" s="162">
        <v>1593572</v>
      </c>
      <c r="V47" s="65">
        <v>99</v>
      </c>
      <c r="W47" s="155">
        <v>1813584</v>
      </c>
    </row>
    <row r="48" spans="1:23" s="26" customFormat="1" ht="15.75">
      <c r="A48" s="176" t="s">
        <v>86</v>
      </c>
      <c r="B48" s="177"/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8"/>
      <c r="R48" s="182" t="s">
        <v>22</v>
      </c>
      <c r="S48" s="183"/>
      <c r="T48" s="182" t="s">
        <v>23</v>
      </c>
      <c r="U48" s="183"/>
      <c r="V48" s="182" t="s">
        <v>24</v>
      </c>
      <c r="W48" s="183"/>
    </row>
    <row r="49" spans="1:31" s="26" customFormat="1" ht="13.5" customHeight="1">
      <c r="A49" s="71" t="s">
        <v>87</v>
      </c>
      <c r="B49" s="172" t="s">
        <v>88</v>
      </c>
      <c r="C49" s="172"/>
      <c r="D49" s="172"/>
      <c r="E49" s="172"/>
      <c r="F49" s="172"/>
      <c r="G49" s="172"/>
      <c r="H49" s="172"/>
      <c r="I49" s="172"/>
      <c r="J49" s="172"/>
      <c r="K49" s="172"/>
      <c r="L49" s="172"/>
      <c r="M49" s="172"/>
      <c r="N49" s="172"/>
      <c r="O49" s="172"/>
      <c r="P49" s="172"/>
      <c r="Q49" s="173"/>
      <c r="R49" s="96">
        <v>100</v>
      </c>
      <c r="S49" s="163">
        <v>13840</v>
      </c>
      <c r="T49" s="96">
        <v>101</v>
      </c>
      <c r="U49" s="163">
        <v>70487</v>
      </c>
      <c r="V49" s="69">
        <v>102</v>
      </c>
      <c r="W49" s="164">
        <v>84327</v>
      </c>
    </row>
    <row r="50" spans="1:31" s="100" customFormat="1" ht="14.25" customHeight="1">
      <c r="A50" s="71"/>
      <c r="B50" s="73"/>
      <c r="C50" s="73"/>
      <c r="D50" s="73"/>
      <c r="E50" s="73"/>
      <c r="F50" s="180" t="s">
        <v>56</v>
      </c>
      <c r="G50" s="184"/>
      <c r="H50" s="184"/>
      <c r="I50" s="184"/>
      <c r="J50" s="184"/>
      <c r="K50" s="181"/>
      <c r="L50" s="180" t="s">
        <v>57</v>
      </c>
      <c r="M50" s="184"/>
      <c r="N50" s="184"/>
      <c r="O50" s="184"/>
      <c r="P50" s="184"/>
      <c r="Q50" s="181"/>
      <c r="R50" s="97"/>
      <c r="S50" s="98"/>
      <c r="T50" s="98"/>
      <c r="U50" s="98"/>
      <c r="V50" s="98"/>
      <c r="W50" s="99"/>
    </row>
    <row r="51" spans="1:31" s="104" customFormat="1" ht="15" customHeight="1">
      <c r="A51" s="71"/>
      <c r="B51" s="73"/>
      <c r="C51" s="73"/>
      <c r="D51" s="73"/>
      <c r="E51" s="73"/>
      <c r="F51" s="180" t="s">
        <v>58</v>
      </c>
      <c r="G51" s="181"/>
      <c r="H51" s="180" t="s">
        <v>59</v>
      </c>
      <c r="I51" s="181"/>
      <c r="J51" s="180" t="s">
        <v>60</v>
      </c>
      <c r="K51" s="181"/>
      <c r="L51" s="180" t="s">
        <v>58</v>
      </c>
      <c r="M51" s="181"/>
      <c r="N51" s="180" t="s">
        <v>59</v>
      </c>
      <c r="O51" s="181"/>
      <c r="P51" s="180" t="s">
        <v>60</v>
      </c>
      <c r="Q51" s="181"/>
      <c r="R51" s="101"/>
      <c r="S51" s="102"/>
      <c r="T51" s="102"/>
      <c r="U51" s="102"/>
      <c r="V51" s="102"/>
      <c r="W51" s="103"/>
    </row>
    <row r="52" spans="1:31" s="106" customFormat="1" ht="15.75" customHeight="1">
      <c r="A52" s="71"/>
      <c r="B52" s="73" t="s">
        <v>20</v>
      </c>
      <c r="C52" s="172" t="s">
        <v>89</v>
      </c>
      <c r="D52" s="172"/>
      <c r="E52" s="173"/>
      <c r="F52" s="82">
        <v>103</v>
      </c>
      <c r="G52" s="48">
        <v>13271</v>
      </c>
      <c r="H52" s="82">
        <v>104</v>
      </c>
      <c r="I52" s="48">
        <v>245</v>
      </c>
      <c r="J52" s="82">
        <v>105</v>
      </c>
      <c r="K52" s="48">
        <v>8</v>
      </c>
      <c r="L52" s="82">
        <v>106</v>
      </c>
      <c r="M52" s="48">
        <v>64741</v>
      </c>
      <c r="N52" s="82">
        <v>107</v>
      </c>
      <c r="O52" s="48">
        <v>897</v>
      </c>
      <c r="P52" s="82">
        <v>108</v>
      </c>
      <c r="Q52" s="48">
        <v>253</v>
      </c>
      <c r="R52" s="105">
        <v>109</v>
      </c>
      <c r="S52" s="165">
        <v>13524</v>
      </c>
      <c r="T52" s="105">
        <v>110</v>
      </c>
      <c r="U52" s="165">
        <v>65891</v>
      </c>
      <c r="V52" s="70">
        <v>111</v>
      </c>
      <c r="W52" s="160">
        <v>79415</v>
      </c>
    </row>
    <row r="53" spans="1:31" s="107" customFormat="1" ht="13.5" customHeight="1">
      <c r="A53" s="71"/>
      <c r="B53" s="73" t="s">
        <v>27</v>
      </c>
      <c r="C53" s="172" t="s">
        <v>90</v>
      </c>
      <c r="D53" s="172"/>
      <c r="E53" s="173"/>
      <c r="F53" s="82">
        <v>112</v>
      </c>
      <c r="G53" s="48">
        <v>308</v>
      </c>
      <c r="H53" s="82">
        <v>113</v>
      </c>
      <c r="I53" s="48">
        <v>8</v>
      </c>
      <c r="J53" s="82">
        <v>114</v>
      </c>
      <c r="K53" s="48">
        <v>0</v>
      </c>
      <c r="L53" s="82">
        <v>115</v>
      </c>
      <c r="M53" s="48">
        <v>4453</v>
      </c>
      <c r="N53" s="82">
        <v>116</v>
      </c>
      <c r="O53" s="48">
        <v>113</v>
      </c>
      <c r="P53" s="82">
        <v>117</v>
      </c>
      <c r="Q53" s="48">
        <v>30</v>
      </c>
      <c r="R53" s="105">
        <v>118</v>
      </c>
      <c r="S53" s="165">
        <v>316</v>
      </c>
      <c r="T53" s="105">
        <v>119</v>
      </c>
      <c r="U53" s="165">
        <v>4596</v>
      </c>
      <c r="V53" s="70">
        <v>120</v>
      </c>
      <c r="W53" s="160">
        <v>4912</v>
      </c>
      <c r="X53" s="26"/>
      <c r="Y53" s="26"/>
      <c r="Z53" s="26"/>
      <c r="AA53" s="26"/>
      <c r="AB53" s="26"/>
      <c r="AC53" s="26"/>
      <c r="AD53" s="26"/>
      <c r="AE53" s="26"/>
    </row>
    <row r="54" spans="1:31" s="110" customFormat="1" ht="13.5" customHeight="1">
      <c r="A54" s="108" t="s">
        <v>91</v>
      </c>
      <c r="B54" s="174" t="s">
        <v>92</v>
      </c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5"/>
      <c r="R54" s="109">
        <v>121</v>
      </c>
      <c r="S54" s="48">
        <v>10</v>
      </c>
      <c r="T54" s="109">
        <v>122</v>
      </c>
      <c r="U54" s="48">
        <v>78</v>
      </c>
      <c r="V54" s="70">
        <v>123</v>
      </c>
      <c r="W54" s="160">
        <v>88</v>
      </c>
    </row>
    <row r="55" spans="1:31" ht="15.75">
      <c r="A55" s="176" t="s">
        <v>4</v>
      </c>
      <c r="B55" s="177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8"/>
    </row>
    <row r="56" spans="1:31" ht="63" customHeight="1">
      <c r="A56" s="179" t="s">
        <v>354</v>
      </c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  <c r="U56" s="179"/>
      <c r="V56" s="179"/>
      <c r="W56" s="179"/>
      <c r="AC56" s="26"/>
    </row>
    <row r="57" spans="1:31">
      <c r="U57" s="112"/>
      <c r="V57" s="113" t="s">
        <v>93</v>
      </c>
      <c r="W57" s="114">
        <v>25395811</v>
      </c>
    </row>
  </sheetData>
  <mergeCells count="82">
    <mergeCell ref="A2:O2"/>
    <mergeCell ref="A6:K6"/>
    <mergeCell ref="L6:W6"/>
    <mergeCell ref="A7:Q7"/>
    <mergeCell ref="R7:U7"/>
    <mergeCell ref="V7:W7"/>
    <mergeCell ref="B8:Q8"/>
    <mergeCell ref="C9:Q9"/>
    <mergeCell ref="B10:Q10"/>
    <mergeCell ref="C11:Q11"/>
    <mergeCell ref="R12:S12"/>
    <mergeCell ref="B20:Q20"/>
    <mergeCell ref="V12:W12"/>
    <mergeCell ref="D13:Q13"/>
    <mergeCell ref="C14:Q14"/>
    <mergeCell ref="D15:Q15"/>
    <mergeCell ref="D16:Q16"/>
    <mergeCell ref="D17:Q17"/>
    <mergeCell ref="T12:U12"/>
    <mergeCell ref="C18:Q18"/>
    <mergeCell ref="A19:Q19"/>
    <mergeCell ref="R19:S19"/>
    <mergeCell ref="T19:U19"/>
    <mergeCell ref="V19:W19"/>
    <mergeCell ref="C29:Q29"/>
    <mergeCell ref="C21:Q21"/>
    <mergeCell ref="D22:Q22"/>
    <mergeCell ref="D23:Q23"/>
    <mergeCell ref="D24:Q24"/>
    <mergeCell ref="C25:Q25"/>
    <mergeCell ref="A26:Q26"/>
    <mergeCell ref="R26:S26"/>
    <mergeCell ref="T26:U26"/>
    <mergeCell ref="V26:W26"/>
    <mergeCell ref="B27:Q27"/>
    <mergeCell ref="C28:Q28"/>
    <mergeCell ref="B30:Q30"/>
    <mergeCell ref="F31:K31"/>
    <mergeCell ref="L31:Q31"/>
    <mergeCell ref="F32:G32"/>
    <mergeCell ref="H32:I32"/>
    <mergeCell ref="J32:K32"/>
    <mergeCell ref="L32:M32"/>
    <mergeCell ref="N32:O32"/>
    <mergeCell ref="P32:Q32"/>
    <mergeCell ref="D42:K42"/>
    <mergeCell ref="N42:O42"/>
    <mergeCell ref="P42:Q42"/>
    <mergeCell ref="C33:E33"/>
    <mergeCell ref="C34:Q34"/>
    <mergeCell ref="C35:Q35"/>
    <mergeCell ref="C36:Q36"/>
    <mergeCell ref="C37:Q37"/>
    <mergeCell ref="B38:Q38"/>
    <mergeCell ref="B39:Q39"/>
    <mergeCell ref="C40:Q40"/>
    <mergeCell ref="D41:K41"/>
    <mergeCell ref="L41:M41"/>
    <mergeCell ref="N41:Q41"/>
    <mergeCell ref="C43:M43"/>
    <mergeCell ref="C44:M44"/>
    <mergeCell ref="B45:Q45"/>
    <mergeCell ref="C46:Q46"/>
    <mergeCell ref="B47:Q47"/>
    <mergeCell ref="P51:Q51"/>
    <mergeCell ref="R48:S48"/>
    <mergeCell ref="T48:U48"/>
    <mergeCell ref="V48:W48"/>
    <mergeCell ref="B49:Q49"/>
    <mergeCell ref="F50:K50"/>
    <mergeCell ref="L50:Q50"/>
    <mergeCell ref="A48:Q48"/>
    <mergeCell ref="F51:G51"/>
    <mergeCell ref="H51:I51"/>
    <mergeCell ref="J51:K51"/>
    <mergeCell ref="L51:M51"/>
    <mergeCell ref="N51:O51"/>
    <mergeCell ref="C52:E52"/>
    <mergeCell ref="C53:E53"/>
    <mergeCell ref="B54:Q54"/>
    <mergeCell ref="A55:W55"/>
    <mergeCell ref="A56:W56"/>
  </mergeCells>
  <dataValidations count="25">
    <dataValidation type="custom" sqref="Q43:Q44 O43:O44 Q52:Q53 O52:O53 U43:U46 S43:S46">
      <formula1>AND(ISNUMBER(O43),O43&gt;=0,IF(SUM(X41,X44)=0,O43=0,O43&gt;=SUM(X41,X44)))</formula1>
    </dataValidation>
    <dataValidation allowBlank="1" sqref="U48 V52:V54 R7:R41 V7:V37 S31:S32 G54 S48 W31:W32 R43:R50 V39:V40 Q54 Q45:Q51 W48 V43:V49 R52:R54 T52:T54 O54 M43:M51 N26:N54 M54 O45:O51 L26:L54 K54 K34:K51 J26:J54 I54 I34:I51 H26:H54 G26:G32 G34:G51 D26:F54 I26:I32 U31:U32 S8:S12 T8:T37 U8:U12 S19 U19 W19 W26 U26 S26 T39:T40 K26:K32 M26:M32 O26:O32 Q26:Q32 P26:P54 M34:M41 O34:O42 Q34:Q42 T43:T49 D22:D24 C21:C54 E12:Q12 E22:Q23 D12:D13 D15:D17 C11:C19 D19:Q19 C7:Q7 C9 A7:A55 B7:B54"/>
    <dataValidation type="custom" sqref="W13 S13 U13">
      <formula1>AND(ISNUMBER(S13),S13&gt;=0,S13&lt;=S33)</formula1>
    </dataValidation>
    <dataValidation type="custom" sqref="W16">
      <formula1>AND(ISNUMBER(W16),W16&gt;=0,W16&lt;=W$17)</formula1>
    </dataValidation>
    <dataValidation type="custom" sqref="W20">
      <formula1>AND(ISNUMBER(W20),W20&gt;=0,W20&lt;=W8, W20=SUM(W21,W25))</formula1>
    </dataValidation>
    <dataValidation type="custom" sqref="W29">
      <formula1>AND(ISNUMBER(W29),W29=SUM(W27,-W28))</formula1>
    </dataValidation>
    <dataValidation type="custom" sqref="S30 U30">
      <formula1>AND(ISNUMBER(S30))</formula1>
    </dataValidation>
    <dataValidation type="custom" sqref="W34">
      <formula1>AND(ISNUMBER(W34),W34=0)</formula1>
    </dataValidation>
    <dataValidation type="custom" sqref="S39 U39">
      <formula1>AND(ISNUMBER(S39),S39&gt;=0,S39=SUM(S30,S27))</formula1>
    </dataValidation>
    <dataValidation type="custom" sqref="W46 W9">
      <formula1>AND(ISNUMBER(W9),W9&gt;=0,W9&lt;=W8)</formula1>
    </dataValidation>
    <dataValidation type="custom" sqref="W47">
      <formula1>AND(ISNUMBER(W47),W47&gt;=0,W47=W39-W45)</formula1>
    </dataValidation>
    <dataValidation type="custom" sqref="W49">
      <formula1>AND(ISNUMBER(W49),W49&gt;=0,W49=SUM(W52,W53))</formula1>
    </dataValidation>
    <dataValidation type="custom" sqref="W54">
      <formula1>AND(ISNUMBER(W54),W54&gt;=0,W54&lt;=W49)</formula1>
    </dataValidation>
    <dataValidation type="custom" sqref="W39">
      <formula1>AND(ISNUMBER(W39),W39&gt;=0,W39=SUM(W40,W43,W44),W39=SUM(W27,W30))</formula1>
    </dataValidation>
    <dataValidation type="custom" sqref="W30">
      <formula1>AND(ISNUMBER(W30),W30&gt;=0, W30=SUM(W33,W34,W35,W36,W37))</formula1>
    </dataValidation>
    <dataValidation type="custom" sqref="W21">
      <formula1>AND(ISNUMBER(W21),W21&gt;=0,W21=SUM(W22,W23,W24))</formula1>
    </dataValidation>
    <dataValidation type="custom" sqref="W14">
      <formula1>AND(ISNUMBER(W14),W14&gt;=0,W14=SUM(W15,W16))</formula1>
    </dataValidation>
    <dataValidation type="custom" sqref="W11">
      <formula1>AND(ISNUMBER(W11),W11&gt;=0,W11=W33)</formula1>
    </dataValidation>
    <dataValidation type="custom" sqref="W17">
      <formula1>AND(ISNUMBER(W17),W17&gt;=0,W17&lt;=W14)</formula1>
    </dataValidation>
    <dataValidation type="custom" sqref="M42 G52:G53 I52:I53 K52:K53 M52:M53">
      <formula1>AND(ISNUMBER(G42),G42&gt;=0,IF(SUM(Q40,Q43)=0,G42=0,G42&gt;=SUM(Q40,Q43)))</formula1>
    </dataValidation>
    <dataValidation type="custom" sqref="W45 U49 U47 S52:S53 O33 W8 S14:S18 Q33 U40 S49 W27:W28 U20:U25 W15 W18 U14:U18 U33:U37 W33 W52:W53 S33:S37 W35:W37 S27:S28 U52:U53 U27:U28 G33 I33 K33 M33 W40 S20:S25 W22:W25 S40 W10 S47">
      <formula1>AND(ISNUMBER(G8),G8&gt;=0)</formula1>
    </dataValidation>
    <dataValidation type="custom" sqref="W43">
      <formula1>AND(ISNUMBER(W43),W43&gt;=0,IF(SUM(#REF!,#REF!)=0,SUM($Q$46,$S$46)=0,SUM($Q$46,$S$46)&gt;=SUM(#REF!,#REF!)))</formula1>
    </dataValidation>
    <dataValidation type="custom" sqref="W44">
      <formula1>AND(ISNUMBER(W44),W44&gt;=0,IF(SUM($Q$47,$S$47)=0,#REF!=0,SUM($Q$47,$S$47)&gt;=#REF!))</formula1>
    </dataValidation>
    <dataValidation type="custom" sqref="S29 U29">
      <formula1>AND(ISNUMBER(S29),(IF(S29&lt;&gt;0,#REF!&lt;&gt;"",#REF!="")))</formula1>
    </dataValidation>
    <dataValidation type="custom" sqref="S54 U54">
      <formula1>AND(ISNUMBER(S54),S54&gt;=0,IF(SUM(AB52,#REF!)=0,S54=0,S54&gt;=SUM(AB52,#REF!)))</formula1>
    </dataValidation>
  </dataValidations>
  <printOptions horizontalCentered="1" verticalCentered="1"/>
  <pageMargins left="0.25" right="0.25" top="0.5" bottom="0.5" header="0.25" footer="0.25"/>
  <pageSetup scale="70" orientation="portrait" r:id="rId1"/>
  <headerFooter alignWithMargins="0">
    <oddHeader>&amp;L&amp;"Arial"&amp;11STATE OF CALIFORNIA
HEALTH AND HUMAN SERVICES AGENCY&amp;R&amp;"Arial"&amp;11CALIFORNIA DEPARTMENT OF SOCIAL SERVICES
DATA SYSTEMS AND SURVEY DESIGN BUREAU&amp;C&amp;"Arial"&amp;11</oddHeader>
    <oddFooter>&amp;L&amp;"Arial"&amp;11&amp;R&amp;"Arial"&amp;11&amp;C&amp;"Arial"&amp;11&amp;P of 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7">
    <pageSetUpPr fitToPage="1"/>
  </sheetPr>
  <dimension ref="A1:DY64"/>
  <sheetViews>
    <sheetView showGridLines="0" zoomScaleNormal="100" workbookViewId="0"/>
  </sheetViews>
  <sheetFormatPr defaultColWidth="16.5703125" defaultRowHeight="15"/>
  <cols>
    <col min="1" max="1" width="26.42578125" style="145" customWidth="1"/>
    <col min="2" max="124" width="20.7109375" style="136" customWidth="1"/>
    <col min="125" max="125" width="1.7109375" style="116" customWidth="1"/>
    <col min="126" max="126" width="18" style="136" bestFit="1" customWidth="1"/>
    <col min="127" max="127" width="16.5703125" style="137"/>
    <col min="128" max="16384" width="16.5703125" style="136"/>
  </cols>
  <sheetData>
    <row r="1" spans="1:129" s="117" customFormat="1" ht="15.75">
      <c r="A1" s="115" t="s">
        <v>343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116"/>
      <c r="CC1" s="116"/>
      <c r="CD1" s="116"/>
      <c r="CE1" s="116"/>
      <c r="CF1" s="116"/>
      <c r="CG1" s="116"/>
      <c r="CH1" s="116"/>
      <c r="CI1" s="116"/>
      <c r="CJ1" s="116"/>
      <c r="CK1" s="116"/>
      <c r="CL1" s="116"/>
      <c r="CM1" s="116"/>
      <c r="CN1" s="116"/>
      <c r="CO1" s="116"/>
      <c r="CP1" s="116"/>
      <c r="CQ1" s="116"/>
      <c r="CR1" s="116"/>
      <c r="CS1" s="116"/>
      <c r="CT1" s="116"/>
      <c r="CU1" s="116"/>
      <c r="CV1" s="116"/>
      <c r="CW1" s="116"/>
      <c r="CX1" s="116"/>
      <c r="CY1" s="116"/>
      <c r="CZ1" s="116"/>
      <c r="DA1" s="116"/>
      <c r="DB1" s="116"/>
      <c r="DC1" s="116"/>
      <c r="DD1" s="116"/>
      <c r="DE1" s="116"/>
      <c r="DF1" s="116"/>
      <c r="DG1" s="116"/>
      <c r="DH1" s="116"/>
      <c r="DI1" s="116"/>
      <c r="DJ1" s="116"/>
      <c r="DK1" s="116"/>
      <c r="DL1" s="116"/>
      <c r="DM1" s="116"/>
      <c r="DN1" s="116"/>
      <c r="DO1" s="116"/>
      <c r="DP1" s="116"/>
      <c r="DQ1" s="116"/>
      <c r="DR1" s="116"/>
      <c r="DS1" s="116"/>
      <c r="DT1" s="116"/>
      <c r="DU1" s="116"/>
      <c r="DW1" s="118"/>
    </row>
    <row r="2" spans="1:129" s="116" customFormat="1" ht="15.75">
      <c r="A2" s="119"/>
      <c r="B2" s="120" t="s">
        <v>95</v>
      </c>
      <c r="C2" s="120" t="s">
        <v>95</v>
      </c>
      <c r="D2" s="120" t="s">
        <v>95</v>
      </c>
      <c r="E2" s="120" t="s">
        <v>95</v>
      </c>
      <c r="F2" s="120" t="s">
        <v>95</v>
      </c>
      <c r="G2" s="120" t="s">
        <v>95</v>
      </c>
      <c r="H2" s="120" t="s">
        <v>95</v>
      </c>
      <c r="I2" s="120" t="s">
        <v>95</v>
      </c>
      <c r="J2" s="120" t="s">
        <v>95</v>
      </c>
      <c r="K2" s="120" t="s">
        <v>95</v>
      </c>
      <c r="L2" s="120" t="s">
        <v>95</v>
      </c>
      <c r="M2" s="120" t="s">
        <v>95</v>
      </c>
      <c r="N2" s="120" t="s">
        <v>95</v>
      </c>
      <c r="O2" s="120" t="s">
        <v>95</v>
      </c>
      <c r="P2" s="120" t="s">
        <v>95</v>
      </c>
      <c r="Q2" s="120" t="s">
        <v>95</v>
      </c>
      <c r="R2" s="120" t="s">
        <v>95</v>
      </c>
      <c r="S2" s="120" t="s">
        <v>95</v>
      </c>
      <c r="T2" s="120" t="s">
        <v>95</v>
      </c>
      <c r="U2" s="120" t="s">
        <v>95</v>
      </c>
      <c r="V2" s="120" t="s">
        <v>95</v>
      </c>
      <c r="W2" s="120" t="s">
        <v>95</v>
      </c>
      <c r="X2" s="120" t="s">
        <v>96</v>
      </c>
      <c r="Y2" s="120" t="s">
        <v>96</v>
      </c>
      <c r="Z2" s="120" t="s">
        <v>96</v>
      </c>
      <c r="AA2" s="120" t="s">
        <v>96</v>
      </c>
      <c r="AB2" s="120" t="s">
        <v>96</v>
      </c>
      <c r="AC2" s="120" t="s">
        <v>96</v>
      </c>
      <c r="AD2" s="120" t="s">
        <v>96</v>
      </c>
      <c r="AE2" s="120" t="s">
        <v>96</v>
      </c>
      <c r="AF2" s="120" t="s">
        <v>96</v>
      </c>
      <c r="AG2" s="120" t="s">
        <v>96</v>
      </c>
      <c r="AH2" s="120" t="s">
        <v>96</v>
      </c>
      <c r="AI2" s="120" t="s">
        <v>96</v>
      </c>
      <c r="AJ2" s="120" t="s">
        <v>96</v>
      </c>
      <c r="AK2" s="120" t="s">
        <v>96</v>
      </c>
      <c r="AL2" s="120" t="s">
        <v>96</v>
      </c>
      <c r="AM2" s="120" t="s">
        <v>96</v>
      </c>
      <c r="AN2" s="120" t="s">
        <v>96</v>
      </c>
      <c r="AO2" s="120" t="s">
        <v>96</v>
      </c>
      <c r="AP2" s="120" t="s">
        <v>97</v>
      </c>
      <c r="AQ2" s="120" t="s">
        <v>97</v>
      </c>
      <c r="AR2" s="120" t="s">
        <v>97</v>
      </c>
      <c r="AS2" s="120" t="s">
        <v>97</v>
      </c>
      <c r="AT2" s="120" t="s">
        <v>97</v>
      </c>
      <c r="AU2" s="120" t="s">
        <v>97</v>
      </c>
      <c r="AV2" s="120" t="s">
        <v>97</v>
      </c>
      <c r="AW2" s="120" t="s">
        <v>97</v>
      </c>
      <c r="AX2" s="120" t="s">
        <v>97</v>
      </c>
      <c r="AY2" s="120" t="s">
        <v>97</v>
      </c>
      <c r="AZ2" s="120" t="s">
        <v>97</v>
      </c>
      <c r="BA2" s="120" t="s">
        <v>97</v>
      </c>
      <c r="BB2" s="120" t="s">
        <v>97</v>
      </c>
      <c r="BC2" s="120" t="s">
        <v>97</v>
      </c>
      <c r="BD2" s="120" t="s">
        <v>97</v>
      </c>
      <c r="BE2" s="120" t="s">
        <v>97</v>
      </c>
      <c r="BF2" s="120" t="s">
        <v>97</v>
      </c>
      <c r="BG2" s="120" t="s">
        <v>97</v>
      </c>
      <c r="BH2" s="120" t="s">
        <v>97</v>
      </c>
      <c r="BI2" s="120" t="s">
        <v>97</v>
      </c>
      <c r="BJ2" s="120" t="s">
        <v>97</v>
      </c>
      <c r="BK2" s="120" t="s">
        <v>97</v>
      </c>
      <c r="BL2" s="120" t="s">
        <v>97</v>
      </c>
      <c r="BM2" s="120" t="s">
        <v>97</v>
      </c>
      <c r="BN2" s="120" t="s">
        <v>97</v>
      </c>
      <c r="BO2" s="120" t="s">
        <v>97</v>
      </c>
      <c r="BP2" s="120" t="s">
        <v>97</v>
      </c>
      <c r="BQ2" s="120" t="s">
        <v>97</v>
      </c>
      <c r="BR2" s="120" t="s">
        <v>97</v>
      </c>
      <c r="BS2" s="120" t="s">
        <v>97</v>
      </c>
      <c r="BT2" s="120" t="s">
        <v>97</v>
      </c>
      <c r="BU2" s="120" t="s">
        <v>97</v>
      </c>
      <c r="BV2" s="120" t="s">
        <v>97</v>
      </c>
      <c r="BW2" s="120" t="s">
        <v>97</v>
      </c>
      <c r="BX2" s="120" t="s">
        <v>97</v>
      </c>
      <c r="BY2" s="120" t="s">
        <v>97</v>
      </c>
      <c r="BZ2" s="120" t="s">
        <v>97</v>
      </c>
      <c r="CA2" s="120" t="s">
        <v>97</v>
      </c>
      <c r="CB2" s="120" t="s">
        <v>97</v>
      </c>
      <c r="CC2" s="120" t="s">
        <v>97</v>
      </c>
      <c r="CD2" s="120" t="s">
        <v>97</v>
      </c>
      <c r="CE2" s="120" t="s">
        <v>97</v>
      </c>
      <c r="CF2" s="120" t="s">
        <v>97</v>
      </c>
      <c r="CG2" s="120" t="s">
        <v>97</v>
      </c>
      <c r="CH2" s="120" t="s">
        <v>97</v>
      </c>
      <c r="CI2" s="120" t="s">
        <v>97</v>
      </c>
      <c r="CJ2" s="120" t="s">
        <v>97</v>
      </c>
      <c r="CK2" s="120" t="s">
        <v>97</v>
      </c>
      <c r="CL2" s="120" t="s">
        <v>97</v>
      </c>
      <c r="CM2" s="120" t="s">
        <v>97</v>
      </c>
      <c r="CN2" s="120" t="s">
        <v>97</v>
      </c>
      <c r="CO2" s="120" t="s">
        <v>97</v>
      </c>
      <c r="CP2" s="120" t="s">
        <v>97</v>
      </c>
      <c r="CQ2" s="120" t="s">
        <v>97</v>
      </c>
      <c r="CR2" s="120" t="s">
        <v>97</v>
      </c>
      <c r="CS2" s="120" t="s">
        <v>97</v>
      </c>
      <c r="CT2" s="120" t="s">
        <v>97</v>
      </c>
      <c r="CU2" s="120" t="s">
        <v>97</v>
      </c>
      <c r="CV2" s="120" t="s">
        <v>97</v>
      </c>
      <c r="CW2" s="120" t="s">
        <v>98</v>
      </c>
      <c r="CX2" s="120" t="s">
        <v>98</v>
      </c>
      <c r="CY2" s="120" t="s">
        <v>98</v>
      </c>
      <c r="CZ2" s="120" t="s">
        <v>98</v>
      </c>
      <c r="DA2" s="120" t="s">
        <v>98</v>
      </c>
      <c r="DB2" s="120" t="s">
        <v>98</v>
      </c>
      <c r="DC2" s="120" t="s">
        <v>98</v>
      </c>
      <c r="DD2" s="120" t="s">
        <v>98</v>
      </c>
      <c r="DE2" s="120" t="s">
        <v>98</v>
      </c>
      <c r="DF2" s="120" t="s">
        <v>98</v>
      </c>
      <c r="DG2" s="120" t="s">
        <v>98</v>
      </c>
      <c r="DH2" s="120" t="s">
        <v>98</v>
      </c>
      <c r="DI2" s="120" t="s">
        <v>98</v>
      </c>
      <c r="DJ2" s="120" t="s">
        <v>98</v>
      </c>
      <c r="DK2" s="120" t="s">
        <v>98</v>
      </c>
      <c r="DL2" s="120" t="s">
        <v>98</v>
      </c>
      <c r="DM2" s="120" t="s">
        <v>98</v>
      </c>
      <c r="DN2" s="120" t="s">
        <v>98</v>
      </c>
      <c r="DO2" s="120" t="s">
        <v>98</v>
      </c>
      <c r="DP2" s="120" t="s">
        <v>98</v>
      </c>
      <c r="DQ2" s="120" t="s">
        <v>98</v>
      </c>
      <c r="DR2" s="120" t="s">
        <v>98</v>
      </c>
      <c r="DS2" s="120" t="s">
        <v>98</v>
      </c>
      <c r="DT2" s="120" t="s">
        <v>98</v>
      </c>
    </row>
    <row r="3" spans="1:129" s="116" customFormat="1" ht="31.5">
      <c r="A3" s="119"/>
      <c r="B3" s="121"/>
      <c r="C3" s="122"/>
      <c r="D3" s="122"/>
      <c r="E3" s="123"/>
      <c r="F3" s="124" t="s">
        <v>22</v>
      </c>
      <c r="G3" s="124" t="s">
        <v>23</v>
      </c>
      <c r="H3" s="124" t="s">
        <v>99</v>
      </c>
      <c r="I3" s="125" t="s">
        <v>22</v>
      </c>
      <c r="J3" s="125" t="s">
        <v>23</v>
      </c>
      <c r="K3" s="125" t="s">
        <v>99</v>
      </c>
      <c r="L3" s="125" t="s">
        <v>22</v>
      </c>
      <c r="M3" s="125" t="s">
        <v>23</v>
      </c>
      <c r="N3" s="125" t="s">
        <v>99</v>
      </c>
      <c r="O3" s="125" t="s">
        <v>22</v>
      </c>
      <c r="P3" s="125" t="s">
        <v>23</v>
      </c>
      <c r="Q3" s="125" t="s">
        <v>99</v>
      </c>
      <c r="R3" s="125" t="s">
        <v>22</v>
      </c>
      <c r="S3" s="125" t="s">
        <v>23</v>
      </c>
      <c r="T3" s="125" t="s">
        <v>99</v>
      </c>
      <c r="U3" s="125" t="s">
        <v>22</v>
      </c>
      <c r="V3" s="125" t="s">
        <v>23</v>
      </c>
      <c r="W3" s="125" t="s">
        <v>99</v>
      </c>
      <c r="X3" s="125" t="s">
        <v>22</v>
      </c>
      <c r="Y3" s="125" t="s">
        <v>23</v>
      </c>
      <c r="Z3" s="126" t="s">
        <v>99</v>
      </c>
      <c r="AA3" s="126" t="s">
        <v>22</v>
      </c>
      <c r="AB3" s="126" t="s">
        <v>23</v>
      </c>
      <c r="AC3" s="126" t="s">
        <v>99</v>
      </c>
      <c r="AD3" s="126" t="s">
        <v>22</v>
      </c>
      <c r="AE3" s="126" t="s">
        <v>23</v>
      </c>
      <c r="AF3" s="125" t="s">
        <v>99</v>
      </c>
      <c r="AG3" s="125" t="s">
        <v>22</v>
      </c>
      <c r="AH3" s="125" t="s">
        <v>23</v>
      </c>
      <c r="AI3" s="125" t="s">
        <v>99</v>
      </c>
      <c r="AJ3" s="125" t="s">
        <v>22</v>
      </c>
      <c r="AK3" s="125" t="s">
        <v>23</v>
      </c>
      <c r="AL3" s="125" t="s">
        <v>99</v>
      </c>
      <c r="AM3" s="125" t="s">
        <v>22</v>
      </c>
      <c r="AN3" s="125" t="s">
        <v>23</v>
      </c>
      <c r="AO3" s="125" t="s">
        <v>99</v>
      </c>
      <c r="AP3" s="125" t="s">
        <v>22</v>
      </c>
      <c r="AQ3" s="125" t="s">
        <v>23</v>
      </c>
      <c r="AR3" s="125" t="s">
        <v>99</v>
      </c>
      <c r="AS3" s="125" t="s">
        <v>22</v>
      </c>
      <c r="AT3" s="125" t="s">
        <v>23</v>
      </c>
      <c r="AU3" s="125" t="s">
        <v>99</v>
      </c>
      <c r="AV3" s="125" t="s">
        <v>22</v>
      </c>
      <c r="AW3" s="125" t="s">
        <v>23</v>
      </c>
      <c r="AX3" s="125" t="s">
        <v>99</v>
      </c>
      <c r="AY3" s="125" t="s">
        <v>22</v>
      </c>
      <c r="AZ3" s="125" t="s">
        <v>23</v>
      </c>
      <c r="BA3" s="125" t="s">
        <v>99</v>
      </c>
      <c r="BB3" s="125" t="s">
        <v>100</v>
      </c>
      <c r="BC3" s="125" t="s">
        <v>101</v>
      </c>
      <c r="BD3" s="125" t="s">
        <v>102</v>
      </c>
      <c r="BE3" s="125" t="s">
        <v>103</v>
      </c>
      <c r="BF3" s="125" t="s">
        <v>104</v>
      </c>
      <c r="BG3" s="125" t="s">
        <v>105</v>
      </c>
      <c r="BH3" s="125" t="s">
        <v>22</v>
      </c>
      <c r="BI3" s="126" t="s">
        <v>23</v>
      </c>
      <c r="BJ3" s="126" t="s">
        <v>99</v>
      </c>
      <c r="BK3" s="126" t="s">
        <v>22</v>
      </c>
      <c r="BL3" s="126" t="s">
        <v>23</v>
      </c>
      <c r="BM3" s="126" t="s">
        <v>99</v>
      </c>
      <c r="BN3" s="126" t="s">
        <v>22</v>
      </c>
      <c r="BO3" s="126" t="s">
        <v>23</v>
      </c>
      <c r="BP3" s="126" t="s">
        <v>99</v>
      </c>
      <c r="BQ3" s="126" t="s">
        <v>22</v>
      </c>
      <c r="BR3" s="126" t="s">
        <v>23</v>
      </c>
      <c r="BS3" s="126" t="s">
        <v>99</v>
      </c>
      <c r="BT3" s="126" t="s">
        <v>22</v>
      </c>
      <c r="BU3" s="126" t="s">
        <v>23</v>
      </c>
      <c r="BV3" s="126" t="s">
        <v>99</v>
      </c>
      <c r="BW3" s="125" t="s">
        <v>22</v>
      </c>
      <c r="BX3" s="125" t="s">
        <v>23</v>
      </c>
      <c r="BY3" s="125" t="s">
        <v>99</v>
      </c>
      <c r="BZ3" s="125" t="s">
        <v>22</v>
      </c>
      <c r="CA3" s="125" t="s">
        <v>23</v>
      </c>
      <c r="CB3" s="126" t="s">
        <v>99</v>
      </c>
      <c r="CC3" s="126" t="s">
        <v>74</v>
      </c>
      <c r="CD3" s="126" t="s">
        <v>106</v>
      </c>
      <c r="CE3" s="126" t="s">
        <v>107</v>
      </c>
      <c r="CF3" s="126" t="s">
        <v>22</v>
      </c>
      <c r="CG3" s="126" t="s">
        <v>23</v>
      </c>
      <c r="CH3" s="126" t="s">
        <v>99</v>
      </c>
      <c r="CI3" s="126" t="s">
        <v>106</v>
      </c>
      <c r="CJ3" s="126" t="s">
        <v>107</v>
      </c>
      <c r="CK3" s="126" t="s">
        <v>22</v>
      </c>
      <c r="CL3" s="126" t="s">
        <v>23</v>
      </c>
      <c r="CM3" s="126" t="s">
        <v>99</v>
      </c>
      <c r="CN3" s="126" t="s">
        <v>22</v>
      </c>
      <c r="CO3" s="126" t="s">
        <v>23</v>
      </c>
      <c r="CP3" s="126" t="s">
        <v>99</v>
      </c>
      <c r="CQ3" s="126" t="s">
        <v>22</v>
      </c>
      <c r="CR3" s="126" t="s">
        <v>23</v>
      </c>
      <c r="CS3" s="126" t="s">
        <v>99</v>
      </c>
      <c r="CT3" s="126" t="s">
        <v>22</v>
      </c>
      <c r="CU3" s="126" t="s">
        <v>23</v>
      </c>
      <c r="CV3" s="126" t="s">
        <v>99</v>
      </c>
      <c r="CW3" s="125" t="s">
        <v>22</v>
      </c>
      <c r="CX3" s="125" t="s">
        <v>23</v>
      </c>
      <c r="CY3" s="125" t="s">
        <v>99</v>
      </c>
      <c r="CZ3" s="125" t="s">
        <v>108</v>
      </c>
      <c r="DA3" s="125" t="s">
        <v>109</v>
      </c>
      <c r="DB3" s="126" t="s">
        <v>110</v>
      </c>
      <c r="DC3" s="126" t="s">
        <v>111</v>
      </c>
      <c r="DD3" s="125" t="s">
        <v>112</v>
      </c>
      <c r="DE3" s="125" t="s">
        <v>113</v>
      </c>
      <c r="DF3" s="125" t="s">
        <v>22</v>
      </c>
      <c r="DG3" s="125" t="s">
        <v>23</v>
      </c>
      <c r="DH3" s="125" t="s">
        <v>99</v>
      </c>
      <c r="DI3" s="125" t="s">
        <v>108</v>
      </c>
      <c r="DJ3" s="125" t="s">
        <v>109</v>
      </c>
      <c r="DK3" s="126" t="s">
        <v>110</v>
      </c>
      <c r="DL3" s="126" t="s">
        <v>111</v>
      </c>
      <c r="DM3" s="125" t="s">
        <v>112</v>
      </c>
      <c r="DN3" s="125" t="s">
        <v>113</v>
      </c>
      <c r="DO3" s="125" t="s">
        <v>22</v>
      </c>
      <c r="DP3" s="125" t="s">
        <v>23</v>
      </c>
      <c r="DQ3" s="125" t="s">
        <v>99</v>
      </c>
      <c r="DR3" s="125" t="s">
        <v>22</v>
      </c>
      <c r="DS3" s="125" t="s">
        <v>23</v>
      </c>
      <c r="DT3" s="125" t="s">
        <v>99</v>
      </c>
    </row>
    <row r="4" spans="1:129" s="116" customFormat="1" ht="141.75">
      <c r="A4" s="127" t="s">
        <v>1</v>
      </c>
      <c r="B4" s="128" t="s">
        <v>114</v>
      </c>
      <c r="C4" s="128" t="s">
        <v>115</v>
      </c>
      <c r="D4" s="128" t="s">
        <v>116</v>
      </c>
      <c r="E4" s="128" t="s">
        <v>117</v>
      </c>
      <c r="F4" s="128" t="s">
        <v>118</v>
      </c>
      <c r="G4" s="128" t="s">
        <v>118</v>
      </c>
      <c r="H4" s="128" t="s">
        <v>118</v>
      </c>
      <c r="I4" s="128" t="s">
        <v>119</v>
      </c>
      <c r="J4" s="128" t="s">
        <v>119</v>
      </c>
      <c r="K4" s="128" t="s">
        <v>119</v>
      </c>
      <c r="L4" s="128" t="s">
        <v>120</v>
      </c>
      <c r="M4" s="128" t="s">
        <v>120</v>
      </c>
      <c r="N4" s="128" t="s">
        <v>120</v>
      </c>
      <c r="O4" s="128" t="s">
        <v>121</v>
      </c>
      <c r="P4" s="128" t="s">
        <v>121</v>
      </c>
      <c r="Q4" s="128" t="s">
        <v>121</v>
      </c>
      <c r="R4" s="128" t="s">
        <v>122</v>
      </c>
      <c r="S4" s="128" t="s">
        <v>122</v>
      </c>
      <c r="T4" s="128" t="s">
        <v>122</v>
      </c>
      <c r="U4" s="128" t="s">
        <v>123</v>
      </c>
      <c r="V4" s="128" t="s">
        <v>123</v>
      </c>
      <c r="W4" s="128" t="s">
        <v>123</v>
      </c>
      <c r="X4" s="128" t="s">
        <v>124</v>
      </c>
      <c r="Y4" s="128" t="s">
        <v>124</v>
      </c>
      <c r="Z4" s="128" t="s">
        <v>124</v>
      </c>
      <c r="AA4" s="128" t="s">
        <v>125</v>
      </c>
      <c r="AB4" s="128" t="s">
        <v>125</v>
      </c>
      <c r="AC4" s="128" t="s">
        <v>125</v>
      </c>
      <c r="AD4" s="128" t="s">
        <v>126</v>
      </c>
      <c r="AE4" s="128" t="s">
        <v>126</v>
      </c>
      <c r="AF4" s="128" t="s">
        <v>126</v>
      </c>
      <c r="AG4" s="128" t="s">
        <v>127</v>
      </c>
      <c r="AH4" s="128" t="s">
        <v>127</v>
      </c>
      <c r="AI4" s="128" t="s">
        <v>127</v>
      </c>
      <c r="AJ4" s="128" t="s">
        <v>128</v>
      </c>
      <c r="AK4" s="128" t="s">
        <v>128</v>
      </c>
      <c r="AL4" s="128" t="s">
        <v>128</v>
      </c>
      <c r="AM4" s="128" t="s">
        <v>129</v>
      </c>
      <c r="AN4" s="128" t="s">
        <v>129</v>
      </c>
      <c r="AO4" s="128" t="s">
        <v>129</v>
      </c>
      <c r="AP4" s="128" t="s">
        <v>130</v>
      </c>
      <c r="AQ4" s="128" t="s">
        <v>130</v>
      </c>
      <c r="AR4" s="128" t="s">
        <v>130</v>
      </c>
      <c r="AS4" s="128" t="s">
        <v>131</v>
      </c>
      <c r="AT4" s="128" t="s">
        <v>131</v>
      </c>
      <c r="AU4" s="128" t="s">
        <v>131</v>
      </c>
      <c r="AV4" s="128" t="s">
        <v>132</v>
      </c>
      <c r="AW4" s="128" t="s">
        <v>132</v>
      </c>
      <c r="AX4" s="128" t="s">
        <v>132</v>
      </c>
      <c r="AY4" s="128" t="s">
        <v>133</v>
      </c>
      <c r="AZ4" s="128" t="s">
        <v>133</v>
      </c>
      <c r="BA4" s="128" t="s">
        <v>133</v>
      </c>
      <c r="BB4" s="128" t="s">
        <v>134</v>
      </c>
      <c r="BC4" s="128" t="s">
        <v>134</v>
      </c>
      <c r="BD4" s="128" t="s">
        <v>134</v>
      </c>
      <c r="BE4" s="128" t="s">
        <v>134</v>
      </c>
      <c r="BF4" s="128" t="s">
        <v>134</v>
      </c>
      <c r="BG4" s="128" t="s">
        <v>134</v>
      </c>
      <c r="BH4" s="128" t="s">
        <v>134</v>
      </c>
      <c r="BI4" s="128" t="s">
        <v>134</v>
      </c>
      <c r="BJ4" s="128" t="s">
        <v>134</v>
      </c>
      <c r="BK4" s="128" t="s">
        <v>135</v>
      </c>
      <c r="BL4" s="128" t="s">
        <v>135</v>
      </c>
      <c r="BM4" s="128" t="s">
        <v>135</v>
      </c>
      <c r="BN4" s="128" t="s">
        <v>136</v>
      </c>
      <c r="BO4" s="128" t="s">
        <v>136</v>
      </c>
      <c r="BP4" s="128" t="s">
        <v>136</v>
      </c>
      <c r="BQ4" s="128" t="s">
        <v>137</v>
      </c>
      <c r="BR4" s="128" t="s">
        <v>137</v>
      </c>
      <c r="BS4" s="128" t="s">
        <v>137</v>
      </c>
      <c r="BT4" s="128" t="s">
        <v>138</v>
      </c>
      <c r="BU4" s="128" t="s">
        <v>138</v>
      </c>
      <c r="BV4" s="128" t="s">
        <v>138</v>
      </c>
      <c r="BW4" s="128" t="s">
        <v>139</v>
      </c>
      <c r="BX4" s="128" t="s">
        <v>139</v>
      </c>
      <c r="BY4" s="128" t="s">
        <v>139</v>
      </c>
      <c r="BZ4" s="128" t="s">
        <v>140</v>
      </c>
      <c r="CA4" s="128" t="s">
        <v>140</v>
      </c>
      <c r="CB4" s="128" t="s">
        <v>140</v>
      </c>
      <c r="CC4" s="128" t="s">
        <v>141</v>
      </c>
      <c r="CD4" s="128" t="s">
        <v>142</v>
      </c>
      <c r="CE4" s="128" t="s">
        <v>142</v>
      </c>
      <c r="CF4" s="128" t="s">
        <v>142</v>
      </c>
      <c r="CG4" s="128" t="s">
        <v>142</v>
      </c>
      <c r="CH4" s="128" t="s">
        <v>142</v>
      </c>
      <c r="CI4" s="128" t="s">
        <v>143</v>
      </c>
      <c r="CJ4" s="128" t="s">
        <v>143</v>
      </c>
      <c r="CK4" s="128" t="s">
        <v>143</v>
      </c>
      <c r="CL4" s="128" t="s">
        <v>143</v>
      </c>
      <c r="CM4" s="128" t="s">
        <v>143</v>
      </c>
      <c r="CN4" s="128" t="s">
        <v>144</v>
      </c>
      <c r="CO4" s="128" t="s">
        <v>144</v>
      </c>
      <c r="CP4" s="128" t="s">
        <v>144</v>
      </c>
      <c r="CQ4" s="128" t="s">
        <v>145</v>
      </c>
      <c r="CR4" s="128" t="s">
        <v>145</v>
      </c>
      <c r="CS4" s="128" t="s">
        <v>145</v>
      </c>
      <c r="CT4" s="128" t="s">
        <v>146</v>
      </c>
      <c r="CU4" s="128" t="s">
        <v>146</v>
      </c>
      <c r="CV4" s="128" t="s">
        <v>146</v>
      </c>
      <c r="CW4" s="128" t="s">
        <v>147</v>
      </c>
      <c r="CX4" s="128" t="s">
        <v>147</v>
      </c>
      <c r="CY4" s="128" t="s">
        <v>147</v>
      </c>
      <c r="CZ4" s="128" t="s">
        <v>148</v>
      </c>
      <c r="DA4" s="128" t="s">
        <v>148</v>
      </c>
      <c r="DB4" s="128" t="s">
        <v>148</v>
      </c>
      <c r="DC4" s="128" t="s">
        <v>148</v>
      </c>
      <c r="DD4" s="128" t="s">
        <v>148</v>
      </c>
      <c r="DE4" s="128" t="s">
        <v>148</v>
      </c>
      <c r="DF4" s="128" t="s">
        <v>148</v>
      </c>
      <c r="DG4" s="128" t="s">
        <v>148</v>
      </c>
      <c r="DH4" s="128" t="s">
        <v>148</v>
      </c>
      <c r="DI4" s="128" t="s">
        <v>149</v>
      </c>
      <c r="DJ4" s="128" t="s">
        <v>149</v>
      </c>
      <c r="DK4" s="128" t="s">
        <v>149</v>
      </c>
      <c r="DL4" s="128" t="s">
        <v>149</v>
      </c>
      <c r="DM4" s="128" t="s">
        <v>149</v>
      </c>
      <c r="DN4" s="128" t="s">
        <v>149</v>
      </c>
      <c r="DO4" s="128" t="s">
        <v>149</v>
      </c>
      <c r="DP4" s="128" t="s">
        <v>149</v>
      </c>
      <c r="DQ4" s="128" t="s">
        <v>149</v>
      </c>
      <c r="DR4" s="128" t="s">
        <v>150</v>
      </c>
      <c r="DS4" s="128" t="s">
        <v>150</v>
      </c>
      <c r="DT4" s="128" t="s">
        <v>150</v>
      </c>
    </row>
    <row r="5" spans="1:129" s="131" customFormat="1">
      <c r="A5" s="129" t="s">
        <v>151</v>
      </c>
      <c r="B5" s="130" t="s">
        <v>152</v>
      </c>
      <c r="C5" s="130" t="s">
        <v>153</v>
      </c>
      <c r="D5" s="130" t="s">
        <v>154</v>
      </c>
      <c r="E5" s="130" t="s">
        <v>155</v>
      </c>
      <c r="F5" s="130" t="s">
        <v>156</v>
      </c>
      <c r="G5" s="130" t="s">
        <v>157</v>
      </c>
      <c r="H5" s="130" t="s">
        <v>158</v>
      </c>
      <c r="I5" s="130" t="s">
        <v>159</v>
      </c>
      <c r="J5" s="130" t="s">
        <v>160</v>
      </c>
      <c r="K5" s="130" t="s">
        <v>161</v>
      </c>
      <c r="L5" s="130" t="s">
        <v>162</v>
      </c>
      <c r="M5" s="130" t="s">
        <v>163</v>
      </c>
      <c r="N5" s="130" t="s">
        <v>164</v>
      </c>
      <c r="O5" s="130" t="s">
        <v>165</v>
      </c>
      <c r="P5" s="130" t="s">
        <v>166</v>
      </c>
      <c r="Q5" s="130" t="s">
        <v>167</v>
      </c>
      <c r="R5" s="130" t="s">
        <v>168</v>
      </c>
      <c r="S5" s="130" t="s">
        <v>169</v>
      </c>
      <c r="T5" s="130" t="s">
        <v>170</v>
      </c>
      <c r="U5" s="130" t="s">
        <v>171</v>
      </c>
      <c r="V5" s="130" t="s">
        <v>172</v>
      </c>
      <c r="W5" s="130" t="s">
        <v>173</v>
      </c>
      <c r="X5" s="130" t="s">
        <v>174</v>
      </c>
      <c r="Y5" s="130" t="s">
        <v>175</v>
      </c>
      <c r="Z5" s="130" t="s">
        <v>176</v>
      </c>
      <c r="AA5" s="130" t="s">
        <v>177</v>
      </c>
      <c r="AB5" s="130" t="s">
        <v>178</v>
      </c>
      <c r="AC5" s="130" t="s">
        <v>179</v>
      </c>
      <c r="AD5" s="130" t="s">
        <v>180</v>
      </c>
      <c r="AE5" s="130" t="s">
        <v>181</v>
      </c>
      <c r="AF5" s="130" t="s">
        <v>182</v>
      </c>
      <c r="AG5" s="130" t="s">
        <v>183</v>
      </c>
      <c r="AH5" s="130" t="s">
        <v>184</v>
      </c>
      <c r="AI5" s="130" t="s">
        <v>185</v>
      </c>
      <c r="AJ5" s="130" t="s">
        <v>186</v>
      </c>
      <c r="AK5" s="130" t="s">
        <v>187</v>
      </c>
      <c r="AL5" s="130" t="s">
        <v>188</v>
      </c>
      <c r="AM5" s="130" t="s">
        <v>189</v>
      </c>
      <c r="AN5" s="130" t="s">
        <v>190</v>
      </c>
      <c r="AO5" s="130" t="s">
        <v>191</v>
      </c>
      <c r="AP5" s="130" t="s">
        <v>192</v>
      </c>
      <c r="AQ5" s="130" t="s">
        <v>193</v>
      </c>
      <c r="AR5" s="130" t="s">
        <v>194</v>
      </c>
      <c r="AS5" s="130" t="s">
        <v>195</v>
      </c>
      <c r="AT5" s="130" t="s">
        <v>196</v>
      </c>
      <c r="AU5" s="130" t="s">
        <v>197</v>
      </c>
      <c r="AV5" s="130" t="s">
        <v>198</v>
      </c>
      <c r="AW5" s="130" t="s">
        <v>199</v>
      </c>
      <c r="AX5" s="130" t="s">
        <v>200</v>
      </c>
      <c r="AY5" s="130" t="s">
        <v>201</v>
      </c>
      <c r="AZ5" s="130" t="s">
        <v>202</v>
      </c>
      <c r="BA5" s="130" t="s">
        <v>203</v>
      </c>
      <c r="BB5" s="130" t="s">
        <v>204</v>
      </c>
      <c r="BC5" s="130" t="s">
        <v>205</v>
      </c>
      <c r="BD5" s="130" t="s">
        <v>206</v>
      </c>
      <c r="BE5" s="130" t="s">
        <v>207</v>
      </c>
      <c r="BF5" s="130" t="s">
        <v>208</v>
      </c>
      <c r="BG5" s="130" t="s">
        <v>209</v>
      </c>
      <c r="BH5" s="130" t="s">
        <v>210</v>
      </c>
      <c r="BI5" s="130" t="s">
        <v>211</v>
      </c>
      <c r="BJ5" s="130" t="s">
        <v>212</v>
      </c>
      <c r="BK5" s="130" t="s">
        <v>213</v>
      </c>
      <c r="BL5" s="130" t="s">
        <v>214</v>
      </c>
      <c r="BM5" s="130" t="s">
        <v>215</v>
      </c>
      <c r="BN5" s="130" t="s">
        <v>216</v>
      </c>
      <c r="BO5" s="130" t="s">
        <v>217</v>
      </c>
      <c r="BP5" s="130" t="s">
        <v>218</v>
      </c>
      <c r="BQ5" s="130" t="s">
        <v>219</v>
      </c>
      <c r="BR5" s="130" t="s">
        <v>220</v>
      </c>
      <c r="BS5" s="130" t="s">
        <v>221</v>
      </c>
      <c r="BT5" s="130" t="s">
        <v>222</v>
      </c>
      <c r="BU5" s="130" t="s">
        <v>223</v>
      </c>
      <c r="BV5" s="130" t="s">
        <v>224</v>
      </c>
      <c r="BW5" s="130" t="s">
        <v>225</v>
      </c>
      <c r="BX5" s="130" t="s">
        <v>226</v>
      </c>
      <c r="BY5" s="130" t="s">
        <v>227</v>
      </c>
      <c r="BZ5" s="130" t="s">
        <v>228</v>
      </c>
      <c r="CA5" s="130" t="s">
        <v>229</v>
      </c>
      <c r="CB5" s="130" t="s">
        <v>230</v>
      </c>
      <c r="CC5" s="130" t="s">
        <v>231</v>
      </c>
      <c r="CD5" s="130" t="s">
        <v>232</v>
      </c>
      <c r="CE5" s="130" t="s">
        <v>233</v>
      </c>
      <c r="CF5" s="130" t="s">
        <v>234</v>
      </c>
      <c r="CG5" s="130" t="s">
        <v>235</v>
      </c>
      <c r="CH5" s="130" t="s">
        <v>236</v>
      </c>
      <c r="CI5" s="130" t="s">
        <v>237</v>
      </c>
      <c r="CJ5" s="130" t="s">
        <v>238</v>
      </c>
      <c r="CK5" s="130" t="s">
        <v>239</v>
      </c>
      <c r="CL5" s="130" t="s">
        <v>240</v>
      </c>
      <c r="CM5" s="130" t="s">
        <v>241</v>
      </c>
      <c r="CN5" s="130" t="s">
        <v>242</v>
      </c>
      <c r="CO5" s="130" t="s">
        <v>243</v>
      </c>
      <c r="CP5" s="130" t="s">
        <v>244</v>
      </c>
      <c r="CQ5" s="130" t="s">
        <v>245</v>
      </c>
      <c r="CR5" s="130" t="s">
        <v>246</v>
      </c>
      <c r="CS5" s="130" t="s">
        <v>247</v>
      </c>
      <c r="CT5" s="130" t="s">
        <v>248</v>
      </c>
      <c r="CU5" s="130" t="s">
        <v>249</v>
      </c>
      <c r="CV5" s="130" t="s">
        <v>250</v>
      </c>
      <c r="CW5" s="130" t="s">
        <v>251</v>
      </c>
      <c r="CX5" s="130" t="s">
        <v>252</v>
      </c>
      <c r="CY5" s="130" t="s">
        <v>253</v>
      </c>
      <c r="CZ5" s="130" t="s">
        <v>254</v>
      </c>
      <c r="DA5" s="130" t="s">
        <v>255</v>
      </c>
      <c r="DB5" s="130" t="s">
        <v>256</v>
      </c>
      <c r="DC5" s="130" t="s">
        <v>257</v>
      </c>
      <c r="DD5" s="130" t="s">
        <v>258</v>
      </c>
      <c r="DE5" s="130" t="s">
        <v>259</v>
      </c>
      <c r="DF5" s="130" t="s">
        <v>260</v>
      </c>
      <c r="DG5" s="130" t="s">
        <v>261</v>
      </c>
      <c r="DH5" s="130" t="s">
        <v>262</v>
      </c>
      <c r="DI5" s="130" t="s">
        <v>263</v>
      </c>
      <c r="DJ5" s="130" t="s">
        <v>264</v>
      </c>
      <c r="DK5" s="130" t="s">
        <v>265</v>
      </c>
      <c r="DL5" s="130" t="s">
        <v>266</v>
      </c>
      <c r="DM5" s="130" t="s">
        <v>267</v>
      </c>
      <c r="DN5" s="130" t="s">
        <v>268</v>
      </c>
      <c r="DO5" s="130" t="s">
        <v>269</v>
      </c>
      <c r="DP5" s="130" t="s">
        <v>270</v>
      </c>
      <c r="DQ5" s="130" t="s">
        <v>271</v>
      </c>
      <c r="DR5" s="130" t="s">
        <v>272</v>
      </c>
      <c r="DS5" s="130" t="s">
        <v>273</v>
      </c>
      <c r="DT5" s="130" t="s">
        <v>274</v>
      </c>
      <c r="DU5" s="116"/>
      <c r="DW5" s="132"/>
    </row>
    <row r="6" spans="1:129" ht="15.75">
      <c r="A6" s="133" t="s">
        <v>275</v>
      </c>
      <c r="B6" s="134" t="s">
        <v>335</v>
      </c>
      <c r="C6" s="134" t="s">
        <v>335</v>
      </c>
      <c r="D6" s="134" t="s">
        <v>335</v>
      </c>
      <c r="E6" s="134" t="s">
        <v>335</v>
      </c>
      <c r="F6" s="134" t="s">
        <v>335</v>
      </c>
      <c r="G6" s="134" t="s">
        <v>335</v>
      </c>
      <c r="H6" s="134" t="s">
        <v>335</v>
      </c>
      <c r="I6" s="134" t="s">
        <v>335</v>
      </c>
      <c r="J6" s="134" t="s">
        <v>335</v>
      </c>
      <c r="K6" s="134" t="s">
        <v>335</v>
      </c>
      <c r="L6" s="134" t="s">
        <v>335</v>
      </c>
      <c r="M6" s="134" t="s">
        <v>335</v>
      </c>
      <c r="N6" s="134" t="s">
        <v>335</v>
      </c>
      <c r="O6" s="134" t="s">
        <v>335</v>
      </c>
      <c r="P6" s="134" t="s">
        <v>335</v>
      </c>
      <c r="Q6" s="134" t="s">
        <v>335</v>
      </c>
      <c r="R6" s="134" t="s">
        <v>335</v>
      </c>
      <c r="S6" s="134" t="s">
        <v>335</v>
      </c>
      <c r="T6" s="134" t="s">
        <v>335</v>
      </c>
      <c r="U6" s="134" t="s">
        <v>335</v>
      </c>
      <c r="V6" s="134" t="s">
        <v>335</v>
      </c>
      <c r="W6" s="134" t="s">
        <v>335</v>
      </c>
      <c r="X6" s="134" t="s">
        <v>335</v>
      </c>
      <c r="Y6" s="134" t="s">
        <v>335</v>
      </c>
      <c r="Z6" s="134" t="s">
        <v>335</v>
      </c>
      <c r="AA6" s="134" t="s">
        <v>335</v>
      </c>
      <c r="AB6" s="134" t="s">
        <v>335</v>
      </c>
      <c r="AC6" s="134" t="s">
        <v>335</v>
      </c>
      <c r="AD6" s="134" t="s">
        <v>335</v>
      </c>
      <c r="AE6" s="134" t="s">
        <v>335</v>
      </c>
      <c r="AF6" s="134" t="s">
        <v>335</v>
      </c>
      <c r="AG6" s="134" t="s">
        <v>335</v>
      </c>
      <c r="AH6" s="134" t="s">
        <v>335</v>
      </c>
      <c r="AI6" s="134" t="s">
        <v>335</v>
      </c>
      <c r="AJ6" s="134" t="s">
        <v>335</v>
      </c>
      <c r="AK6" s="134" t="s">
        <v>335</v>
      </c>
      <c r="AL6" s="134" t="s">
        <v>335</v>
      </c>
      <c r="AM6" s="134" t="s">
        <v>335</v>
      </c>
      <c r="AN6" s="134" t="s">
        <v>335</v>
      </c>
      <c r="AO6" s="134" t="s">
        <v>335</v>
      </c>
      <c r="AP6" s="134" t="s">
        <v>335</v>
      </c>
      <c r="AQ6" s="134" t="s">
        <v>335</v>
      </c>
      <c r="AR6" s="134" t="s">
        <v>335</v>
      </c>
      <c r="AS6" s="134" t="s">
        <v>335</v>
      </c>
      <c r="AT6" s="134" t="s">
        <v>335</v>
      </c>
      <c r="AU6" s="134" t="s">
        <v>335</v>
      </c>
      <c r="AV6" s="134" t="s">
        <v>335</v>
      </c>
      <c r="AW6" s="134" t="s">
        <v>335</v>
      </c>
      <c r="AX6" s="134" t="s">
        <v>335</v>
      </c>
      <c r="AY6" s="134" t="s">
        <v>335</v>
      </c>
      <c r="AZ6" s="134" t="s">
        <v>335</v>
      </c>
      <c r="BA6" s="134" t="s">
        <v>335</v>
      </c>
      <c r="BB6" s="134" t="s">
        <v>335</v>
      </c>
      <c r="BC6" s="134" t="s">
        <v>335</v>
      </c>
      <c r="BD6" s="134" t="s">
        <v>335</v>
      </c>
      <c r="BE6" s="134" t="s">
        <v>335</v>
      </c>
      <c r="BF6" s="134" t="s">
        <v>335</v>
      </c>
      <c r="BG6" s="134" t="s">
        <v>335</v>
      </c>
      <c r="BH6" s="134" t="s">
        <v>335</v>
      </c>
      <c r="BI6" s="134" t="s">
        <v>335</v>
      </c>
      <c r="BJ6" s="134" t="s">
        <v>335</v>
      </c>
      <c r="BK6" s="134" t="s">
        <v>335</v>
      </c>
      <c r="BL6" s="134" t="s">
        <v>335</v>
      </c>
      <c r="BM6" s="134" t="s">
        <v>335</v>
      </c>
      <c r="BN6" s="134" t="s">
        <v>335</v>
      </c>
      <c r="BO6" s="134" t="s">
        <v>335</v>
      </c>
      <c r="BP6" s="134" t="s">
        <v>335</v>
      </c>
      <c r="BQ6" s="134" t="s">
        <v>335</v>
      </c>
      <c r="BR6" s="134" t="s">
        <v>335</v>
      </c>
      <c r="BS6" s="134" t="s">
        <v>335</v>
      </c>
      <c r="BT6" s="134" t="s">
        <v>335</v>
      </c>
      <c r="BU6" s="134" t="s">
        <v>335</v>
      </c>
      <c r="BV6" s="134" t="s">
        <v>335</v>
      </c>
      <c r="BW6" s="134" t="s">
        <v>335</v>
      </c>
      <c r="BX6" s="134" t="s">
        <v>335</v>
      </c>
      <c r="BY6" s="134" t="s">
        <v>335</v>
      </c>
      <c r="BZ6" s="134" t="s">
        <v>335</v>
      </c>
      <c r="CA6" s="134" t="s">
        <v>335</v>
      </c>
      <c r="CB6" s="134" t="s">
        <v>335</v>
      </c>
      <c r="CC6" s="134" t="s">
        <v>335</v>
      </c>
      <c r="CD6" s="134" t="s">
        <v>335</v>
      </c>
      <c r="CE6" s="134" t="s">
        <v>335</v>
      </c>
      <c r="CF6" s="134" t="s">
        <v>335</v>
      </c>
      <c r="CG6" s="134" t="s">
        <v>335</v>
      </c>
      <c r="CH6" s="134" t="s">
        <v>335</v>
      </c>
      <c r="CI6" s="134" t="s">
        <v>335</v>
      </c>
      <c r="CJ6" s="134" t="s">
        <v>335</v>
      </c>
      <c r="CK6" s="134" t="s">
        <v>335</v>
      </c>
      <c r="CL6" s="134" t="s">
        <v>335</v>
      </c>
      <c r="CM6" s="134" t="s">
        <v>335</v>
      </c>
      <c r="CN6" s="134" t="s">
        <v>335</v>
      </c>
      <c r="CO6" s="134" t="s">
        <v>335</v>
      </c>
      <c r="CP6" s="134" t="s">
        <v>335</v>
      </c>
      <c r="CQ6" s="134" t="s">
        <v>335</v>
      </c>
      <c r="CR6" s="134" t="s">
        <v>335</v>
      </c>
      <c r="CS6" s="134" t="s">
        <v>335</v>
      </c>
      <c r="CT6" s="134" t="s">
        <v>335</v>
      </c>
      <c r="CU6" s="134" t="s">
        <v>335</v>
      </c>
      <c r="CV6" s="134" t="s">
        <v>335</v>
      </c>
      <c r="CW6" s="134" t="s">
        <v>335</v>
      </c>
      <c r="CX6" s="134" t="s">
        <v>335</v>
      </c>
      <c r="CY6" s="134" t="s">
        <v>335</v>
      </c>
      <c r="CZ6" s="134" t="s">
        <v>335</v>
      </c>
      <c r="DA6" s="134" t="s">
        <v>335</v>
      </c>
      <c r="DB6" s="134" t="s">
        <v>335</v>
      </c>
      <c r="DC6" s="134" t="s">
        <v>335</v>
      </c>
      <c r="DD6" s="134" t="s">
        <v>335</v>
      </c>
      <c r="DE6" s="134" t="s">
        <v>335</v>
      </c>
      <c r="DF6" s="134" t="s">
        <v>335</v>
      </c>
      <c r="DG6" s="134" t="s">
        <v>335</v>
      </c>
      <c r="DH6" s="134" t="s">
        <v>335</v>
      </c>
      <c r="DI6" s="134" t="s">
        <v>335</v>
      </c>
      <c r="DJ6" s="134" t="s">
        <v>335</v>
      </c>
      <c r="DK6" s="134" t="s">
        <v>335</v>
      </c>
      <c r="DL6" s="134" t="s">
        <v>335</v>
      </c>
      <c r="DM6" s="134" t="s">
        <v>335</v>
      </c>
      <c r="DN6" s="134" t="s">
        <v>335</v>
      </c>
      <c r="DO6" s="134" t="s">
        <v>335</v>
      </c>
      <c r="DP6" s="134" t="s">
        <v>335</v>
      </c>
      <c r="DQ6" s="134" t="s">
        <v>335</v>
      </c>
      <c r="DR6" s="134" t="s">
        <v>335</v>
      </c>
      <c r="DS6" s="134" t="s">
        <v>335</v>
      </c>
      <c r="DT6" s="135" t="s">
        <v>335</v>
      </c>
    </row>
    <row r="7" spans="1:129">
      <c r="A7" s="133" t="s">
        <v>276</v>
      </c>
      <c r="B7" s="134">
        <v>2</v>
      </c>
      <c r="C7" s="134">
        <v>0</v>
      </c>
      <c r="D7" s="134">
        <v>2</v>
      </c>
      <c r="E7" s="134">
        <v>2</v>
      </c>
      <c r="F7" s="134">
        <v>0</v>
      </c>
      <c r="G7" s="134">
        <v>0</v>
      </c>
      <c r="H7" s="134">
        <v>0</v>
      </c>
      <c r="I7" s="134">
        <v>0</v>
      </c>
      <c r="J7" s="134">
        <v>0</v>
      </c>
      <c r="K7" s="134">
        <v>0</v>
      </c>
      <c r="L7" s="134">
        <v>0</v>
      </c>
      <c r="M7" s="134">
        <v>0</v>
      </c>
      <c r="N7" s="134">
        <v>0</v>
      </c>
      <c r="O7" s="134">
        <v>0</v>
      </c>
      <c r="P7" s="134">
        <v>0</v>
      </c>
      <c r="Q7" s="134">
        <v>0</v>
      </c>
      <c r="R7" s="134">
        <v>0</v>
      </c>
      <c r="S7" s="134">
        <v>0</v>
      </c>
      <c r="T7" s="134">
        <v>0</v>
      </c>
      <c r="U7" s="134">
        <v>0</v>
      </c>
      <c r="V7" s="134">
        <v>0</v>
      </c>
      <c r="W7" s="134">
        <v>0</v>
      </c>
      <c r="X7" s="134">
        <v>0</v>
      </c>
      <c r="Y7" s="134">
        <v>2</v>
      </c>
      <c r="Z7" s="134">
        <v>2</v>
      </c>
      <c r="AA7" s="134">
        <v>0</v>
      </c>
      <c r="AB7" s="134">
        <v>2</v>
      </c>
      <c r="AC7" s="134">
        <v>2</v>
      </c>
      <c r="AD7" s="134">
        <v>0</v>
      </c>
      <c r="AE7" s="134">
        <v>2</v>
      </c>
      <c r="AF7" s="134">
        <v>2</v>
      </c>
      <c r="AG7" s="134">
        <v>0</v>
      </c>
      <c r="AH7" s="134">
        <v>0</v>
      </c>
      <c r="AI7" s="134">
        <v>0</v>
      </c>
      <c r="AJ7" s="134">
        <v>0</v>
      </c>
      <c r="AK7" s="134">
        <v>0</v>
      </c>
      <c r="AL7" s="134">
        <v>0</v>
      </c>
      <c r="AM7" s="134">
        <v>0</v>
      </c>
      <c r="AN7" s="134">
        <v>0</v>
      </c>
      <c r="AO7" s="134">
        <v>0</v>
      </c>
      <c r="AP7" s="134">
        <v>3</v>
      </c>
      <c r="AQ7" s="134">
        <v>74</v>
      </c>
      <c r="AR7" s="134">
        <v>77</v>
      </c>
      <c r="AS7" s="134">
        <v>3</v>
      </c>
      <c r="AT7" s="134">
        <v>74</v>
      </c>
      <c r="AU7" s="134">
        <v>77</v>
      </c>
      <c r="AV7" s="134">
        <v>0</v>
      </c>
      <c r="AW7" s="134">
        <v>0</v>
      </c>
      <c r="AX7" s="134">
        <v>0</v>
      </c>
      <c r="AY7" s="134">
        <v>0</v>
      </c>
      <c r="AZ7" s="134">
        <v>4</v>
      </c>
      <c r="BA7" s="134">
        <v>4</v>
      </c>
      <c r="BB7" s="134">
        <v>0</v>
      </c>
      <c r="BC7" s="134">
        <v>0</v>
      </c>
      <c r="BD7" s="134">
        <v>0</v>
      </c>
      <c r="BE7" s="134">
        <v>2</v>
      </c>
      <c r="BF7" s="134">
        <v>0</v>
      </c>
      <c r="BG7" s="134">
        <v>0</v>
      </c>
      <c r="BH7" s="134">
        <v>0</v>
      </c>
      <c r="BI7" s="134">
        <v>2</v>
      </c>
      <c r="BJ7" s="134">
        <v>2</v>
      </c>
      <c r="BK7" s="134">
        <v>0</v>
      </c>
      <c r="BL7" s="134">
        <v>0</v>
      </c>
      <c r="BM7" s="134">
        <v>0</v>
      </c>
      <c r="BN7" s="134">
        <v>0</v>
      </c>
      <c r="BO7" s="134">
        <v>0</v>
      </c>
      <c r="BP7" s="134">
        <v>0</v>
      </c>
      <c r="BQ7" s="134">
        <v>0</v>
      </c>
      <c r="BR7" s="134">
        <v>0</v>
      </c>
      <c r="BS7" s="134">
        <v>0</v>
      </c>
      <c r="BT7" s="134">
        <v>0</v>
      </c>
      <c r="BU7" s="134">
        <v>2</v>
      </c>
      <c r="BV7" s="134">
        <v>2</v>
      </c>
      <c r="BW7" s="134">
        <v>3</v>
      </c>
      <c r="BX7" s="134">
        <v>78</v>
      </c>
      <c r="BY7" s="134">
        <v>81</v>
      </c>
      <c r="BZ7" s="134">
        <v>3</v>
      </c>
      <c r="CA7" s="134">
        <v>78</v>
      </c>
      <c r="CB7" s="134">
        <v>81</v>
      </c>
      <c r="CC7" s="134">
        <v>144</v>
      </c>
      <c r="CD7" s="134">
        <v>0</v>
      </c>
      <c r="CE7" s="134">
        <v>0</v>
      </c>
      <c r="CF7" s="134">
        <v>0</v>
      </c>
      <c r="CG7" s="134">
        <v>0</v>
      </c>
      <c r="CH7" s="134">
        <v>0</v>
      </c>
      <c r="CI7" s="134">
        <v>0</v>
      </c>
      <c r="CJ7" s="134">
        <v>0</v>
      </c>
      <c r="CK7" s="134">
        <v>0</v>
      </c>
      <c r="CL7" s="134">
        <v>0</v>
      </c>
      <c r="CM7" s="134">
        <v>0</v>
      </c>
      <c r="CN7" s="134">
        <v>1</v>
      </c>
      <c r="CO7" s="134">
        <v>7</v>
      </c>
      <c r="CP7" s="134">
        <v>8</v>
      </c>
      <c r="CQ7" s="134">
        <v>0</v>
      </c>
      <c r="CR7" s="134">
        <v>0</v>
      </c>
      <c r="CS7" s="134">
        <v>0</v>
      </c>
      <c r="CT7" s="134">
        <v>2</v>
      </c>
      <c r="CU7" s="134">
        <v>71</v>
      </c>
      <c r="CV7" s="134">
        <v>73</v>
      </c>
      <c r="CW7" s="134">
        <v>0</v>
      </c>
      <c r="CX7" s="134">
        <v>6</v>
      </c>
      <c r="CY7" s="134">
        <v>6</v>
      </c>
      <c r="CZ7" s="134">
        <v>0</v>
      </c>
      <c r="DA7" s="134">
        <v>0</v>
      </c>
      <c r="DB7" s="134">
        <v>0</v>
      </c>
      <c r="DC7" s="134">
        <v>5</v>
      </c>
      <c r="DD7" s="134">
        <v>0</v>
      </c>
      <c r="DE7" s="134">
        <v>0</v>
      </c>
      <c r="DF7" s="134">
        <v>0</v>
      </c>
      <c r="DG7" s="134">
        <v>5</v>
      </c>
      <c r="DH7" s="134">
        <v>5</v>
      </c>
      <c r="DI7" s="134">
        <v>0</v>
      </c>
      <c r="DJ7" s="134">
        <v>0</v>
      </c>
      <c r="DK7" s="134">
        <v>0</v>
      </c>
      <c r="DL7" s="134">
        <v>1</v>
      </c>
      <c r="DM7" s="134">
        <v>0</v>
      </c>
      <c r="DN7" s="134">
        <v>0</v>
      </c>
      <c r="DO7" s="134">
        <v>0</v>
      </c>
      <c r="DP7" s="134">
        <v>1</v>
      </c>
      <c r="DQ7" s="134">
        <v>1</v>
      </c>
      <c r="DR7" s="134">
        <v>0</v>
      </c>
      <c r="DS7" s="134">
        <v>0</v>
      </c>
      <c r="DT7" s="135">
        <v>0</v>
      </c>
    </row>
    <row r="8" spans="1:129">
      <c r="A8" s="133" t="s">
        <v>277</v>
      </c>
      <c r="B8" s="134">
        <v>115</v>
      </c>
      <c r="C8" s="134">
        <v>31</v>
      </c>
      <c r="D8" s="134">
        <v>113</v>
      </c>
      <c r="E8" s="134">
        <v>65</v>
      </c>
      <c r="F8" s="134">
        <v>0</v>
      </c>
      <c r="G8" s="134">
        <v>1</v>
      </c>
      <c r="H8" s="134">
        <v>1</v>
      </c>
      <c r="I8" s="134">
        <v>0</v>
      </c>
      <c r="J8" s="134">
        <v>44</v>
      </c>
      <c r="K8" s="134">
        <v>44</v>
      </c>
      <c r="L8" s="134">
        <v>0</v>
      </c>
      <c r="M8" s="134">
        <v>9</v>
      </c>
      <c r="N8" s="134">
        <v>9</v>
      </c>
      <c r="O8" s="134">
        <v>0</v>
      </c>
      <c r="P8" s="134">
        <v>35</v>
      </c>
      <c r="Q8" s="134">
        <v>35</v>
      </c>
      <c r="R8" s="134">
        <v>0</v>
      </c>
      <c r="S8" s="134">
        <v>0</v>
      </c>
      <c r="T8" s="134">
        <v>0</v>
      </c>
      <c r="U8" s="134">
        <v>0</v>
      </c>
      <c r="V8" s="134">
        <v>4</v>
      </c>
      <c r="W8" s="134">
        <v>4</v>
      </c>
      <c r="X8" s="134">
        <v>1</v>
      </c>
      <c r="Y8" s="134">
        <v>112</v>
      </c>
      <c r="Z8" s="134">
        <v>113</v>
      </c>
      <c r="AA8" s="134">
        <v>1</v>
      </c>
      <c r="AB8" s="134">
        <v>45</v>
      </c>
      <c r="AC8" s="134">
        <v>46</v>
      </c>
      <c r="AD8" s="134">
        <v>1</v>
      </c>
      <c r="AE8" s="134">
        <v>43</v>
      </c>
      <c r="AF8" s="134">
        <v>44</v>
      </c>
      <c r="AG8" s="134">
        <v>0</v>
      </c>
      <c r="AH8" s="134">
        <v>1</v>
      </c>
      <c r="AI8" s="134">
        <v>1</v>
      </c>
      <c r="AJ8" s="134">
        <v>0</v>
      </c>
      <c r="AK8" s="134">
        <v>1</v>
      </c>
      <c r="AL8" s="134">
        <v>1</v>
      </c>
      <c r="AM8" s="134">
        <v>0</v>
      </c>
      <c r="AN8" s="134">
        <v>67</v>
      </c>
      <c r="AO8" s="134">
        <v>67</v>
      </c>
      <c r="AP8" s="134">
        <v>105</v>
      </c>
      <c r="AQ8" s="134">
        <v>1418</v>
      </c>
      <c r="AR8" s="134">
        <v>1523</v>
      </c>
      <c r="AS8" s="134">
        <v>105</v>
      </c>
      <c r="AT8" s="134">
        <v>1418</v>
      </c>
      <c r="AU8" s="134">
        <v>1523</v>
      </c>
      <c r="AV8" s="134">
        <v>0</v>
      </c>
      <c r="AW8" s="134">
        <v>0</v>
      </c>
      <c r="AX8" s="134">
        <v>0</v>
      </c>
      <c r="AY8" s="134">
        <v>7</v>
      </c>
      <c r="AZ8" s="134">
        <v>108</v>
      </c>
      <c r="BA8" s="134">
        <v>115</v>
      </c>
      <c r="BB8" s="134">
        <v>1</v>
      </c>
      <c r="BC8" s="134">
        <v>0</v>
      </c>
      <c r="BD8" s="134">
        <v>0</v>
      </c>
      <c r="BE8" s="134">
        <v>64</v>
      </c>
      <c r="BF8" s="134">
        <v>0</v>
      </c>
      <c r="BG8" s="134">
        <v>0</v>
      </c>
      <c r="BH8" s="134">
        <v>1</v>
      </c>
      <c r="BI8" s="134">
        <v>64</v>
      </c>
      <c r="BJ8" s="134">
        <v>65</v>
      </c>
      <c r="BK8" s="134">
        <v>3</v>
      </c>
      <c r="BL8" s="134">
        <v>-3</v>
      </c>
      <c r="BM8" s="134">
        <v>0</v>
      </c>
      <c r="BN8" s="134">
        <v>1</v>
      </c>
      <c r="BO8" s="134">
        <v>6</v>
      </c>
      <c r="BP8" s="134">
        <v>7</v>
      </c>
      <c r="BQ8" s="134">
        <v>0</v>
      </c>
      <c r="BR8" s="134">
        <v>13</v>
      </c>
      <c r="BS8" s="134">
        <v>13</v>
      </c>
      <c r="BT8" s="134">
        <v>2</v>
      </c>
      <c r="BU8" s="134">
        <v>28</v>
      </c>
      <c r="BV8" s="134">
        <v>30</v>
      </c>
      <c r="BW8" s="134">
        <v>112</v>
      </c>
      <c r="BX8" s="134">
        <v>1526</v>
      </c>
      <c r="BY8" s="134">
        <v>1638</v>
      </c>
      <c r="BZ8" s="134">
        <v>112</v>
      </c>
      <c r="CA8" s="134">
        <v>1525</v>
      </c>
      <c r="CB8" s="134">
        <v>1637</v>
      </c>
      <c r="CC8" s="134">
        <v>2982</v>
      </c>
      <c r="CD8" s="134">
        <v>0</v>
      </c>
      <c r="CE8" s="134">
        <v>1</v>
      </c>
      <c r="CF8" s="134">
        <v>0</v>
      </c>
      <c r="CG8" s="134">
        <v>1</v>
      </c>
      <c r="CH8" s="134">
        <v>1</v>
      </c>
      <c r="CI8" s="134">
        <v>0</v>
      </c>
      <c r="CJ8" s="134">
        <v>0</v>
      </c>
      <c r="CK8" s="134">
        <v>0</v>
      </c>
      <c r="CL8" s="134">
        <v>0</v>
      </c>
      <c r="CM8" s="134">
        <v>0</v>
      </c>
      <c r="CN8" s="134">
        <v>12</v>
      </c>
      <c r="CO8" s="134">
        <v>146</v>
      </c>
      <c r="CP8" s="134">
        <v>158</v>
      </c>
      <c r="CQ8" s="134">
        <v>0</v>
      </c>
      <c r="CR8" s="134">
        <v>1</v>
      </c>
      <c r="CS8" s="134">
        <v>1</v>
      </c>
      <c r="CT8" s="134">
        <v>100</v>
      </c>
      <c r="CU8" s="134">
        <v>1380</v>
      </c>
      <c r="CV8" s="134">
        <v>1480</v>
      </c>
      <c r="CW8" s="134">
        <v>7</v>
      </c>
      <c r="CX8" s="134">
        <v>54</v>
      </c>
      <c r="CY8" s="134">
        <v>61</v>
      </c>
      <c r="CZ8" s="134">
        <v>7</v>
      </c>
      <c r="DA8" s="134">
        <v>0</v>
      </c>
      <c r="DB8" s="134">
        <v>0</v>
      </c>
      <c r="DC8" s="134">
        <v>54</v>
      </c>
      <c r="DD8" s="134">
        <v>0</v>
      </c>
      <c r="DE8" s="134">
        <v>0</v>
      </c>
      <c r="DF8" s="134">
        <v>7</v>
      </c>
      <c r="DG8" s="134">
        <v>54</v>
      </c>
      <c r="DH8" s="134">
        <v>61</v>
      </c>
      <c r="DI8" s="134">
        <v>0</v>
      </c>
      <c r="DJ8" s="134">
        <v>0</v>
      </c>
      <c r="DK8" s="134">
        <v>0</v>
      </c>
      <c r="DL8" s="134">
        <v>0</v>
      </c>
      <c r="DM8" s="134">
        <v>0</v>
      </c>
      <c r="DN8" s="134">
        <v>0</v>
      </c>
      <c r="DO8" s="134">
        <v>0</v>
      </c>
      <c r="DP8" s="134">
        <v>0</v>
      </c>
      <c r="DQ8" s="134">
        <v>0</v>
      </c>
      <c r="DR8" s="134">
        <v>0</v>
      </c>
      <c r="DS8" s="134">
        <v>0</v>
      </c>
      <c r="DT8" s="135">
        <v>0</v>
      </c>
    </row>
    <row r="9" spans="1:129">
      <c r="A9" s="133" t="s">
        <v>278</v>
      </c>
      <c r="B9" s="134">
        <v>1556</v>
      </c>
      <c r="C9" s="134">
        <v>717</v>
      </c>
      <c r="D9" s="134">
        <v>1585</v>
      </c>
      <c r="E9" s="134">
        <v>860</v>
      </c>
      <c r="F9" s="134">
        <v>2</v>
      </c>
      <c r="G9" s="134">
        <v>123</v>
      </c>
      <c r="H9" s="134">
        <v>125</v>
      </c>
      <c r="I9" s="134">
        <v>0</v>
      </c>
      <c r="J9" s="134">
        <v>659</v>
      </c>
      <c r="K9" s="134">
        <v>659</v>
      </c>
      <c r="L9" s="134">
        <v>0</v>
      </c>
      <c r="M9" s="134">
        <v>83</v>
      </c>
      <c r="N9" s="134">
        <v>83</v>
      </c>
      <c r="O9" s="134">
        <v>0</v>
      </c>
      <c r="P9" s="134">
        <v>576</v>
      </c>
      <c r="Q9" s="134">
        <v>576</v>
      </c>
      <c r="R9" s="134">
        <v>0</v>
      </c>
      <c r="S9" s="134">
        <v>66</v>
      </c>
      <c r="T9" s="134">
        <v>66</v>
      </c>
      <c r="U9" s="134">
        <v>0</v>
      </c>
      <c r="V9" s="134">
        <v>66</v>
      </c>
      <c r="W9" s="134">
        <v>66</v>
      </c>
      <c r="X9" s="134">
        <v>29</v>
      </c>
      <c r="Y9" s="134">
        <v>1556</v>
      </c>
      <c r="Z9" s="134">
        <v>1585</v>
      </c>
      <c r="AA9" s="134">
        <v>20</v>
      </c>
      <c r="AB9" s="134">
        <v>586</v>
      </c>
      <c r="AC9" s="134">
        <v>606</v>
      </c>
      <c r="AD9" s="134">
        <v>18</v>
      </c>
      <c r="AE9" s="134">
        <v>558</v>
      </c>
      <c r="AF9" s="134">
        <v>576</v>
      </c>
      <c r="AG9" s="134">
        <v>1</v>
      </c>
      <c r="AH9" s="134">
        <v>15</v>
      </c>
      <c r="AI9" s="134">
        <v>16</v>
      </c>
      <c r="AJ9" s="134">
        <v>1</v>
      </c>
      <c r="AK9" s="134">
        <v>13</v>
      </c>
      <c r="AL9" s="134">
        <v>14</v>
      </c>
      <c r="AM9" s="134">
        <v>9</v>
      </c>
      <c r="AN9" s="134">
        <v>970</v>
      </c>
      <c r="AO9" s="134">
        <v>979</v>
      </c>
      <c r="AP9" s="134">
        <v>1428</v>
      </c>
      <c r="AQ9" s="134">
        <v>14149</v>
      </c>
      <c r="AR9" s="134">
        <v>15577</v>
      </c>
      <c r="AS9" s="134">
        <v>1428</v>
      </c>
      <c r="AT9" s="134">
        <v>14150</v>
      </c>
      <c r="AU9" s="134">
        <v>15578</v>
      </c>
      <c r="AV9" s="134">
        <v>0</v>
      </c>
      <c r="AW9" s="134">
        <v>-1</v>
      </c>
      <c r="AX9" s="134">
        <v>-1</v>
      </c>
      <c r="AY9" s="134">
        <v>78</v>
      </c>
      <c r="AZ9" s="134">
        <v>1391</v>
      </c>
      <c r="BA9" s="134">
        <v>1469</v>
      </c>
      <c r="BB9" s="134">
        <v>34</v>
      </c>
      <c r="BC9" s="134">
        <v>0</v>
      </c>
      <c r="BD9" s="134">
        <v>0</v>
      </c>
      <c r="BE9" s="134">
        <v>825</v>
      </c>
      <c r="BF9" s="134">
        <v>1</v>
      </c>
      <c r="BG9" s="134">
        <v>0</v>
      </c>
      <c r="BH9" s="134">
        <v>34</v>
      </c>
      <c r="BI9" s="134">
        <v>826</v>
      </c>
      <c r="BJ9" s="134">
        <v>860</v>
      </c>
      <c r="BK9" s="134">
        <v>-12</v>
      </c>
      <c r="BL9" s="134">
        <v>12</v>
      </c>
      <c r="BM9" s="134">
        <v>0</v>
      </c>
      <c r="BN9" s="134">
        <v>11</v>
      </c>
      <c r="BO9" s="134">
        <v>36</v>
      </c>
      <c r="BP9" s="134">
        <v>47</v>
      </c>
      <c r="BQ9" s="134">
        <v>6</v>
      </c>
      <c r="BR9" s="134">
        <v>180</v>
      </c>
      <c r="BS9" s="134">
        <v>186</v>
      </c>
      <c r="BT9" s="134">
        <v>39</v>
      </c>
      <c r="BU9" s="134">
        <v>337</v>
      </c>
      <c r="BV9" s="134">
        <v>376</v>
      </c>
      <c r="BW9" s="134">
        <v>1506</v>
      </c>
      <c r="BX9" s="134">
        <v>15540</v>
      </c>
      <c r="BY9" s="134">
        <v>17046</v>
      </c>
      <c r="BZ9" s="134">
        <v>1502</v>
      </c>
      <c r="CA9" s="134">
        <v>15471</v>
      </c>
      <c r="CB9" s="134">
        <v>16973</v>
      </c>
      <c r="CC9" s="134">
        <v>31212</v>
      </c>
      <c r="CD9" s="134">
        <v>4</v>
      </c>
      <c r="CE9" s="134">
        <v>49</v>
      </c>
      <c r="CF9" s="134">
        <v>4</v>
      </c>
      <c r="CG9" s="134">
        <v>46</v>
      </c>
      <c r="CH9" s="134">
        <v>50</v>
      </c>
      <c r="CI9" s="134">
        <v>21</v>
      </c>
      <c r="CJ9" s="134">
        <v>8</v>
      </c>
      <c r="CK9" s="134">
        <v>0</v>
      </c>
      <c r="CL9" s="134">
        <v>23</v>
      </c>
      <c r="CM9" s="134">
        <v>23</v>
      </c>
      <c r="CN9" s="134">
        <v>75</v>
      </c>
      <c r="CO9" s="134">
        <v>1249</v>
      </c>
      <c r="CP9" s="134">
        <v>1324</v>
      </c>
      <c r="CQ9" s="134">
        <v>0</v>
      </c>
      <c r="CR9" s="134">
        <v>33</v>
      </c>
      <c r="CS9" s="134">
        <v>33</v>
      </c>
      <c r="CT9" s="134">
        <v>1431</v>
      </c>
      <c r="CU9" s="134">
        <v>14291</v>
      </c>
      <c r="CV9" s="134">
        <v>15722</v>
      </c>
      <c r="CW9" s="134">
        <v>114</v>
      </c>
      <c r="CX9" s="134">
        <v>554</v>
      </c>
      <c r="CY9" s="134">
        <v>668</v>
      </c>
      <c r="CZ9" s="134">
        <v>113</v>
      </c>
      <c r="DA9" s="134">
        <v>0</v>
      </c>
      <c r="DB9" s="134">
        <v>0</v>
      </c>
      <c r="DC9" s="134">
        <v>538</v>
      </c>
      <c r="DD9" s="134">
        <v>2</v>
      </c>
      <c r="DE9" s="134">
        <v>0</v>
      </c>
      <c r="DF9" s="134">
        <v>113</v>
      </c>
      <c r="DG9" s="134">
        <v>540</v>
      </c>
      <c r="DH9" s="134">
        <v>653</v>
      </c>
      <c r="DI9" s="134">
        <v>1</v>
      </c>
      <c r="DJ9" s="134">
        <v>0</v>
      </c>
      <c r="DK9" s="134">
        <v>0</v>
      </c>
      <c r="DL9" s="134">
        <v>14</v>
      </c>
      <c r="DM9" s="134">
        <v>0</v>
      </c>
      <c r="DN9" s="134">
        <v>0</v>
      </c>
      <c r="DO9" s="134">
        <v>1</v>
      </c>
      <c r="DP9" s="134">
        <v>14</v>
      </c>
      <c r="DQ9" s="134">
        <v>15</v>
      </c>
      <c r="DR9" s="134">
        <v>0</v>
      </c>
      <c r="DS9" s="134">
        <v>0</v>
      </c>
      <c r="DT9" s="135">
        <v>0</v>
      </c>
    </row>
    <row r="10" spans="1:129">
      <c r="A10" s="133" t="s">
        <v>279</v>
      </c>
      <c r="B10" s="134">
        <v>187</v>
      </c>
      <c r="C10" s="134">
        <v>37</v>
      </c>
      <c r="D10" s="134">
        <v>196</v>
      </c>
      <c r="E10" s="134">
        <v>126</v>
      </c>
      <c r="F10" s="134">
        <v>0</v>
      </c>
      <c r="G10" s="134">
        <v>3</v>
      </c>
      <c r="H10" s="134">
        <v>3</v>
      </c>
      <c r="I10" s="134">
        <v>0</v>
      </c>
      <c r="J10" s="134">
        <v>63</v>
      </c>
      <c r="K10" s="134">
        <v>63</v>
      </c>
      <c r="L10" s="134">
        <v>0</v>
      </c>
      <c r="M10" s="134">
        <v>21</v>
      </c>
      <c r="N10" s="134">
        <v>21</v>
      </c>
      <c r="O10" s="134">
        <v>0</v>
      </c>
      <c r="P10" s="134">
        <v>42</v>
      </c>
      <c r="Q10" s="134">
        <v>42</v>
      </c>
      <c r="R10" s="134">
        <v>0</v>
      </c>
      <c r="S10" s="134">
        <v>0</v>
      </c>
      <c r="T10" s="134">
        <v>0</v>
      </c>
      <c r="U10" s="134">
        <v>0</v>
      </c>
      <c r="V10" s="134">
        <v>7</v>
      </c>
      <c r="W10" s="134">
        <v>7</v>
      </c>
      <c r="X10" s="134">
        <v>6</v>
      </c>
      <c r="Y10" s="134">
        <v>190</v>
      </c>
      <c r="Z10" s="134">
        <v>196</v>
      </c>
      <c r="AA10" s="134">
        <v>3</v>
      </c>
      <c r="AB10" s="134">
        <v>84</v>
      </c>
      <c r="AC10" s="134">
        <v>87</v>
      </c>
      <c r="AD10" s="134">
        <v>3</v>
      </c>
      <c r="AE10" s="134">
        <v>80</v>
      </c>
      <c r="AF10" s="134">
        <v>83</v>
      </c>
      <c r="AG10" s="134">
        <v>0</v>
      </c>
      <c r="AH10" s="134">
        <v>2</v>
      </c>
      <c r="AI10" s="134">
        <v>2</v>
      </c>
      <c r="AJ10" s="134">
        <v>0</v>
      </c>
      <c r="AK10" s="134">
        <v>2</v>
      </c>
      <c r="AL10" s="134">
        <v>2</v>
      </c>
      <c r="AM10" s="134">
        <v>3</v>
      </c>
      <c r="AN10" s="134">
        <v>106</v>
      </c>
      <c r="AO10" s="134">
        <v>109</v>
      </c>
      <c r="AP10" s="134">
        <v>192</v>
      </c>
      <c r="AQ10" s="134">
        <v>2373</v>
      </c>
      <c r="AR10" s="134">
        <v>2565</v>
      </c>
      <c r="AS10" s="134">
        <v>192</v>
      </c>
      <c r="AT10" s="134">
        <v>2373</v>
      </c>
      <c r="AU10" s="134">
        <v>2565</v>
      </c>
      <c r="AV10" s="134">
        <v>0</v>
      </c>
      <c r="AW10" s="134">
        <v>0</v>
      </c>
      <c r="AX10" s="134">
        <v>0</v>
      </c>
      <c r="AY10" s="134">
        <v>20</v>
      </c>
      <c r="AZ10" s="134">
        <v>198</v>
      </c>
      <c r="BA10" s="134">
        <v>218</v>
      </c>
      <c r="BB10" s="134">
        <v>6</v>
      </c>
      <c r="BC10" s="134">
        <v>0</v>
      </c>
      <c r="BD10" s="134">
        <v>0</v>
      </c>
      <c r="BE10" s="134">
        <v>120</v>
      </c>
      <c r="BF10" s="134">
        <v>0</v>
      </c>
      <c r="BG10" s="134">
        <v>0</v>
      </c>
      <c r="BH10" s="134">
        <v>6</v>
      </c>
      <c r="BI10" s="134">
        <v>120</v>
      </c>
      <c r="BJ10" s="134">
        <v>126</v>
      </c>
      <c r="BK10" s="134">
        <v>5</v>
      </c>
      <c r="BL10" s="134">
        <v>-5</v>
      </c>
      <c r="BM10" s="134">
        <v>0</v>
      </c>
      <c r="BN10" s="134">
        <v>3</v>
      </c>
      <c r="BO10" s="134">
        <v>10</v>
      </c>
      <c r="BP10" s="134">
        <v>13</v>
      </c>
      <c r="BQ10" s="134">
        <v>0</v>
      </c>
      <c r="BR10" s="134">
        <v>32</v>
      </c>
      <c r="BS10" s="134">
        <v>32</v>
      </c>
      <c r="BT10" s="134">
        <v>6</v>
      </c>
      <c r="BU10" s="134">
        <v>41</v>
      </c>
      <c r="BV10" s="134">
        <v>47</v>
      </c>
      <c r="BW10" s="134">
        <v>212</v>
      </c>
      <c r="BX10" s="134">
        <v>2571</v>
      </c>
      <c r="BY10" s="134">
        <v>2783</v>
      </c>
      <c r="BZ10" s="134">
        <v>212</v>
      </c>
      <c r="CA10" s="134">
        <v>2565</v>
      </c>
      <c r="CB10" s="134">
        <v>2777</v>
      </c>
      <c r="CC10" s="134">
        <v>5019</v>
      </c>
      <c r="CD10" s="134">
        <v>2</v>
      </c>
      <c r="CE10" s="134">
        <v>3</v>
      </c>
      <c r="CF10" s="134">
        <v>0</v>
      </c>
      <c r="CG10" s="134">
        <v>5</v>
      </c>
      <c r="CH10" s="134">
        <v>5</v>
      </c>
      <c r="CI10" s="134">
        <v>1</v>
      </c>
      <c r="CJ10" s="134">
        <v>0</v>
      </c>
      <c r="CK10" s="134">
        <v>0</v>
      </c>
      <c r="CL10" s="134">
        <v>1</v>
      </c>
      <c r="CM10" s="134">
        <v>1</v>
      </c>
      <c r="CN10" s="134">
        <v>17</v>
      </c>
      <c r="CO10" s="134">
        <v>161</v>
      </c>
      <c r="CP10" s="134">
        <v>178</v>
      </c>
      <c r="CQ10" s="134">
        <v>0</v>
      </c>
      <c r="CR10" s="134">
        <v>1</v>
      </c>
      <c r="CS10" s="134">
        <v>1</v>
      </c>
      <c r="CT10" s="134">
        <v>195</v>
      </c>
      <c r="CU10" s="134">
        <v>2410</v>
      </c>
      <c r="CV10" s="134">
        <v>2605</v>
      </c>
      <c r="CW10" s="134">
        <v>10</v>
      </c>
      <c r="CX10" s="134">
        <v>98</v>
      </c>
      <c r="CY10" s="134">
        <v>108</v>
      </c>
      <c r="CZ10" s="134">
        <v>10</v>
      </c>
      <c r="DA10" s="134">
        <v>0</v>
      </c>
      <c r="DB10" s="134">
        <v>0</v>
      </c>
      <c r="DC10" s="134">
        <v>96</v>
      </c>
      <c r="DD10" s="134">
        <v>0</v>
      </c>
      <c r="DE10" s="134">
        <v>0</v>
      </c>
      <c r="DF10" s="134">
        <v>10</v>
      </c>
      <c r="DG10" s="134">
        <v>96</v>
      </c>
      <c r="DH10" s="134">
        <v>106</v>
      </c>
      <c r="DI10" s="134">
        <v>0</v>
      </c>
      <c r="DJ10" s="134">
        <v>0</v>
      </c>
      <c r="DK10" s="134">
        <v>0</v>
      </c>
      <c r="DL10" s="134">
        <v>2</v>
      </c>
      <c r="DM10" s="134">
        <v>0</v>
      </c>
      <c r="DN10" s="134">
        <v>0</v>
      </c>
      <c r="DO10" s="134">
        <v>0</v>
      </c>
      <c r="DP10" s="134">
        <v>2</v>
      </c>
      <c r="DQ10" s="134">
        <v>2</v>
      </c>
      <c r="DR10" s="134">
        <v>0</v>
      </c>
      <c r="DS10" s="134">
        <v>0</v>
      </c>
      <c r="DT10" s="135">
        <v>0</v>
      </c>
    </row>
    <row r="11" spans="1:129">
      <c r="A11" s="133" t="s">
        <v>280</v>
      </c>
      <c r="B11" s="134">
        <v>70</v>
      </c>
      <c r="C11" s="134">
        <v>10</v>
      </c>
      <c r="D11" s="134">
        <v>70</v>
      </c>
      <c r="E11" s="134">
        <v>28</v>
      </c>
      <c r="F11" s="134">
        <v>0</v>
      </c>
      <c r="G11" s="134">
        <v>3</v>
      </c>
      <c r="H11" s="134">
        <v>3</v>
      </c>
      <c r="I11" s="134">
        <v>0</v>
      </c>
      <c r="J11" s="134">
        <v>39</v>
      </c>
      <c r="K11" s="134">
        <v>39</v>
      </c>
      <c r="L11" s="134">
        <v>0</v>
      </c>
      <c r="M11" s="134">
        <v>12</v>
      </c>
      <c r="N11" s="134">
        <v>12</v>
      </c>
      <c r="O11" s="134">
        <v>0</v>
      </c>
      <c r="P11" s="134">
        <v>27</v>
      </c>
      <c r="Q11" s="134">
        <v>27</v>
      </c>
      <c r="R11" s="134">
        <v>0</v>
      </c>
      <c r="S11" s="134">
        <v>3</v>
      </c>
      <c r="T11" s="134">
        <v>3</v>
      </c>
      <c r="U11" s="134">
        <v>0</v>
      </c>
      <c r="V11" s="134">
        <v>3</v>
      </c>
      <c r="W11" s="134">
        <v>3</v>
      </c>
      <c r="X11" s="134">
        <v>0</v>
      </c>
      <c r="Y11" s="134">
        <v>70</v>
      </c>
      <c r="Z11" s="134">
        <v>70</v>
      </c>
      <c r="AA11" s="134">
        <v>0</v>
      </c>
      <c r="AB11" s="134">
        <v>25</v>
      </c>
      <c r="AC11" s="134">
        <v>25</v>
      </c>
      <c r="AD11" s="134">
        <v>0</v>
      </c>
      <c r="AE11" s="134">
        <v>21</v>
      </c>
      <c r="AF11" s="134">
        <v>21</v>
      </c>
      <c r="AG11" s="134">
        <v>0</v>
      </c>
      <c r="AH11" s="134">
        <v>3</v>
      </c>
      <c r="AI11" s="134">
        <v>3</v>
      </c>
      <c r="AJ11" s="134">
        <v>0</v>
      </c>
      <c r="AK11" s="134">
        <v>1</v>
      </c>
      <c r="AL11" s="134">
        <v>1</v>
      </c>
      <c r="AM11" s="134">
        <v>0</v>
      </c>
      <c r="AN11" s="134">
        <v>45</v>
      </c>
      <c r="AO11" s="134">
        <v>45</v>
      </c>
      <c r="AP11" s="134">
        <v>58</v>
      </c>
      <c r="AQ11" s="134">
        <v>557</v>
      </c>
      <c r="AR11" s="134">
        <v>615</v>
      </c>
      <c r="AS11" s="134">
        <v>58</v>
      </c>
      <c r="AT11" s="134">
        <v>557</v>
      </c>
      <c r="AU11" s="134">
        <v>615</v>
      </c>
      <c r="AV11" s="134">
        <v>0</v>
      </c>
      <c r="AW11" s="134">
        <v>0</v>
      </c>
      <c r="AX11" s="134">
        <v>0</v>
      </c>
      <c r="AY11" s="134">
        <v>-1</v>
      </c>
      <c r="AZ11" s="134">
        <v>66</v>
      </c>
      <c r="BA11" s="134">
        <v>65</v>
      </c>
      <c r="BB11" s="134">
        <v>0</v>
      </c>
      <c r="BC11" s="134">
        <v>0</v>
      </c>
      <c r="BD11" s="134">
        <v>0</v>
      </c>
      <c r="BE11" s="134">
        <v>28</v>
      </c>
      <c r="BF11" s="134">
        <v>0</v>
      </c>
      <c r="BG11" s="134">
        <v>0</v>
      </c>
      <c r="BH11" s="134">
        <v>0</v>
      </c>
      <c r="BI11" s="134">
        <v>28</v>
      </c>
      <c r="BJ11" s="134">
        <v>28</v>
      </c>
      <c r="BK11" s="134">
        <v>-2</v>
      </c>
      <c r="BL11" s="134">
        <v>2</v>
      </c>
      <c r="BM11" s="134">
        <v>0</v>
      </c>
      <c r="BN11" s="134">
        <v>0</v>
      </c>
      <c r="BO11" s="134">
        <v>2</v>
      </c>
      <c r="BP11" s="134">
        <v>2</v>
      </c>
      <c r="BQ11" s="134">
        <v>0</v>
      </c>
      <c r="BR11" s="134">
        <v>5</v>
      </c>
      <c r="BS11" s="134">
        <v>5</v>
      </c>
      <c r="BT11" s="134">
        <v>1</v>
      </c>
      <c r="BU11" s="134">
        <v>29</v>
      </c>
      <c r="BV11" s="134">
        <v>30</v>
      </c>
      <c r="BW11" s="134">
        <v>57</v>
      </c>
      <c r="BX11" s="134">
        <v>623</v>
      </c>
      <c r="BY11" s="134">
        <v>680</v>
      </c>
      <c r="BZ11" s="134">
        <v>57</v>
      </c>
      <c r="CA11" s="134">
        <v>618</v>
      </c>
      <c r="CB11" s="134">
        <v>675</v>
      </c>
      <c r="CC11" s="134">
        <v>1464</v>
      </c>
      <c r="CD11" s="134">
        <v>0</v>
      </c>
      <c r="CE11" s="134">
        <v>4</v>
      </c>
      <c r="CF11" s="134">
        <v>0</v>
      </c>
      <c r="CG11" s="134">
        <v>4</v>
      </c>
      <c r="CH11" s="134">
        <v>4</v>
      </c>
      <c r="CI11" s="134">
        <v>1</v>
      </c>
      <c r="CJ11" s="134">
        <v>0</v>
      </c>
      <c r="CK11" s="134">
        <v>0</v>
      </c>
      <c r="CL11" s="134">
        <v>1</v>
      </c>
      <c r="CM11" s="134">
        <v>1</v>
      </c>
      <c r="CN11" s="134">
        <v>2</v>
      </c>
      <c r="CO11" s="134">
        <v>65</v>
      </c>
      <c r="CP11" s="134">
        <v>67</v>
      </c>
      <c r="CQ11" s="134">
        <v>0</v>
      </c>
      <c r="CR11" s="134">
        <v>0</v>
      </c>
      <c r="CS11" s="134">
        <v>0</v>
      </c>
      <c r="CT11" s="134">
        <v>55</v>
      </c>
      <c r="CU11" s="134">
        <v>558</v>
      </c>
      <c r="CV11" s="134">
        <v>613</v>
      </c>
      <c r="CW11" s="134">
        <v>2</v>
      </c>
      <c r="CX11" s="134">
        <v>26</v>
      </c>
      <c r="CY11" s="134">
        <v>28</v>
      </c>
      <c r="CZ11" s="134">
        <v>2</v>
      </c>
      <c r="DA11" s="134">
        <v>0</v>
      </c>
      <c r="DB11" s="134">
        <v>0</v>
      </c>
      <c r="DC11" s="134">
        <v>25</v>
      </c>
      <c r="DD11" s="134">
        <v>0</v>
      </c>
      <c r="DE11" s="134">
        <v>0</v>
      </c>
      <c r="DF11" s="134">
        <v>2</v>
      </c>
      <c r="DG11" s="134">
        <v>25</v>
      </c>
      <c r="DH11" s="134">
        <v>27</v>
      </c>
      <c r="DI11" s="134">
        <v>0</v>
      </c>
      <c r="DJ11" s="134">
        <v>0</v>
      </c>
      <c r="DK11" s="134">
        <v>0</v>
      </c>
      <c r="DL11" s="134">
        <v>1</v>
      </c>
      <c r="DM11" s="134">
        <v>0</v>
      </c>
      <c r="DN11" s="134">
        <v>0</v>
      </c>
      <c r="DO11" s="134">
        <v>0</v>
      </c>
      <c r="DP11" s="134">
        <v>1</v>
      </c>
      <c r="DQ11" s="134">
        <v>1</v>
      </c>
      <c r="DR11" s="134">
        <v>0</v>
      </c>
      <c r="DS11" s="134">
        <v>0</v>
      </c>
      <c r="DT11" s="135">
        <v>0</v>
      </c>
    </row>
    <row r="12" spans="1:129">
      <c r="A12" s="133" t="s">
        <v>281</v>
      </c>
      <c r="B12" s="134">
        <v>2403</v>
      </c>
      <c r="C12" s="134">
        <v>1022</v>
      </c>
      <c r="D12" s="134">
        <v>2142</v>
      </c>
      <c r="E12" s="134">
        <v>1036</v>
      </c>
      <c r="F12" s="134">
        <v>2</v>
      </c>
      <c r="G12" s="134">
        <v>21</v>
      </c>
      <c r="H12" s="134">
        <v>23</v>
      </c>
      <c r="I12" s="134">
        <v>0</v>
      </c>
      <c r="J12" s="134">
        <v>1027</v>
      </c>
      <c r="K12" s="134">
        <v>1027</v>
      </c>
      <c r="L12" s="134">
        <v>0</v>
      </c>
      <c r="M12" s="134">
        <v>245</v>
      </c>
      <c r="N12" s="134">
        <v>245</v>
      </c>
      <c r="O12" s="134">
        <v>0</v>
      </c>
      <c r="P12" s="134">
        <v>782</v>
      </c>
      <c r="Q12" s="134">
        <v>782</v>
      </c>
      <c r="R12" s="134">
        <v>0</v>
      </c>
      <c r="S12" s="134">
        <v>91</v>
      </c>
      <c r="T12" s="134">
        <v>91</v>
      </c>
      <c r="U12" s="134">
        <v>0</v>
      </c>
      <c r="V12" s="134">
        <v>79</v>
      </c>
      <c r="W12" s="134">
        <v>79</v>
      </c>
      <c r="X12" s="134">
        <v>26</v>
      </c>
      <c r="Y12" s="134">
        <v>929</v>
      </c>
      <c r="Z12" s="134">
        <v>955</v>
      </c>
      <c r="AA12" s="134">
        <v>17</v>
      </c>
      <c r="AB12" s="134">
        <v>477</v>
      </c>
      <c r="AC12" s="134">
        <v>494</v>
      </c>
      <c r="AD12" s="134">
        <v>16</v>
      </c>
      <c r="AE12" s="134">
        <v>456</v>
      </c>
      <c r="AF12" s="134">
        <v>472</v>
      </c>
      <c r="AG12" s="134">
        <v>1</v>
      </c>
      <c r="AH12" s="134">
        <v>19</v>
      </c>
      <c r="AI12" s="134">
        <v>20</v>
      </c>
      <c r="AJ12" s="134">
        <v>0</v>
      </c>
      <c r="AK12" s="134">
        <v>2</v>
      </c>
      <c r="AL12" s="134">
        <v>2</v>
      </c>
      <c r="AM12" s="134">
        <v>9</v>
      </c>
      <c r="AN12" s="134">
        <v>452</v>
      </c>
      <c r="AO12" s="134">
        <v>461</v>
      </c>
      <c r="AP12" s="134">
        <v>3448</v>
      </c>
      <c r="AQ12" s="134">
        <v>25796</v>
      </c>
      <c r="AR12" s="134">
        <v>29244</v>
      </c>
      <c r="AS12" s="134">
        <v>3419</v>
      </c>
      <c r="AT12" s="134">
        <v>25527</v>
      </c>
      <c r="AU12" s="134">
        <v>28946</v>
      </c>
      <c r="AV12" s="134">
        <v>29</v>
      </c>
      <c r="AW12" s="134">
        <v>269</v>
      </c>
      <c r="AX12" s="134">
        <v>298</v>
      </c>
      <c r="AY12" s="134">
        <v>108</v>
      </c>
      <c r="AZ12" s="134">
        <v>2469</v>
      </c>
      <c r="BA12" s="134">
        <v>2577</v>
      </c>
      <c r="BB12" s="134">
        <v>65</v>
      </c>
      <c r="BC12" s="134">
        <v>3</v>
      </c>
      <c r="BD12" s="134">
        <v>0</v>
      </c>
      <c r="BE12" s="134">
        <v>946</v>
      </c>
      <c r="BF12" s="134">
        <v>15</v>
      </c>
      <c r="BG12" s="134">
        <v>7</v>
      </c>
      <c r="BH12" s="134">
        <v>68</v>
      </c>
      <c r="BI12" s="134">
        <v>968</v>
      </c>
      <c r="BJ12" s="134">
        <v>1036</v>
      </c>
      <c r="BK12" s="134">
        <v>-105</v>
      </c>
      <c r="BL12" s="134">
        <v>105</v>
      </c>
      <c r="BM12" s="134">
        <v>0</v>
      </c>
      <c r="BN12" s="134">
        <v>18</v>
      </c>
      <c r="BO12" s="134">
        <v>90</v>
      </c>
      <c r="BP12" s="134">
        <v>108</v>
      </c>
      <c r="BQ12" s="134">
        <v>8</v>
      </c>
      <c r="BR12" s="134">
        <v>27</v>
      </c>
      <c r="BS12" s="134">
        <v>35</v>
      </c>
      <c r="BT12" s="134">
        <v>119</v>
      </c>
      <c r="BU12" s="134">
        <v>1279</v>
      </c>
      <c r="BV12" s="134">
        <v>1398</v>
      </c>
      <c r="BW12" s="134">
        <v>3556</v>
      </c>
      <c r="BX12" s="134">
        <v>28265</v>
      </c>
      <c r="BY12" s="134">
        <v>31821</v>
      </c>
      <c r="BZ12" s="134">
        <v>3467</v>
      </c>
      <c r="CA12" s="134">
        <v>27708</v>
      </c>
      <c r="CB12" s="134">
        <v>31175</v>
      </c>
      <c r="CC12" s="134">
        <v>63555</v>
      </c>
      <c r="CD12" s="134">
        <v>26</v>
      </c>
      <c r="CE12" s="134">
        <v>689</v>
      </c>
      <c r="CF12" s="134">
        <v>87</v>
      </c>
      <c r="CG12" s="134">
        <v>423</v>
      </c>
      <c r="CH12" s="134">
        <v>510</v>
      </c>
      <c r="CI12" s="134">
        <v>172</v>
      </c>
      <c r="CJ12" s="134">
        <v>17</v>
      </c>
      <c r="CK12" s="134">
        <v>2</v>
      </c>
      <c r="CL12" s="134">
        <v>134</v>
      </c>
      <c r="CM12" s="134">
        <v>136</v>
      </c>
      <c r="CN12" s="134">
        <v>189</v>
      </c>
      <c r="CO12" s="134">
        <v>2781</v>
      </c>
      <c r="CP12" s="134">
        <v>2970</v>
      </c>
      <c r="CQ12" s="134">
        <v>0</v>
      </c>
      <c r="CR12" s="134">
        <v>0</v>
      </c>
      <c r="CS12" s="134">
        <v>0</v>
      </c>
      <c r="CT12" s="134">
        <v>3367</v>
      </c>
      <c r="CU12" s="134">
        <v>25484</v>
      </c>
      <c r="CV12" s="134">
        <v>28851</v>
      </c>
      <c r="CW12" s="134">
        <v>229</v>
      </c>
      <c r="CX12" s="134">
        <v>1138</v>
      </c>
      <c r="CY12" s="134">
        <v>1367</v>
      </c>
      <c r="CZ12" s="134">
        <v>220</v>
      </c>
      <c r="DA12" s="134">
        <v>6</v>
      </c>
      <c r="DB12" s="134">
        <v>0</v>
      </c>
      <c r="DC12" s="134">
        <v>1068</v>
      </c>
      <c r="DD12" s="134">
        <v>18</v>
      </c>
      <c r="DE12" s="134">
        <v>2</v>
      </c>
      <c r="DF12" s="134">
        <v>226</v>
      </c>
      <c r="DG12" s="134">
        <v>1088</v>
      </c>
      <c r="DH12" s="134">
        <v>1314</v>
      </c>
      <c r="DI12" s="134">
        <v>3</v>
      </c>
      <c r="DJ12" s="134">
        <v>0</v>
      </c>
      <c r="DK12" s="134">
        <v>0</v>
      </c>
      <c r="DL12" s="134">
        <v>48</v>
      </c>
      <c r="DM12" s="134">
        <v>2</v>
      </c>
      <c r="DN12" s="134">
        <v>0</v>
      </c>
      <c r="DO12" s="134">
        <v>3</v>
      </c>
      <c r="DP12" s="134">
        <v>50</v>
      </c>
      <c r="DQ12" s="134">
        <v>53</v>
      </c>
      <c r="DR12" s="134">
        <v>2</v>
      </c>
      <c r="DS12" s="134">
        <v>1</v>
      </c>
      <c r="DT12" s="135">
        <v>3</v>
      </c>
    </row>
    <row r="13" spans="1:129">
      <c r="A13" s="133" t="s">
        <v>282</v>
      </c>
      <c r="B13" s="134">
        <v>150</v>
      </c>
      <c r="C13" s="134">
        <v>9</v>
      </c>
      <c r="D13" s="134">
        <v>146</v>
      </c>
      <c r="E13" s="134">
        <v>100</v>
      </c>
      <c r="F13" s="134">
        <v>0</v>
      </c>
      <c r="G13" s="134">
        <v>0</v>
      </c>
      <c r="H13" s="134">
        <v>0</v>
      </c>
      <c r="I13" s="134">
        <v>0</v>
      </c>
      <c r="J13" s="134">
        <v>39</v>
      </c>
      <c r="K13" s="134">
        <v>39</v>
      </c>
      <c r="L13" s="134">
        <v>0</v>
      </c>
      <c r="M13" s="134">
        <v>11</v>
      </c>
      <c r="N13" s="134">
        <v>11</v>
      </c>
      <c r="O13" s="134">
        <v>0</v>
      </c>
      <c r="P13" s="134">
        <v>28</v>
      </c>
      <c r="Q13" s="134">
        <v>28</v>
      </c>
      <c r="R13" s="134">
        <v>0</v>
      </c>
      <c r="S13" s="134">
        <v>0</v>
      </c>
      <c r="T13" s="134">
        <v>0</v>
      </c>
      <c r="U13" s="134">
        <v>0</v>
      </c>
      <c r="V13" s="134">
        <v>7</v>
      </c>
      <c r="W13" s="134">
        <v>7</v>
      </c>
      <c r="X13" s="134">
        <v>6</v>
      </c>
      <c r="Y13" s="134">
        <v>139</v>
      </c>
      <c r="Z13" s="134">
        <v>145</v>
      </c>
      <c r="AA13" s="134">
        <v>6</v>
      </c>
      <c r="AB13" s="134">
        <v>69</v>
      </c>
      <c r="AC13" s="134">
        <v>75</v>
      </c>
      <c r="AD13" s="134">
        <v>6</v>
      </c>
      <c r="AE13" s="134">
        <v>66</v>
      </c>
      <c r="AF13" s="134">
        <v>72</v>
      </c>
      <c r="AG13" s="134">
        <v>0</v>
      </c>
      <c r="AH13" s="134">
        <v>3</v>
      </c>
      <c r="AI13" s="134">
        <v>3</v>
      </c>
      <c r="AJ13" s="134">
        <v>0</v>
      </c>
      <c r="AK13" s="134">
        <v>0</v>
      </c>
      <c r="AL13" s="134">
        <v>0</v>
      </c>
      <c r="AM13" s="134">
        <v>0</v>
      </c>
      <c r="AN13" s="134">
        <v>70</v>
      </c>
      <c r="AO13" s="134">
        <v>70</v>
      </c>
      <c r="AP13" s="134">
        <v>343</v>
      </c>
      <c r="AQ13" s="134">
        <v>2087</v>
      </c>
      <c r="AR13" s="134">
        <v>2430</v>
      </c>
      <c r="AS13" s="134">
        <v>343</v>
      </c>
      <c r="AT13" s="134">
        <v>2087</v>
      </c>
      <c r="AU13" s="134">
        <v>2430</v>
      </c>
      <c r="AV13" s="134">
        <v>0</v>
      </c>
      <c r="AW13" s="134">
        <v>0</v>
      </c>
      <c r="AX13" s="134">
        <v>0</v>
      </c>
      <c r="AY13" s="134">
        <v>21</v>
      </c>
      <c r="AZ13" s="134">
        <v>186</v>
      </c>
      <c r="BA13" s="134">
        <v>207</v>
      </c>
      <c r="BB13" s="134">
        <v>6</v>
      </c>
      <c r="BC13" s="134">
        <v>0</v>
      </c>
      <c r="BD13" s="134">
        <v>0</v>
      </c>
      <c r="BE13" s="134">
        <v>94</v>
      </c>
      <c r="BF13" s="134">
        <v>0</v>
      </c>
      <c r="BG13" s="134">
        <v>0</v>
      </c>
      <c r="BH13" s="134">
        <v>6</v>
      </c>
      <c r="BI13" s="134">
        <v>94</v>
      </c>
      <c r="BJ13" s="134">
        <v>100</v>
      </c>
      <c r="BK13" s="134">
        <v>5</v>
      </c>
      <c r="BL13" s="134">
        <v>-5</v>
      </c>
      <c r="BM13" s="134">
        <v>0</v>
      </c>
      <c r="BN13" s="134">
        <v>2</v>
      </c>
      <c r="BO13" s="134">
        <v>8</v>
      </c>
      <c r="BP13" s="134">
        <v>10</v>
      </c>
      <c r="BQ13" s="134">
        <v>1</v>
      </c>
      <c r="BR13" s="134">
        <v>23</v>
      </c>
      <c r="BS13" s="134">
        <v>24</v>
      </c>
      <c r="BT13" s="134">
        <v>7</v>
      </c>
      <c r="BU13" s="134">
        <v>66</v>
      </c>
      <c r="BV13" s="134">
        <v>73</v>
      </c>
      <c r="BW13" s="134">
        <v>364</v>
      </c>
      <c r="BX13" s="134">
        <v>2273</v>
      </c>
      <c r="BY13" s="134">
        <v>2637</v>
      </c>
      <c r="BZ13" s="134">
        <v>364</v>
      </c>
      <c r="CA13" s="134">
        <v>2272</v>
      </c>
      <c r="CB13" s="134">
        <v>2636</v>
      </c>
      <c r="CC13" s="134">
        <v>5296</v>
      </c>
      <c r="CD13" s="134">
        <v>0</v>
      </c>
      <c r="CE13" s="134">
        <v>1</v>
      </c>
      <c r="CF13" s="134">
        <v>0</v>
      </c>
      <c r="CG13" s="134">
        <v>1</v>
      </c>
      <c r="CH13" s="134">
        <v>1</v>
      </c>
      <c r="CI13" s="134">
        <v>0</v>
      </c>
      <c r="CJ13" s="134">
        <v>0</v>
      </c>
      <c r="CK13" s="134">
        <v>0</v>
      </c>
      <c r="CL13" s="134">
        <v>0</v>
      </c>
      <c r="CM13" s="134">
        <v>0</v>
      </c>
      <c r="CN13" s="134">
        <v>9</v>
      </c>
      <c r="CO13" s="134">
        <v>249</v>
      </c>
      <c r="CP13" s="134">
        <v>258</v>
      </c>
      <c r="CQ13" s="134">
        <v>0</v>
      </c>
      <c r="CR13" s="134">
        <v>1</v>
      </c>
      <c r="CS13" s="134">
        <v>1</v>
      </c>
      <c r="CT13" s="134">
        <v>355</v>
      </c>
      <c r="CU13" s="134">
        <v>2024</v>
      </c>
      <c r="CV13" s="134">
        <v>2379</v>
      </c>
      <c r="CW13" s="134">
        <v>31</v>
      </c>
      <c r="CX13" s="134">
        <v>89</v>
      </c>
      <c r="CY13" s="134">
        <v>120</v>
      </c>
      <c r="CZ13" s="134">
        <v>31</v>
      </c>
      <c r="DA13" s="134">
        <v>0</v>
      </c>
      <c r="DB13" s="134">
        <v>0</v>
      </c>
      <c r="DC13" s="134">
        <v>89</v>
      </c>
      <c r="DD13" s="134">
        <v>0</v>
      </c>
      <c r="DE13" s="134">
        <v>0</v>
      </c>
      <c r="DF13" s="134">
        <v>31</v>
      </c>
      <c r="DG13" s="134">
        <v>89</v>
      </c>
      <c r="DH13" s="134">
        <v>120</v>
      </c>
      <c r="DI13" s="134">
        <v>0</v>
      </c>
      <c r="DJ13" s="134">
        <v>0</v>
      </c>
      <c r="DK13" s="134">
        <v>0</v>
      </c>
      <c r="DL13" s="134">
        <v>0</v>
      </c>
      <c r="DM13" s="134">
        <v>0</v>
      </c>
      <c r="DN13" s="134">
        <v>0</v>
      </c>
      <c r="DO13" s="134">
        <v>0</v>
      </c>
      <c r="DP13" s="134">
        <v>0</v>
      </c>
      <c r="DQ13" s="134">
        <v>0</v>
      </c>
      <c r="DR13" s="134">
        <v>0</v>
      </c>
      <c r="DS13" s="134">
        <v>0</v>
      </c>
      <c r="DT13" s="135">
        <v>0</v>
      </c>
    </row>
    <row r="14" spans="1:129" ht="15.75">
      <c r="A14" s="133" t="s">
        <v>357</v>
      </c>
      <c r="B14" s="134">
        <v>600</v>
      </c>
      <c r="C14" s="134">
        <v>124</v>
      </c>
      <c r="D14" s="134">
        <v>585</v>
      </c>
      <c r="E14" s="134">
        <v>373</v>
      </c>
      <c r="F14" s="134">
        <v>0</v>
      </c>
      <c r="G14" s="134">
        <v>9</v>
      </c>
      <c r="H14" s="134">
        <v>9</v>
      </c>
      <c r="I14" s="134">
        <v>0</v>
      </c>
      <c r="J14" s="134">
        <v>196</v>
      </c>
      <c r="K14" s="134">
        <v>196</v>
      </c>
      <c r="L14" s="134">
        <v>0</v>
      </c>
      <c r="M14" s="134">
        <v>46</v>
      </c>
      <c r="N14" s="134">
        <v>46</v>
      </c>
      <c r="O14" s="134">
        <v>0</v>
      </c>
      <c r="P14" s="134">
        <v>150</v>
      </c>
      <c r="Q14" s="134">
        <v>150</v>
      </c>
      <c r="R14" s="134">
        <v>0</v>
      </c>
      <c r="S14" s="134">
        <v>0</v>
      </c>
      <c r="T14" s="134">
        <v>0</v>
      </c>
      <c r="U14" s="134">
        <v>0</v>
      </c>
      <c r="V14" s="134">
        <v>16</v>
      </c>
      <c r="W14" s="134">
        <v>16</v>
      </c>
      <c r="X14" s="134">
        <v>10</v>
      </c>
      <c r="Y14" s="134">
        <v>575</v>
      </c>
      <c r="Z14" s="134">
        <v>585</v>
      </c>
      <c r="AA14" s="134">
        <v>5</v>
      </c>
      <c r="AB14" s="134">
        <v>270</v>
      </c>
      <c r="AC14" s="134">
        <v>275</v>
      </c>
      <c r="AD14" s="134">
        <v>5</v>
      </c>
      <c r="AE14" s="134">
        <v>263</v>
      </c>
      <c r="AF14" s="134">
        <v>268</v>
      </c>
      <c r="AG14" s="134">
        <v>0</v>
      </c>
      <c r="AH14" s="134">
        <v>6</v>
      </c>
      <c r="AI14" s="134">
        <v>6</v>
      </c>
      <c r="AJ14" s="134">
        <v>0</v>
      </c>
      <c r="AK14" s="134">
        <v>1</v>
      </c>
      <c r="AL14" s="134">
        <v>1</v>
      </c>
      <c r="AM14" s="134">
        <v>5</v>
      </c>
      <c r="AN14" s="134">
        <v>305</v>
      </c>
      <c r="AO14" s="134">
        <v>310</v>
      </c>
      <c r="AP14" s="134">
        <v>476</v>
      </c>
      <c r="AQ14" s="134">
        <v>5612</v>
      </c>
      <c r="AR14" s="134">
        <v>6088</v>
      </c>
      <c r="AS14" s="134">
        <v>476</v>
      </c>
      <c r="AT14" s="134">
        <v>5612</v>
      </c>
      <c r="AU14" s="134">
        <v>6088</v>
      </c>
      <c r="AV14" s="134">
        <v>0</v>
      </c>
      <c r="AW14" s="134">
        <v>0</v>
      </c>
      <c r="AX14" s="134">
        <v>0</v>
      </c>
      <c r="AY14" s="134">
        <v>29</v>
      </c>
      <c r="AZ14" s="134">
        <v>580</v>
      </c>
      <c r="BA14" s="134">
        <v>609</v>
      </c>
      <c r="BB14" s="134">
        <v>13</v>
      </c>
      <c r="BC14" s="134">
        <v>0</v>
      </c>
      <c r="BD14" s="134">
        <v>0</v>
      </c>
      <c r="BE14" s="134">
        <v>357</v>
      </c>
      <c r="BF14" s="134">
        <v>0</v>
      </c>
      <c r="BG14" s="134">
        <v>3</v>
      </c>
      <c r="BH14" s="134">
        <v>13</v>
      </c>
      <c r="BI14" s="134">
        <v>360</v>
      </c>
      <c r="BJ14" s="134">
        <v>373</v>
      </c>
      <c r="BK14" s="134">
        <v>-3</v>
      </c>
      <c r="BL14" s="134">
        <v>3</v>
      </c>
      <c r="BM14" s="134">
        <v>0</v>
      </c>
      <c r="BN14" s="134">
        <v>4</v>
      </c>
      <c r="BO14" s="134">
        <v>8</v>
      </c>
      <c r="BP14" s="134">
        <v>12</v>
      </c>
      <c r="BQ14" s="134">
        <v>3</v>
      </c>
      <c r="BR14" s="134">
        <v>80</v>
      </c>
      <c r="BS14" s="134">
        <v>83</v>
      </c>
      <c r="BT14" s="134">
        <v>12</v>
      </c>
      <c r="BU14" s="134">
        <v>129</v>
      </c>
      <c r="BV14" s="134">
        <v>141</v>
      </c>
      <c r="BW14" s="134">
        <v>505</v>
      </c>
      <c r="BX14" s="134">
        <v>6192</v>
      </c>
      <c r="BY14" s="134">
        <v>6697</v>
      </c>
      <c r="BZ14" s="134">
        <v>503</v>
      </c>
      <c r="CA14" s="134">
        <v>6159</v>
      </c>
      <c r="CB14" s="134">
        <v>6662</v>
      </c>
      <c r="CC14" s="134">
        <v>11654</v>
      </c>
      <c r="CD14" s="134">
        <v>2</v>
      </c>
      <c r="CE14" s="134">
        <v>31</v>
      </c>
      <c r="CF14" s="134">
        <v>2</v>
      </c>
      <c r="CG14" s="134">
        <v>24</v>
      </c>
      <c r="CH14" s="134">
        <v>26</v>
      </c>
      <c r="CI14" s="134">
        <v>10</v>
      </c>
      <c r="CJ14" s="134">
        <v>0</v>
      </c>
      <c r="CK14" s="134">
        <v>0</v>
      </c>
      <c r="CL14" s="134">
        <v>9</v>
      </c>
      <c r="CM14" s="134">
        <v>9</v>
      </c>
      <c r="CN14" s="134">
        <v>34</v>
      </c>
      <c r="CO14" s="134">
        <v>583</v>
      </c>
      <c r="CP14" s="134">
        <v>617</v>
      </c>
      <c r="CQ14" s="134">
        <v>0</v>
      </c>
      <c r="CR14" s="134">
        <v>2</v>
      </c>
      <c r="CS14" s="134">
        <v>2</v>
      </c>
      <c r="CT14" s="134">
        <v>471</v>
      </c>
      <c r="CU14" s="134">
        <v>5609</v>
      </c>
      <c r="CV14" s="134">
        <v>6080</v>
      </c>
      <c r="CW14" s="134">
        <v>25</v>
      </c>
      <c r="CX14" s="134">
        <v>190</v>
      </c>
      <c r="CY14" s="134">
        <v>215</v>
      </c>
      <c r="CZ14" s="134">
        <v>25</v>
      </c>
      <c r="DA14" s="134">
        <v>0</v>
      </c>
      <c r="DB14" s="134">
        <v>0</v>
      </c>
      <c r="DC14" s="134">
        <v>184</v>
      </c>
      <c r="DD14" s="134">
        <v>1</v>
      </c>
      <c r="DE14" s="134">
        <v>0</v>
      </c>
      <c r="DF14" s="134">
        <v>25</v>
      </c>
      <c r="DG14" s="134">
        <v>185</v>
      </c>
      <c r="DH14" s="134">
        <v>210</v>
      </c>
      <c r="DI14" s="134">
        <v>0</v>
      </c>
      <c r="DJ14" s="134">
        <v>0</v>
      </c>
      <c r="DK14" s="134">
        <v>0</v>
      </c>
      <c r="DL14" s="134">
        <v>5</v>
      </c>
      <c r="DM14" s="134">
        <v>0</v>
      </c>
      <c r="DN14" s="134">
        <v>0</v>
      </c>
      <c r="DO14" s="134">
        <v>0</v>
      </c>
      <c r="DP14" s="134">
        <v>5</v>
      </c>
      <c r="DQ14" s="134">
        <v>5</v>
      </c>
      <c r="DR14" s="134">
        <v>0</v>
      </c>
      <c r="DS14" s="134">
        <v>0</v>
      </c>
      <c r="DT14" s="135">
        <v>0</v>
      </c>
    </row>
    <row r="15" spans="1:129">
      <c r="A15" s="133" t="s">
        <v>284</v>
      </c>
      <c r="B15" s="134">
        <v>5729</v>
      </c>
      <c r="C15" s="134">
        <v>2465</v>
      </c>
      <c r="D15" s="134">
        <v>5457</v>
      </c>
      <c r="E15" s="134">
        <v>3720</v>
      </c>
      <c r="F15" s="134">
        <v>18</v>
      </c>
      <c r="G15" s="134">
        <v>233</v>
      </c>
      <c r="H15" s="134">
        <v>251</v>
      </c>
      <c r="I15" s="134">
        <v>7</v>
      </c>
      <c r="J15" s="134">
        <v>1610</v>
      </c>
      <c r="K15" s="134">
        <v>1617</v>
      </c>
      <c r="L15" s="134">
        <v>7</v>
      </c>
      <c r="M15" s="134">
        <v>1607</v>
      </c>
      <c r="N15" s="134">
        <v>1614</v>
      </c>
      <c r="O15" s="134">
        <v>0</v>
      </c>
      <c r="P15" s="134">
        <v>3</v>
      </c>
      <c r="Q15" s="134">
        <v>3</v>
      </c>
      <c r="R15" s="134">
        <v>2</v>
      </c>
      <c r="S15" s="134">
        <v>407</v>
      </c>
      <c r="T15" s="134">
        <v>409</v>
      </c>
      <c r="U15" s="134">
        <v>0</v>
      </c>
      <c r="V15" s="134">
        <v>120</v>
      </c>
      <c r="W15" s="134">
        <v>120</v>
      </c>
      <c r="X15" s="134">
        <v>77</v>
      </c>
      <c r="Y15" s="134">
        <v>3787</v>
      </c>
      <c r="Z15" s="134">
        <v>3864</v>
      </c>
      <c r="AA15" s="134">
        <v>42</v>
      </c>
      <c r="AB15" s="134">
        <v>1763</v>
      </c>
      <c r="AC15" s="134">
        <v>1805</v>
      </c>
      <c r="AD15" s="134">
        <v>42</v>
      </c>
      <c r="AE15" s="134">
        <v>1650</v>
      </c>
      <c r="AF15" s="134">
        <v>1692</v>
      </c>
      <c r="AG15" s="134">
        <v>0</v>
      </c>
      <c r="AH15" s="134">
        <v>83</v>
      </c>
      <c r="AI15" s="134">
        <v>83</v>
      </c>
      <c r="AJ15" s="134">
        <v>0</v>
      </c>
      <c r="AK15" s="134">
        <v>30</v>
      </c>
      <c r="AL15" s="134">
        <v>30</v>
      </c>
      <c r="AM15" s="134">
        <v>35</v>
      </c>
      <c r="AN15" s="134">
        <v>2024</v>
      </c>
      <c r="AO15" s="134">
        <v>2059</v>
      </c>
      <c r="AP15" s="134">
        <v>11197</v>
      </c>
      <c r="AQ15" s="134">
        <v>74056</v>
      </c>
      <c r="AR15" s="134">
        <v>85253</v>
      </c>
      <c r="AS15" s="134">
        <v>10670</v>
      </c>
      <c r="AT15" s="134">
        <v>70817</v>
      </c>
      <c r="AU15" s="134">
        <v>81487</v>
      </c>
      <c r="AV15" s="134">
        <v>527</v>
      </c>
      <c r="AW15" s="134">
        <v>3239</v>
      </c>
      <c r="AX15" s="134">
        <v>3766</v>
      </c>
      <c r="AY15" s="134">
        <v>232</v>
      </c>
      <c r="AZ15" s="134">
        <v>3623</v>
      </c>
      <c r="BA15" s="134">
        <v>3855</v>
      </c>
      <c r="BB15" s="134">
        <v>252</v>
      </c>
      <c r="BC15" s="134">
        <v>2</v>
      </c>
      <c r="BD15" s="134">
        <v>2</v>
      </c>
      <c r="BE15" s="134">
        <v>3396</v>
      </c>
      <c r="BF15" s="134">
        <v>32</v>
      </c>
      <c r="BG15" s="134">
        <v>36</v>
      </c>
      <c r="BH15" s="134">
        <v>256</v>
      </c>
      <c r="BI15" s="134">
        <v>3464</v>
      </c>
      <c r="BJ15" s="134">
        <v>3720</v>
      </c>
      <c r="BK15" s="134">
        <v>-53</v>
      </c>
      <c r="BL15" s="134">
        <v>53</v>
      </c>
      <c r="BM15" s="134">
        <v>0</v>
      </c>
      <c r="BN15" s="134">
        <v>23</v>
      </c>
      <c r="BO15" s="134">
        <v>64</v>
      </c>
      <c r="BP15" s="134">
        <v>87</v>
      </c>
      <c r="BQ15" s="134">
        <v>3</v>
      </c>
      <c r="BR15" s="134">
        <v>8</v>
      </c>
      <c r="BS15" s="134">
        <v>11</v>
      </c>
      <c r="BT15" s="134">
        <v>3</v>
      </c>
      <c r="BU15" s="134">
        <v>34</v>
      </c>
      <c r="BV15" s="134">
        <v>37</v>
      </c>
      <c r="BW15" s="134">
        <v>11429</v>
      </c>
      <c r="BX15" s="134">
        <v>77679</v>
      </c>
      <c r="BY15" s="134">
        <v>89108</v>
      </c>
      <c r="BZ15" s="134">
        <v>11242</v>
      </c>
      <c r="CA15" s="134">
        <v>76816</v>
      </c>
      <c r="CB15" s="134">
        <v>88058</v>
      </c>
      <c r="CC15" s="134">
        <v>203902</v>
      </c>
      <c r="CD15" s="134">
        <v>68</v>
      </c>
      <c r="CE15" s="134">
        <v>887</v>
      </c>
      <c r="CF15" s="134">
        <v>176</v>
      </c>
      <c r="CG15" s="134">
        <v>627</v>
      </c>
      <c r="CH15" s="134">
        <v>803</v>
      </c>
      <c r="CI15" s="134">
        <v>275</v>
      </c>
      <c r="CJ15" s="134">
        <v>29</v>
      </c>
      <c r="CK15" s="134">
        <v>11</v>
      </c>
      <c r="CL15" s="134">
        <v>236</v>
      </c>
      <c r="CM15" s="134">
        <v>247</v>
      </c>
      <c r="CN15" s="134">
        <v>740</v>
      </c>
      <c r="CO15" s="134">
        <v>6563</v>
      </c>
      <c r="CP15" s="134">
        <v>7303</v>
      </c>
      <c r="CQ15" s="134">
        <v>0</v>
      </c>
      <c r="CR15" s="134">
        <v>0</v>
      </c>
      <c r="CS15" s="134">
        <v>0</v>
      </c>
      <c r="CT15" s="134">
        <v>10689</v>
      </c>
      <c r="CU15" s="134">
        <v>71116</v>
      </c>
      <c r="CV15" s="134">
        <v>81805</v>
      </c>
      <c r="CW15" s="134">
        <v>903</v>
      </c>
      <c r="CX15" s="134">
        <v>5311</v>
      </c>
      <c r="CY15" s="134">
        <v>6214</v>
      </c>
      <c r="CZ15" s="134">
        <v>760</v>
      </c>
      <c r="DA15" s="134">
        <v>9</v>
      </c>
      <c r="DB15" s="134">
        <v>1</v>
      </c>
      <c r="DC15" s="134">
        <v>4157</v>
      </c>
      <c r="DD15" s="134">
        <v>49</v>
      </c>
      <c r="DE15" s="134">
        <v>10</v>
      </c>
      <c r="DF15" s="134">
        <v>770</v>
      </c>
      <c r="DG15" s="134">
        <v>4216</v>
      </c>
      <c r="DH15" s="134">
        <v>4986</v>
      </c>
      <c r="DI15" s="134">
        <v>132</v>
      </c>
      <c r="DJ15" s="134">
        <v>1</v>
      </c>
      <c r="DK15" s="134">
        <v>0</v>
      </c>
      <c r="DL15" s="134">
        <v>1073</v>
      </c>
      <c r="DM15" s="134">
        <v>19</v>
      </c>
      <c r="DN15" s="134">
        <v>3</v>
      </c>
      <c r="DO15" s="134">
        <v>133</v>
      </c>
      <c r="DP15" s="134">
        <v>1095</v>
      </c>
      <c r="DQ15" s="134">
        <v>1228</v>
      </c>
      <c r="DR15" s="134">
        <v>3</v>
      </c>
      <c r="DS15" s="134">
        <v>71</v>
      </c>
      <c r="DT15" s="135">
        <v>74</v>
      </c>
    </row>
    <row r="16" spans="1:129" s="116" customFormat="1">
      <c r="A16" s="133" t="s">
        <v>285</v>
      </c>
      <c r="B16" s="134">
        <v>104</v>
      </c>
      <c r="C16" s="134">
        <v>13</v>
      </c>
      <c r="D16" s="134">
        <v>89</v>
      </c>
      <c r="E16" s="134">
        <v>57</v>
      </c>
      <c r="F16" s="134">
        <v>0</v>
      </c>
      <c r="G16" s="134">
        <v>0</v>
      </c>
      <c r="H16" s="134">
        <v>0</v>
      </c>
      <c r="I16" s="134">
        <v>0</v>
      </c>
      <c r="J16" s="134">
        <v>30</v>
      </c>
      <c r="K16" s="134">
        <v>30</v>
      </c>
      <c r="L16" s="134">
        <v>0</v>
      </c>
      <c r="M16" s="134">
        <v>13</v>
      </c>
      <c r="N16" s="134">
        <v>13</v>
      </c>
      <c r="O16" s="134">
        <v>0</v>
      </c>
      <c r="P16" s="134">
        <v>17</v>
      </c>
      <c r="Q16" s="134">
        <v>17</v>
      </c>
      <c r="R16" s="134">
        <v>0</v>
      </c>
      <c r="S16" s="134">
        <v>0</v>
      </c>
      <c r="T16" s="134">
        <v>0</v>
      </c>
      <c r="U16" s="134">
        <v>0</v>
      </c>
      <c r="V16" s="134">
        <v>2</v>
      </c>
      <c r="W16" s="134">
        <v>2</v>
      </c>
      <c r="X16" s="134">
        <v>4</v>
      </c>
      <c r="Y16" s="134">
        <v>85</v>
      </c>
      <c r="Z16" s="134">
        <v>89</v>
      </c>
      <c r="AA16" s="134">
        <v>1</v>
      </c>
      <c r="AB16" s="134">
        <v>32</v>
      </c>
      <c r="AC16" s="134">
        <v>33</v>
      </c>
      <c r="AD16" s="134">
        <v>1</v>
      </c>
      <c r="AE16" s="134">
        <v>31</v>
      </c>
      <c r="AF16" s="134">
        <v>32</v>
      </c>
      <c r="AG16" s="134">
        <v>0</v>
      </c>
      <c r="AH16" s="134">
        <v>1</v>
      </c>
      <c r="AI16" s="134">
        <v>1</v>
      </c>
      <c r="AJ16" s="134">
        <v>0</v>
      </c>
      <c r="AK16" s="134">
        <v>0</v>
      </c>
      <c r="AL16" s="134">
        <v>0</v>
      </c>
      <c r="AM16" s="134">
        <v>3</v>
      </c>
      <c r="AN16" s="134">
        <v>53</v>
      </c>
      <c r="AO16" s="134">
        <v>56</v>
      </c>
      <c r="AP16" s="134">
        <v>190</v>
      </c>
      <c r="AQ16" s="134">
        <v>1202</v>
      </c>
      <c r="AR16" s="134">
        <v>1392</v>
      </c>
      <c r="AS16" s="134">
        <v>190</v>
      </c>
      <c r="AT16" s="134">
        <v>1202</v>
      </c>
      <c r="AU16" s="134">
        <v>1392</v>
      </c>
      <c r="AV16" s="134">
        <v>0</v>
      </c>
      <c r="AW16" s="134">
        <v>0</v>
      </c>
      <c r="AX16" s="134">
        <v>0</v>
      </c>
      <c r="AY16" s="134">
        <v>9</v>
      </c>
      <c r="AZ16" s="134">
        <v>106</v>
      </c>
      <c r="BA16" s="134">
        <v>115</v>
      </c>
      <c r="BB16" s="134">
        <v>6</v>
      </c>
      <c r="BC16" s="134">
        <v>0</v>
      </c>
      <c r="BD16" s="134">
        <v>0</v>
      </c>
      <c r="BE16" s="134">
        <v>49</v>
      </c>
      <c r="BF16" s="134">
        <v>2</v>
      </c>
      <c r="BG16" s="134">
        <v>0</v>
      </c>
      <c r="BH16" s="134">
        <v>6</v>
      </c>
      <c r="BI16" s="134">
        <v>51</v>
      </c>
      <c r="BJ16" s="134">
        <v>57</v>
      </c>
      <c r="BK16" s="134">
        <v>-7</v>
      </c>
      <c r="BL16" s="134">
        <v>7</v>
      </c>
      <c r="BM16" s="134">
        <v>0</v>
      </c>
      <c r="BN16" s="134">
        <v>3</v>
      </c>
      <c r="BO16" s="134">
        <v>6</v>
      </c>
      <c r="BP16" s="134">
        <v>9</v>
      </c>
      <c r="BQ16" s="134">
        <v>3</v>
      </c>
      <c r="BR16" s="134">
        <v>13</v>
      </c>
      <c r="BS16" s="134">
        <v>16</v>
      </c>
      <c r="BT16" s="134">
        <v>4</v>
      </c>
      <c r="BU16" s="134">
        <v>29</v>
      </c>
      <c r="BV16" s="134">
        <v>33</v>
      </c>
      <c r="BW16" s="134">
        <v>199</v>
      </c>
      <c r="BX16" s="134">
        <v>1308</v>
      </c>
      <c r="BY16" s="134">
        <v>1507</v>
      </c>
      <c r="BZ16" s="134">
        <v>198</v>
      </c>
      <c r="CA16" s="134">
        <v>1300</v>
      </c>
      <c r="CB16" s="134">
        <v>1498</v>
      </c>
      <c r="CC16" s="134">
        <v>3460</v>
      </c>
      <c r="CD16" s="134">
        <v>0</v>
      </c>
      <c r="CE16" s="134">
        <v>9</v>
      </c>
      <c r="CF16" s="134">
        <v>1</v>
      </c>
      <c r="CG16" s="134">
        <v>8</v>
      </c>
      <c r="CH16" s="134">
        <v>9</v>
      </c>
      <c r="CI16" s="134">
        <v>0</v>
      </c>
      <c r="CJ16" s="134">
        <v>0</v>
      </c>
      <c r="CK16" s="134">
        <v>0</v>
      </c>
      <c r="CL16" s="134">
        <v>0</v>
      </c>
      <c r="CM16" s="134">
        <v>0</v>
      </c>
      <c r="CN16" s="134">
        <v>9</v>
      </c>
      <c r="CO16" s="134">
        <v>110</v>
      </c>
      <c r="CP16" s="134">
        <v>119</v>
      </c>
      <c r="CQ16" s="134">
        <v>4</v>
      </c>
      <c r="CR16" s="134">
        <v>29</v>
      </c>
      <c r="CS16" s="134">
        <v>33</v>
      </c>
      <c r="CT16" s="134">
        <v>190</v>
      </c>
      <c r="CU16" s="134">
        <v>1198</v>
      </c>
      <c r="CV16" s="134">
        <v>1388</v>
      </c>
      <c r="CW16" s="134">
        <v>12</v>
      </c>
      <c r="CX16" s="134">
        <v>59</v>
      </c>
      <c r="CY16" s="134">
        <v>71</v>
      </c>
      <c r="CZ16" s="134">
        <v>12</v>
      </c>
      <c r="DA16" s="134">
        <v>0</v>
      </c>
      <c r="DB16" s="134">
        <v>0</v>
      </c>
      <c r="DC16" s="134">
        <v>57</v>
      </c>
      <c r="DD16" s="134">
        <v>1</v>
      </c>
      <c r="DE16" s="134">
        <v>0</v>
      </c>
      <c r="DF16" s="134">
        <v>12</v>
      </c>
      <c r="DG16" s="134">
        <v>58</v>
      </c>
      <c r="DH16" s="134">
        <v>70</v>
      </c>
      <c r="DI16" s="134">
        <v>0</v>
      </c>
      <c r="DJ16" s="134">
        <v>0</v>
      </c>
      <c r="DK16" s="134">
        <v>0</v>
      </c>
      <c r="DL16" s="134">
        <v>1</v>
      </c>
      <c r="DM16" s="134">
        <v>0</v>
      </c>
      <c r="DN16" s="134">
        <v>0</v>
      </c>
      <c r="DO16" s="134">
        <v>0</v>
      </c>
      <c r="DP16" s="134">
        <v>1</v>
      </c>
      <c r="DQ16" s="134">
        <v>1</v>
      </c>
      <c r="DR16" s="134">
        <v>0</v>
      </c>
      <c r="DS16" s="134">
        <v>0</v>
      </c>
      <c r="DT16" s="135">
        <v>0</v>
      </c>
      <c r="DV16" s="136"/>
      <c r="DW16" s="137"/>
      <c r="DX16" s="136"/>
      <c r="DY16" s="136"/>
    </row>
    <row r="17" spans="1:129" s="116" customFormat="1">
      <c r="A17" s="133" t="s">
        <v>286</v>
      </c>
      <c r="B17" s="134">
        <v>1117</v>
      </c>
      <c r="C17" s="134">
        <v>307</v>
      </c>
      <c r="D17" s="134">
        <v>1279</v>
      </c>
      <c r="E17" s="134">
        <v>637</v>
      </c>
      <c r="F17" s="134">
        <v>0</v>
      </c>
      <c r="G17" s="134">
        <v>28</v>
      </c>
      <c r="H17" s="134">
        <v>28</v>
      </c>
      <c r="I17" s="134">
        <v>0</v>
      </c>
      <c r="J17" s="134">
        <v>595</v>
      </c>
      <c r="K17" s="134">
        <v>595</v>
      </c>
      <c r="L17" s="134">
        <v>0</v>
      </c>
      <c r="M17" s="134">
        <v>142</v>
      </c>
      <c r="N17" s="134">
        <v>142</v>
      </c>
      <c r="O17" s="134">
        <v>0</v>
      </c>
      <c r="P17" s="134">
        <v>453</v>
      </c>
      <c r="Q17" s="134">
        <v>453</v>
      </c>
      <c r="R17" s="134">
        <v>0</v>
      </c>
      <c r="S17" s="134">
        <v>15</v>
      </c>
      <c r="T17" s="134">
        <v>15</v>
      </c>
      <c r="U17" s="134">
        <v>0</v>
      </c>
      <c r="V17" s="134">
        <v>47</v>
      </c>
      <c r="W17" s="134">
        <v>47</v>
      </c>
      <c r="X17" s="134">
        <v>11</v>
      </c>
      <c r="Y17" s="134">
        <v>1268</v>
      </c>
      <c r="Z17" s="134">
        <v>1279</v>
      </c>
      <c r="AA17" s="134">
        <v>9</v>
      </c>
      <c r="AB17" s="134">
        <v>409</v>
      </c>
      <c r="AC17" s="134">
        <v>418</v>
      </c>
      <c r="AD17" s="134">
        <v>8</v>
      </c>
      <c r="AE17" s="134">
        <v>398</v>
      </c>
      <c r="AF17" s="134">
        <v>406</v>
      </c>
      <c r="AG17" s="134">
        <v>1</v>
      </c>
      <c r="AH17" s="134">
        <v>7</v>
      </c>
      <c r="AI17" s="134">
        <v>8</v>
      </c>
      <c r="AJ17" s="134">
        <v>0</v>
      </c>
      <c r="AK17" s="134">
        <v>4</v>
      </c>
      <c r="AL17" s="134">
        <v>4</v>
      </c>
      <c r="AM17" s="134">
        <v>2</v>
      </c>
      <c r="AN17" s="134">
        <v>859</v>
      </c>
      <c r="AO17" s="134">
        <v>861</v>
      </c>
      <c r="AP17" s="134">
        <v>775</v>
      </c>
      <c r="AQ17" s="134">
        <v>10290</v>
      </c>
      <c r="AR17" s="134">
        <v>11065</v>
      </c>
      <c r="AS17" s="134">
        <v>775</v>
      </c>
      <c r="AT17" s="134">
        <v>10290</v>
      </c>
      <c r="AU17" s="134">
        <v>11065</v>
      </c>
      <c r="AV17" s="134">
        <v>0</v>
      </c>
      <c r="AW17" s="134">
        <v>0</v>
      </c>
      <c r="AX17" s="134">
        <v>0</v>
      </c>
      <c r="AY17" s="134">
        <v>31</v>
      </c>
      <c r="AZ17" s="134">
        <v>1119</v>
      </c>
      <c r="BA17" s="134">
        <v>1150</v>
      </c>
      <c r="BB17" s="134">
        <v>10</v>
      </c>
      <c r="BC17" s="134">
        <v>0</v>
      </c>
      <c r="BD17" s="134">
        <v>0</v>
      </c>
      <c r="BE17" s="134">
        <v>625</v>
      </c>
      <c r="BF17" s="134">
        <v>1</v>
      </c>
      <c r="BG17" s="134">
        <v>1</v>
      </c>
      <c r="BH17" s="134">
        <v>10</v>
      </c>
      <c r="BI17" s="134">
        <v>627</v>
      </c>
      <c r="BJ17" s="134">
        <v>637</v>
      </c>
      <c r="BK17" s="134">
        <v>-22</v>
      </c>
      <c r="BL17" s="134">
        <v>22</v>
      </c>
      <c r="BM17" s="134">
        <v>0</v>
      </c>
      <c r="BN17" s="134">
        <v>7</v>
      </c>
      <c r="BO17" s="134">
        <v>33</v>
      </c>
      <c r="BP17" s="134">
        <v>40</v>
      </c>
      <c r="BQ17" s="134">
        <v>3</v>
      </c>
      <c r="BR17" s="134">
        <v>129</v>
      </c>
      <c r="BS17" s="134">
        <v>132</v>
      </c>
      <c r="BT17" s="134">
        <v>33</v>
      </c>
      <c r="BU17" s="134">
        <v>308</v>
      </c>
      <c r="BV17" s="134">
        <v>341</v>
      </c>
      <c r="BW17" s="134">
        <v>806</v>
      </c>
      <c r="BX17" s="134">
        <v>11409</v>
      </c>
      <c r="BY17" s="134">
        <v>12215</v>
      </c>
      <c r="BZ17" s="134">
        <v>805</v>
      </c>
      <c r="CA17" s="134">
        <v>11375</v>
      </c>
      <c r="CB17" s="134">
        <v>12180</v>
      </c>
      <c r="CC17" s="134">
        <v>20314</v>
      </c>
      <c r="CD17" s="134">
        <v>8</v>
      </c>
      <c r="CE17" s="134">
        <v>31</v>
      </c>
      <c r="CF17" s="134">
        <v>1</v>
      </c>
      <c r="CG17" s="134">
        <v>31</v>
      </c>
      <c r="CH17" s="134">
        <v>32</v>
      </c>
      <c r="CI17" s="134">
        <v>3</v>
      </c>
      <c r="CJ17" s="134">
        <v>0</v>
      </c>
      <c r="CK17" s="134">
        <v>0</v>
      </c>
      <c r="CL17" s="134">
        <v>3</v>
      </c>
      <c r="CM17" s="134">
        <v>3</v>
      </c>
      <c r="CN17" s="134">
        <v>32</v>
      </c>
      <c r="CO17" s="134">
        <v>1011</v>
      </c>
      <c r="CP17" s="134">
        <v>1043</v>
      </c>
      <c r="CQ17" s="134">
        <v>0</v>
      </c>
      <c r="CR17" s="134">
        <v>14</v>
      </c>
      <c r="CS17" s="134">
        <v>14</v>
      </c>
      <c r="CT17" s="134">
        <v>774</v>
      </c>
      <c r="CU17" s="134">
        <v>10398</v>
      </c>
      <c r="CV17" s="134">
        <v>11172</v>
      </c>
      <c r="CW17" s="134">
        <v>52</v>
      </c>
      <c r="CX17" s="134">
        <v>406</v>
      </c>
      <c r="CY17" s="134">
        <v>458</v>
      </c>
      <c r="CZ17" s="134">
        <v>52</v>
      </c>
      <c r="DA17" s="134">
        <v>0</v>
      </c>
      <c r="DB17" s="134">
        <v>0</v>
      </c>
      <c r="DC17" s="134">
        <v>400</v>
      </c>
      <c r="DD17" s="134">
        <v>2</v>
      </c>
      <c r="DE17" s="134">
        <v>1</v>
      </c>
      <c r="DF17" s="134">
        <v>52</v>
      </c>
      <c r="DG17" s="134">
        <v>403</v>
      </c>
      <c r="DH17" s="134">
        <v>455</v>
      </c>
      <c r="DI17" s="134">
        <v>0</v>
      </c>
      <c r="DJ17" s="134">
        <v>0</v>
      </c>
      <c r="DK17" s="134">
        <v>0</v>
      </c>
      <c r="DL17" s="134">
        <v>3</v>
      </c>
      <c r="DM17" s="134">
        <v>0</v>
      </c>
      <c r="DN17" s="134">
        <v>0</v>
      </c>
      <c r="DO17" s="134">
        <v>0</v>
      </c>
      <c r="DP17" s="134">
        <v>3</v>
      </c>
      <c r="DQ17" s="134">
        <v>3</v>
      </c>
      <c r="DR17" s="134">
        <v>0</v>
      </c>
      <c r="DS17" s="134">
        <v>0</v>
      </c>
      <c r="DT17" s="135">
        <v>0</v>
      </c>
      <c r="DV17" s="136"/>
      <c r="DW17" s="137"/>
      <c r="DX17" s="136"/>
      <c r="DY17" s="136"/>
    </row>
    <row r="18" spans="1:129" s="116" customFormat="1">
      <c r="A18" s="133" t="s">
        <v>287</v>
      </c>
      <c r="B18" s="134">
        <v>1034</v>
      </c>
      <c r="C18" s="134">
        <v>141</v>
      </c>
      <c r="D18" s="134">
        <v>991</v>
      </c>
      <c r="E18" s="134">
        <v>662</v>
      </c>
      <c r="F18" s="134">
        <v>0</v>
      </c>
      <c r="G18" s="134">
        <v>9</v>
      </c>
      <c r="H18" s="134">
        <v>9</v>
      </c>
      <c r="I18" s="134">
        <v>0</v>
      </c>
      <c r="J18" s="134">
        <v>267</v>
      </c>
      <c r="K18" s="134">
        <v>267</v>
      </c>
      <c r="L18" s="134">
        <v>0</v>
      </c>
      <c r="M18" s="134">
        <v>91</v>
      </c>
      <c r="N18" s="134">
        <v>91</v>
      </c>
      <c r="O18" s="134">
        <v>0</v>
      </c>
      <c r="P18" s="134">
        <v>176</v>
      </c>
      <c r="Q18" s="134">
        <v>176</v>
      </c>
      <c r="R18" s="134">
        <v>0</v>
      </c>
      <c r="S18" s="134">
        <v>1</v>
      </c>
      <c r="T18" s="134">
        <v>1</v>
      </c>
      <c r="U18" s="134">
        <v>0</v>
      </c>
      <c r="V18" s="134">
        <v>62</v>
      </c>
      <c r="W18" s="134">
        <v>62</v>
      </c>
      <c r="X18" s="134">
        <v>22</v>
      </c>
      <c r="Y18" s="134">
        <v>968</v>
      </c>
      <c r="Z18" s="134">
        <v>990</v>
      </c>
      <c r="AA18" s="134">
        <v>14</v>
      </c>
      <c r="AB18" s="134">
        <v>425</v>
      </c>
      <c r="AC18" s="134">
        <v>439</v>
      </c>
      <c r="AD18" s="134">
        <v>12</v>
      </c>
      <c r="AE18" s="134">
        <v>398</v>
      </c>
      <c r="AF18" s="134">
        <v>410</v>
      </c>
      <c r="AG18" s="134">
        <v>2</v>
      </c>
      <c r="AH18" s="134">
        <v>14</v>
      </c>
      <c r="AI18" s="134">
        <v>16</v>
      </c>
      <c r="AJ18" s="134">
        <v>0</v>
      </c>
      <c r="AK18" s="134">
        <v>13</v>
      </c>
      <c r="AL18" s="134">
        <v>13</v>
      </c>
      <c r="AM18" s="134">
        <v>8</v>
      </c>
      <c r="AN18" s="134">
        <v>543</v>
      </c>
      <c r="AO18" s="134">
        <v>551</v>
      </c>
      <c r="AP18" s="134">
        <v>2176</v>
      </c>
      <c r="AQ18" s="134">
        <v>14330</v>
      </c>
      <c r="AR18" s="134">
        <v>16506</v>
      </c>
      <c r="AS18" s="134">
        <v>2176</v>
      </c>
      <c r="AT18" s="134">
        <v>14330</v>
      </c>
      <c r="AU18" s="134">
        <v>16506</v>
      </c>
      <c r="AV18" s="134">
        <v>0</v>
      </c>
      <c r="AW18" s="134">
        <v>0</v>
      </c>
      <c r="AX18" s="134">
        <v>0</v>
      </c>
      <c r="AY18" s="134">
        <v>77</v>
      </c>
      <c r="AZ18" s="134">
        <v>1017</v>
      </c>
      <c r="BA18" s="134">
        <v>1094</v>
      </c>
      <c r="BB18" s="134">
        <v>32</v>
      </c>
      <c r="BC18" s="134">
        <v>0</v>
      </c>
      <c r="BD18" s="134">
        <v>0</v>
      </c>
      <c r="BE18" s="134">
        <v>612</v>
      </c>
      <c r="BF18" s="134">
        <v>16</v>
      </c>
      <c r="BG18" s="134">
        <v>2</v>
      </c>
      <c r="BH18" s="134">
        <v>32</v>
      </c>
      <c r="BI18" s="134">
        <v>630</v>
      </c>
      <c r="BJ18" s="134">
        <v>662</v>
      </c>
      <c r="BK18" s="134">
        <v>-12</v>
      </c>
      <c r="BL18" s="134">
        <v>12</v>
      </c>
      <c r="BM18" s="134">
        <v>0</v>
      </c>
      <c r="BN18" s="134">
        <v>7</v>
      </c>
      <c r="BO18" s="134">
        <v>14</v>
      </c>
      <c r="BP18" s="134">
        <v>21</v>
      </c>
      <c r="BQ18" s="134">
        <v>9</v>
      </c>
      <c r="BR18" s="134">
        <v>168</v>
      </c>
      <c r="BS18" s="134">
        <v>177</v>
      </c>
      <c r="BT18" s="134">
        <v>41</v>
      </c>
      <c r="BU18" s="134">
        <v>193</v>
      </c>
      <c r="BV18" s="134">
        <v>234</v>
      </c>
      <c r="BW18" s="134">
        <v>2253</v>
      </c>
      <c r="BX18" s="134">
        <v>15347</v>
      </c>
      <c r="BY18" s="134">
        <v>17600</v>
      </c>
      <c r="BZ18" s="134">
        <v>2228</v>
      </c>
      <c r="CA18" s="134">
        <v>15004</v>
      </c>
      <c r="CB18" s="134">
        <v>17232</v>
      </c>
      <c r="CC18" s="134">
        <v>41898</v>
      </c>
      <c r="CD18" s="134">
        <v>22</v>
      </c>
      <c r="CE18" s="134">
        <v>316</v>
      </c>
      <c r="CF18" s="134">
        <v>25</v>
      </c>
      <c r="CG18" s="134">
        <v>284</v>
      </c>
      <c r="CH18" s="134">
        <v>309</v>
      </c>
      <c r="CI18" s="134">
        <v>62</v>
      </c>
      <c r="CJ18" s="134">
        <v>1</v>
      </c>
      <c r="CK18" s="134">
        <v>0</v>
      </c>
      <c r="CL18" s="134">
        <v>59</v>
      </c>
      <c r="CM18" s="134">
        <v>59</v>
      </c>
      <c r="CN18" s="134">
        <v>67</v>
      </c>
      <c r="CO18" s="134">
        <v>1186</v>
      </c>
      <c r="CP18" s="134">
        <v>1253</v>
      </c>
      <c r="CQ18" s="134">
        <v>0</v>
      </c>
      <c r="CR18" s="134">
        <v>2</v>
      </c>
      <c r="CS18" s="134">
        <v>2</v>
      </c>
      <c r="CT18" s="134">
        <v>2186</v>
      </c>
      <c r="CU18" s="134">
        <v>14161</v>
      </c>
      <c r="CV18" s="134">
        <v>16347</v>
      </c>
      <c r="CW18" s="134">
        <v>102</v>
      </c>
      <c r="CX18" s="134">
        <v>478</v>
      </c>
      <c r="CY18" s="134">
        <v>580</v>
      </c>
      <c r="CZ18" s="134">
        <v>100</v>
      </c>
      <c r="DA18" s="134">
        <v>1</v>
      </c>
      <c r="DB18" s="134">
        <v>0</v>
      </c>
      <c r="DC18" s="134">
        <v>461</v>
      </c>
      <c r="DD18" s="134">
        <v>13</v>
      </c>
      <c r="DE18" s="134">
        <v>0</v>
      </c>
      <c r="DF18" s="134">
        <v>101</v>
      </c>
      <c r="DG18" s="134">
        <v>474</v>
      </c>
      <c r="DH18" s="134">
        <v>575</v>
      </c>
      <c r="DI18" s="134">
        <v>1</v>
      </c>
      <c r="DJ18" s="134">
        <v>0</v>
      </c>
      <c r="DK18" s="134">
        <v>0</v>
      </c>
      <c r="DL18" s="134">
        <v>4</v>
      </c>
      <c r="DM18" s="134">
        <v>0</v>
      </c>
      <c r="DN18" s="134">
        <v>0</v>
      </c>
      <c r="DO18" s="134">
        <v>1</v>
      </c>
      <c r="DP18" s="134">
        <v>4</v>
      </c>
      <c r="DQ18" s="134">
        <v>5</v>
      </c>
      <c r="DR18" s="134">
        <v>0</v>
      </c>
      <c r="DS18" s="134">
        <v>0</v>
      </c>
      <c r="DT18" s="135">
        <v>0</v>
      </c>
      <c r="DV18" s="136"/>
      <c r="DW18" s="137"/>
      <c r="DX18" s="136"/>
      <c r="DY18" s="136"/>
    </row>
    <row r="19" spans="1:129" s="116" customFormat="1">
      <c r="A19" s="133" t="s">
        <v>288</v>
      </c>
      <c r="B19" s="134">
        <v>74</v>
      </c>
      <c r="C19" s="134">
        <v>3</v>
      </c>
      <c r="D19" s="134">
        <v>83</v>
      </c>
      <c r="E19" s="134">
        <v>59</v>
      </c>
      <c r="F19" s="134">
        <v>0</v>
      </c>
      <c r="G19" s="134">
        <v>0</v>
      </c>
      <c r="H19" s="134">
        <v>0</v>
      </c>
      <c r="I19" s="134">
        <v>0</v>
      </c>
      <c r="J19" s="134">
        <v>19</v>
      </c>
      <c r="K19" s="134">
        <v>19</v>
      </c>
      <c r="L19" s="134">
        <v>0</v>
      </c>
      <c r="M19" s="134">
        <v>2</v>
      </c>
      <c r="N19" s="134">
        <v>2</v>
      </c>
      <c r="O19" s="134">
        <v>0</v>
      </c>
      <c r="P19" s="134">
        <v>17</v>
      </c>
      <c r="Q19" s="134">
        <v>17</v>
      </c>
      <c r="R19" s="134">
        <v>0</v>
      </c>
      <c r="S19" s="134">
        <v>0</v>
      </c>
      <c r="T19" s="134">
        <v>0</v>
      </c>
      <c r="U19" s="134">
        <v>0</v>
      </c>
      <c r="V19" s="134">
        <v>5</v>
      </c>
      <c r="W19" s="134">
        <v>5</v>
      </c>
      <c r="X19" s="134">
        <v>3</v>
      </c>
      <c r="Y19" s="134">
        <v>80</v>
      </c>
      <c r="Z19" s="134">
        <v>83</v>
      </c>
      <c r="AA19" s="134">
        <v>1</v>
      </c>
      <c r="AB19" s="134">
        <v>29</v>
      </c>
      <c r="AC19" s="134">
        <v>30</v>
      </c>
      <c r="AD19" s="134">
        <v>1</v>
      </c>
      <c r="AE19" s="134">
        <v>21</v>
      </c>
      <c r="AF19" s="134">
        <v>22</v>
      </c>
      <c r="AG19" s="134">
        <v>0</v>
      </c>
      <c r="AH19" s="134">
        <v>1</v>
      </c>
      <c r="AI19" s="134">
        <v>1</v>
      </c>
      <c r="AJ19" s="134">
        <v>0</v>
      </c>
      <c r="AK19" s="134">
        <v>7</v>
      </c>
      <c r="AL19" s="134">
        <v>7</v>
      </c>
      <c r="AM19" s="134">
        <v>2</v>
      </c>
      <c r="AN19" s="134">
        <v>51</v>
      </c>
      <c r="AO19" s="134">
        <v>53</v>
      </c>
      <c r="AP19" s="134">
        <v>74</v>
      </c>
      <c r="AQ19" s="134">
        <v>838</v>
      </c>
      <c r="AR19" s="134">
        <v>912</v>
      </c>
      <c r="AS19" s="134">
        <v>74</v>
      </c>
      <c r="AT19" s="134">
        <v>838</v>
      </c>
      <c r="AU19" s="134">
        <v>912</v>
      </c>
      <c r="AV19" s="134">
        <v>0</v>
      </c>
      <c r="AW19" s="134">
        <v>0</v>
      </c>
      <c r="AX19" s="134">
        <v>0</v>
      </c>
      <c r="AY19" s="134">
        <v>7</v>
      </c>
      <c r="AZ19" s="134">
        <v>87</v>
      </c>
      <c r="BA19" s="134">
        <v>94</v>
      </c>
      <c r="BB19" s="134">
        <v>4</v>
      </c>
      <c r="BC19" s="134">
        <v>0</v>
      </c>
      <c r="BD19" s="134">
        <v>0</v>
      </c>
      <c r="BE19" s="134">
        <v>54</v>
      </c>
      <c r="BF19" s="134">
        <v>1</v>
      </c>
      <c r="BG19" s="134">
        <v>0</v>
      </c>
      <c r="BH19" s="134">
        <v>4</v>
      </c>
      <c r="BI19" s="134">
        <v>55</v>
      </c>
      <c r="BJ19" s="134">
        <v>59</v>
      </c>
      <c r="BK19" s="134">
        <v>-1</v>
      </c>
      <c r="BL19" s="134">
        <v>1</v>
      </c>
      <c r="BM19" s="134">
        <v>0</v>
      </c>
      <c r="BN19" s="134">
        <v>2</v>
      </c>
      <c r="BO19" s="134">
        <v>4</v>
      </c>
      <c r="BP19" s="134">
        <v>6</v>
      </c>
      <c r="BQ19" s="134">
        <v>0</v>
      </c>
      <c r="BR19" s="134">
        <v>16</v>
      </c>
      <c r="BS19" s="134">
        <v>16</v>
      </c>
      <c r="BT19" s="134">
        <v>2</v>
      </c>
      <c r="BU19" s="134">
        <v>11</v>
      </c>
      <c r="BV19" s="134">
        <v>13</v>
      </c>
      <c r="BW19" s="134">
        <v>81</v>
      </c>
      <c r="BX19" s="134">
        <v>925</v>
      </c>
      <c r="BY19" s="134">
        <v>1006</v>
      </c>
      <c r="BZ19" s="134">
        <v>81</v>
      </c>
      <c r="CA19" s="134">
        <v>917</v>
      </c>
      <c r="CB19" s="134">
        <v>998</v>
      </c>
      <c r="CC19" s="134">
        <v>1940</v>
      </c>
      <c r="CD19" s="134">
        <v>1</v>
      </c>
      <c r="CE19" s="134">
        <v>5</v>
      </c>
      <c r="CF19" s="134">
        <v>0</v>
      </c>
      <c r="CG19" s="134">
        <v>6</v>
      </c>
      <c r="CH19" s="134">
        <v>6</v>
      </c>
      <c r="CI19" s="134">
        <v>2</v>
      </c>
      <c r="CJ19" s="134">
        <v>0</v>
      </c>
      <c r="CK19" s="134">
        <v>0</v>
      </c>
      <c r="CL19" s="134">
        <v>2</v>
      </c>
      <c r="CM19" s="134">
        <v>2</v>
      </c>
      <c r="CN19" s="134">
        <v>6</v>
      </c>
      <c r="CO19" s="134">
        <v>83</v>
      </c>
      <c r="CP19" s="134">
        <v>89</v>
      </c>
      <c r="CQ19" s="134">
        <v>0</v>
      </c>
      <c r="CR19" s="134">
        <v>0</v>
      </c>
      <c r="CS19" s="134">
        <v>0</v>
      </c>
      <c r="CT19" s="134">
        <v>75</v>
      </c>
      <c r="CU19" s="134">
        <v>842</v>
      </c>
      <c r="CV19" s="134">
        <v>917</v>
      </c>
      <c r="CW19" s="134">
        <v>2</v>
      </c>
      <c r="CX19" s="134">
        <v>17</v>
      </c>
      <c r="CY19" s="134">
        <v>19</v>
      </c>
      <c r="CZ19" s="134">
        <v>2</v>
      </c>
      <c r="DA19" s="134">
        <v>0</v>
      </c>
      <c r="DB19" s="134">
        <v>0</v>
      </c>
      <c r="DC19" s="134">
        <v>17</v>
      </c>
      <c r="DD19" s="134">
        <v>0</v>
      </c>
      <c r="DE19" s="134">
        <v>0</v>
      </c>
      <c r="DF19" s="134">
        <v>2</v>
      </c>
      <c r="DG19" s="134">
        <v>17</v>
      </c>
      <c r="DH19" s="134">
        <v>19</v>
      </c>
      <c r="DI19" s="134">
        <v>0</v>
      </c>
      <c r="DJ19" s="134">
        <v>0</v>
      </c>
      <c r="DK19" s="134">
        <v>0</v>
      </c>
      <c r="DL19" s="134">
        <v>0</v>
      </c>
      <c r="DM19" s="134">
        <v>0</v>
      </c>
      <c r="DN19" s="134">
        <v>0</v>
      </c>
      <c r="DO19" s="134">
        <v>0</v>
      </c>
      <c r="DP19" s="134">
        <v>0</v>
      </c>
      <c r="DQ19" s="134">
        <v>0</v>
      </c>
      <c r="DR19" s="134">
        <v>0</v>
      </c>
      <c r="DS19" s="134">
        <v>0</v>
      </c>
      <c r="DT19" s="135">
        <v>0</v>
      </c>
      <c r="DV19" s="136"/>
      <c r="DW19" s="137"/>
      <c r="DX19" s="136"/>
      <c r="DY19" s="136"/>
    </row>
    <row r="20" spans="1:129" s="116" customFormat="1">
      <c r="A20" s="133" t="s">
        <v>289</v>
      </c>
      <c r="B20" s="134">
        <v>5860</v>
      </c>
      <c r="C20" s="134">
        <v>1418</v>
      </c>
      <c r="D20" s="134">
        <v>5706</v>
      </c>
      <c r="E20" s="134">
        <v>3599</v>
      </c>
      <c r="F20" s="134">
        <v>3</v>
      </c>
      <c r="G20" s="134">
        <v>39</v>
      </c>
      <c r="H20" s="134">
        <v>42</v>
      </c>
      <c r="I20" s="134">
        <v>2</v>
      </c>
      <c r="J20" s="134">
        <v>1841</v>
      </c>
      <c r="K20" s="134">
        <v>1843</v>
      </c>
      <c r="L20" s="134">
        <v>2</v>
      </c>
      <c r="M20" s="134">
        <v>528</v>
      </c>
      <c r="N20" s="134">
        <v>530</v>
      </c>
      <c r="O20" s="134">
        <v>0</v>
      </c>
      <c r="P20" s="134">
        <v>1313</v>
      </c>
      <c r="Q20" s="134">
        <v>1313</v>
      </c>
      <c r="R20" s="134">
        <v>0</v>
      </c>
      <c r="S20" s="134">
        <v>26</v>
      </c>
      <c r="T20" s="134">
        <v>26</v>
      </c>
      <c r="U20" s="134">
        <v>0</v>
      </c>
      <c r="V20" s="134">
        <v>264</v>
      </c>
      <c r="W20" s="134">
        <v>264</v>
      </c>
      <c r="X20" s="134">
        <v>183</v>
      </c>
      <c r="Y20" s="134">
        <v>5523</v>
      </c>
      <c r="Z20" s="134">
        <v>5706</v>
      </c>
      <c r="AA20" s="134">
        <v>114</v>
      </c>
      <c r="AB20" s="134">
        <v>2217</v>
      </c>
      <c r="AC20" s="134">
        <v>2331</v>
      </c>
      <c r="AD20" s="134">
        <v>105</v>
      </c>
      <c r="AE20" s="134">
        <v>2075</v>
      </c>
      <c r="AF20" s="134">
        <v>2180</v>
      </c>
      <c r="AG20" s="134">
        <v>6</v>
      </c>
      <c r="AH20" s="134">
        <v>79</v>
      </c>
      <c r="AI20" s="134">
        <v>85</v>
      </c>
      <c r="AJ20" s="134">
        <v>3</v>
      </c>
      <c r="AK20" s="134">
        <v>63</v>
      </c>
      <c r="AL20" s="134">
        <v>66</v>
      </c>
      <c r="AM20" s="134">
        <v>69</v>
      </c>
      <c r="AN20" s="134">
        <v>3306</v>
      </c>
      <c r="AO20" s="134">
        <v>3375</v>
      </c>
      <c r="AP20" s="134">
        <v>9010</v>
      </c>
      <c r="AQ20" s="134">
        <v>54783</v>
      </c>
      <c r="AR20" s="134">
        <v>63793</v>
      </c>
      <c r="AS20" s="134">
        <v>9012</v>
      </c>
      <c r="AT20" s="134">
        <v>54784</v>
      </c>
      <c r="AU20" s="134">
        <v>63796</v>
      </c>
      <c r="AV20" s="134">
        <v>-2</v>
      </c>
      <c r="AW20" s="134">
        <v>-1</v>
      </c>
      <c r="AX20" s="134">
        <v>-3</v>
      </c>
      <c r="AY20" s="134">
        <v>449</v>
      </c>
      <c r="AZ20" s="134">
        <v>5067</v>
      </c>
      <c r="BA20" s="134">
        <v>5516</v>
      </c>
      <c r="BB20" s="134">
        <v>229</v>
      </c>
      <c r="BC20" s="134">
        <v>5</v>
      </c>
      <c r="BD20" s="134">
        <v>0</v>
      </c>
      <c r="BE20" s="134">
        <v>3297</v>
      </c>
      <c r="BF20" s="134">
        <v>49</v>
      </c>
      <c r="BG20" s="134">
        <v>19</v>
      </c>
      <c r="BH20" s="134">
        <v>234</v>
      </c>
      <c r="BI20" s="134">
        <v>3365</v>
      </c>
      <c r="BJ20" s="134">
        <v>3599</v>
      </c>
      <c r="BK20" s="134">
        <v>7</v>
      </c>
      <c r="BL20" s="134">
        <v>-7</v>
      </c>
      <c r="BM20" s="134">
        <v>0</v>
      </c>
      <c r="BN20" s="134">
        <v>29</v>
      </c>
      <c r="BO20" s="134">
        <v>95</v>
      </c>
      <c r="BP20" s="134">
        <v>124</v>
      </c>
      <c r="BQ20" s="134">
        <v>49</v>
      </c>
      <c r="BR20" s="134">
        <v>671</v>
      </c>
      <c r="BS20" s="134">
        <v>720</v>
      </c>
      <c r="BT20" s="134">
        <v>130</v>
      </c>
      <c r="BU20" s="134">
        <v>943</v>
      </c>
      <c r="BV20" s="134">
        <v>1073</v>
      </c>
      <c r="BW20" s="134">
        <v>9459</v>
      </c>
      <c r="BX20" s="134">
        <v>59850</v>
      </c>
      <c r="BY20" s="134">
        <v>69309</v>
      </c>
      <c r="BZ20" s="134">
        <v>9407</v>
      </c>
      <c r="CA20" s="134">
        <v>58941</v>
      </c>
      <c r="CB20" s="134">
        <v>68348</v>
      </c>
      <c r="CC20" s="134">
        <v>158058</v>
      </c>
      <c r="CD20" s="134">
        <v>51</v>
      </c>
      <c r="CE20" s="134">
        <v>719</v>
      </c>
      <c r="CF20" s="134">
        <v>50</v>
      </c>
      <c r="CG20" s="134">
        <v>660</v>
      </c>
      <c r="CH20" s="134">
        <v>710</v>
      </c>
      <c r="CI20" s="134">
        <v>322</v>
      </c>
      <c r="CJ20" s="134">
        <v>14</v>
      </c>
      <c r="CK20" s="134">
        <v>2</v>
      </c>
      <c r="CL20" s="134">
        <v>249</v>
      </c>
      <c r="CM20" s="134">
        <v>251</v>
      </c>
      <c r="CN20" s="134">
        <v>415</v>
      </c>
      <c r="CO20" s="134">
        <v>4920</v>
      </c>
      <c r="CP20" s="134">
        <v>5335</v>
      </c>
      <c r="CQ20" s="134">
        <v>0</v>
      </c>
      <c r="CR20" s="134">
        <v>33</v>
      </c>
      <c r="CS20" s="134">
        <v>33</v>
      </c>
      <c r="CT20" s="134">
        <v>9044</v>
      </c>
      <c r="CU20" s="134">
        <v>54930</v>
      </c>
      <c r="CV20" s="134">
        <v>63974</v>
      </c>
      <c r="CW20" s="134">
        <v>489</v>
      </c>
      <c r="CX20" s="134">
        <v>1957</v>
      </c>
      <c r="CY20" s="134">
        <v>2446</v>
      </c>
      <c r="CZ20" s="134">
        <v>483</v>
      </c>
      <c r="DA20" s="134">
        <v>4</v>
      </c>
      <c r="DB20" s="134">
        <v>0</v>
      </c>
      <c r="DC20" s="134">
        <v>1842</v>
      </c>
      <c r="DD20" s="134">
        <v>21</v>
      </c>
      <c r="DE20" s="134">
        <v>1</v>
      </c>
      <c r="DF20" s="134">
        <v>487</v>
      </c>
      <c r="DG20" s="134">
        <v>1864</v>
      </c>
      <c r="DH20" s="134">
        <v>2351</v>
      </c>
      <c r="DI20" s="134">
        <v>2</v>
      </c>
      <c r="DJ20" s="134">
        <v>0</v>
      </c>
      <c r="DK20" s="134">
        <v>0</v>
      </c>
      <c r="DL20" s="134">
        <v>92</v>
      </c>
      <c r="DM20" s="134">
        <v>1</v>
      </c>
      <c r="DN20" s="134">
        <v>0</v>
      </c>
      <c r="DO20" s="134">
        <v>2</v>
      </c>
      <c r="DP20" s="134">
        <v>93</v>
      </c>
      <c r="DQ20" s="134">
        <v>95</v>
      </c>
      <c r="DR20" s="134">
        <v>0</v>
      </c>
      <c r="DS20" s="134">
        <v>0</v>
      </c>
      <c r="DT20" s="135">
        <v>0</v>
      </c>
      <c r="DV20" s="136"/>
      <c r="DW20" s="137"/>
      <c r="DX20" s="136"/>
      <c r="DY20" s="136"/>
    </row>
    <row r="21" spans="1:129" s="116" customFormat="1">
      <c r="A21" s="133" t="s">
        <v>290</v>
      </c>
      <c r="B21" s="134">
        <v>900</v>
      </c>
      <c r="C21" s="134">
        <v>141</v>
      </c>
      <c r="D21" s="134">
        <v>891</v>
      </c>
      <c r="E21" s="134">
        <v>594</v>
      </c>
      <c r="F21" s="134">
        <v>1</v>
      </c>
      <c r="G21" s="134">
        <v>3</v>
      </c>
      <c r="H21" s="134">
        <v>4</v>
      </c>
      <c r="I21" s="134">
        <v>0</v>
      </c>
      <c r="J21" s="134">
        <v>262</v>
      </c>
      <c r="K21" s="134">
        <v>262</v>
      </c>
      <c r="L21" s="134">
        <v>0</v>
      </c>
      <c r="M21" s="134">
        <v>119</v>
      </c>
      <c r="N21" s="134">
        <v>119</v>
      </c>
      <c r="O21" s="134">
        <v>0</v>
      </c>
      <c r="P21" s="134">
        <v>143</v>
      </c>
      <c r="Q21" s="134">
        <v>143</v>
      </c>
      <c r="R21" s="134">
        <v>0</v>
      </c>
      <c r="S21" s="134">
        <v>2</v>
      </c>
      <c r="T21" s="134">
        <v>2</v>
      </c>
      <c r="U21" s="134">
        <v>0</v>
      </c>
      <c r="V21" s="134">
        <v>35</v>
      </c>
      <c r="W21" s="134">
        <v>35</v>
      </c>
      <c r="X21" s="134">
        <v>28</v>
      </c>
      <c r="Y21" s="134">
        <v>863</v>
      </c>
      <c r="Z21" s="134">
        <v>891</v>
      </c>
      <c r="AA21" s="134">
        <v>20</v>
      </c>
      <c r="AB21" s="134">
        <v>384</v>
      </c>
      <c r="AC21" s="134">
        <v>404</v>
      </c>
      <c r="AD21" s="134">
        <v>19</v>
      </c>
      <c r="AE21" s="134">
        <v>353</v>
      </c>
      <c r="AF21" s="134">
        <v>372</v>
      </c>
      <c r="AG21" s="134">
        <v>0</v>
      </c>
      <c r="AH21" s="134">
        <v>15</v>
      </c>
      <c r="AI21" s="134">
        <v>15</v>
      </c>
      <c r="AJ21" s="134">
        <v>1</v>
      </c>
      <c r="AK21" s="134">
        <v>16</v>
      </c>
      <c r="AL21" s="134">
        <v>17</v>
      </c>
      <c r="AM21" s="134">
        <v>8</v>
      </c>
      <c r="AN21" s="134">
        <v>479</v>
      </c>
      <c r="AO21" s="134">
        <v>487</v>
      </c>
      <c r="AP21" s="134">
        <v>1365</v>
      </c>
      <c r="AQ21" s="134">
        <v>8455</v>
      </c>
      <c r="AR21" s="134">
        <v>9820</v>
      </c>
      <c r="AS21" s="134">
        <v>1365</v>
      </c>
      <c r="AT21" s="134">
        <v>8455</v>
      </c>
      <c r="AU21" s="134">
        <v>9820</v>
      </c>
      <c r="AV21" s="134">
        <v>0</v>
      </c>
      <c r="AW21" s="134">
        <v>0</v>
      </c>
      <c r="AX21" s="134">
        <v>0</v>
      </c>
      <c r="AY21" s="134">
        <v>73</v>
      </c>
      <c r="AZ21" s="134">
        <v>892</v>
      </c>
      <c r="BA21" s="134">
        <v>965</v>
      </c>
      <c r="BB21" s="134">
        <v>30</v>
      </c>
      <c r="BC21" s="134">
        <v>0</v>
      </c>
      <c r="BD21" s="134">
        <v>0</v>
      </c>
      <c r="BE21" s="134">
        <v>546</v>
      </c>
      <c r="BF21" s="134">
        <v>14</v>
      </c>
      <c r="BG21" s="134">
        <v>4</v>
      </c>
      <c r="BH21" s="134">
        <v>30</v>
      </c>
      <c r="BI21" s="134">
        <v>564</v>
      </c>
      <c r="BJ21" s="134">
        <v>594</v>
      </c>
      <c r="BK21" s="134">
        <v>-1</v>
      </c>
      <c r="BL21" s="134">
        <v>1</v>
      </c>
      <c r="BM21" s="134">
        <v>0</v>
      </c>
      <c r="BN21" s="134">
        <v>7</v>
      </c>
      <c r="BO21" s="134">
        <v>38</v>
      </c>
      <c r="BP21" s="134">
        <v>45</v>
      </c>
      <c r="BQ21" s="134">
        <v>6</v>
      </c>
      <c r="BR21" s="134">
        <v>120</v>
      </c>
      <c r="BS21" s="134">
        <v>126</v>
      </c>
      <c r="BT21" s="134">
        <v>31</v>
      </c>
      <c r="BU21" s="134">
        <v>169</v>
      </c>
      <c r="BV21" s="134">
        <v>200</v>
      </c>
      <c r="BW21" s="134">
        <v>1438</v>
      </c>
      <c r="BX21" s="134">
        <v>9347</v>
      </c>
      <c r="BY21" s="134">
        <v>10785</v>
      </c>
      <c r="BZ21" s="134">
        <v>1426</v>
      </c>
      <c r="CA21" s="134">
        <v>9193</v>
      </c>
      <c r="CB21" s="134">
        <v>10619</v>
      </c>
      <c r="CC21" s="134">
        <v>23783</v>
      </c>
      <c r="CD21" s="134">
        <v>15</v>
      </c>
      <c r="CE21" s="134">
        <v>130</v>
      </c>
      <c r="CF21" s="134">
        <v>12</v>
      </c>
      <c r="CG21" s="134">
        <v>122</v>
      </c>
      <c r="CH21" s="134">
        <v>134</v>
      </c>
      <c r="CI21" s="134">
        <v>39</v>
      </c>
      <c r="CJ21" s="134">
        <v>1</v>
      </c>
      <c r="CK21" s="134">
        <v>0</v>
      </c>
      <c r="CL21" s="134">
        <v>32</v>
      </c>
      <c r="CM21" s="134">
        <v>32</v>
      </c>
      <c r="CN21" s="134">
        <v>59</v>
      </c>
      <c r="CO21" s="134">
        <v>778</v>
      </c>
      <c r="CP21" s="134">
        <v>837</v>
      </c>
      <c r="CQ21" s="134">
        <v>0</v>
      </c>
      <c r="CR21" s="134">
        <v>0</v>
      </c>
      <c r="CS21" s="134">
        <v>0</v>
      </c>
      <c r="CT21" s="134">
        <v>1379</v>
      </c>
      <c r="CU21" s="134">
        <v>8569</v>
      </c>
      <c r="CV21" s="134">
        <v>9948</v>
      </c>
      <c r="CW21" s="134">
        <v>79</v>
      </c>
      <c r="CX21" s="134">
        <v>330</v>
      </c>
      <c r="CY21" s="134">
        <v>409</v>
      </c>
      <c r="CZ21" s="134">
        <v>79</v>
      </c>
      <c r="DA21" s="134">
        <v>0</v>
      </c>
      <c r="DB21" s="134">
        <v>0</v>
      </c>
      <c r="DC21" s="134">
        <v>315</v>
      </c>
      <c r="DD21" s="134">
        <v>4</v>
      </c>
      <c r="DE21" s="134">
        <v>0</v>
      </c>
      <c r="DF21" s="134">
        <v>79</v>
      </c>
      <c r="DG21" s="134">
        <v>319</v>
      </c>
      <c r="DH21" s="134">
        <v>398</v>
      </c>
      <c r="DI21" s="134">
        <v>0</v>
      </c>
      <c r="DJ21" s="134">
        <v>0</v>
      </c>
      <c r="DK21" s="134">
        <v>0</v>
      </c>
      <c r="DL21" s="134">
        <v>11</v>
      </c>
      <c r="DM21" s="134">
        <v>0</v>
      </c>
      <c r="DN21" s="134">
        <v>0</v>
      </c>
      <c r="DO21" s="134">
        <v>0</v>
      </c>
      <c r="DP21" s="134">
        <v>11</v>
      </c>
      <c r="DQ21" s="134">
        <v>11</v>
      </c>
      <c r="DR21" s="134">
        <v>0</v>
      </c>
      <c r="DS21" s="134">
        <v>0</v>
      </c>
      <c r="DT21" s="135">
        <v>0</v>
      </c>
      <c r="DV21" s="136"/>
      <c r="DW21" s="137"/>
      <c r="DX21" s="136"/>
      <c r="DY21" s="136"/>
    </row>
    <row r="22" spans="1:129" s="116" customFormat="1">
      <c r="A22" s="133" t="s">
        <v>291</v>
      </c>
      <c r="B22" s="134">
        <v>460</v>
      </c>
      <c r="C22" s="134">
        <v>76</v>
      </c>
      <c r="D22" s="134">
        <v>450</v>
      </c>
      <c r="E22" s="134">
        <v>311</v>
      </c>
      <c r="F22" s="134">
        <v>0</v>
      </c>
      <c r="G22" s="134">
        <v>20</v>
      </c>
      <c r="H22" s="134">
        <v>20</v>
      </c>
      <c r="I22" s="134">
        <v>0</v>
      </c>
      <c r="J22" s="134">
        <v>112</v>
      </c>
      <c r="K22" s="134">
        <v>112</v>
      </c>
      <c r="L22" s="134">
        <v>0</v>
      </c>
      <c r="M22" s="134">
        <v>30</v>
      </c>
      <c r="N22" s="134">
        <v>30</v>
      </c>
      <c r="O22" s="134">
        <v>0</v>
      </c>
      <c r="P22" s="134">
        <v>82</v>
      </c>
      <c r="Q22" s="134">
        <v>82</v>
      </c>
      <c r="R22" s="134">
        <v>0</v>
      </c>
      <c r="S22" s="134">
        <v>8</v>
      </c>
      <c r="T22" s="134">
        <v>8</v>
      </c>
      <c r="U22" s="134">
        <v>0</v>
      </c>
      <c r="V22" s="134">
        <v>27</v>
      </c>
      <c r="W22" s="134">
        <v>27</v>
      </c>
      <c r="X22" s="134">
        <v>9</v>
      </c>
      <c r="Y22" s="134">
        <v>413</v>
      </c>
      <c r="Z22" s="134">
        <v>422</v>
      </c>
      <c r="AA22" s="134">
        <v>4</v>
      </c>
      <c r="AB22" s="134">
        <v>172</v>
      </c>
      <c r="AC22" s="134">
        <v>176</v>
      </c>
      <c r="AD22" s="134">
        <v>3</v>
      </c>
      <c r="AE22" s="134">
        <v>143</v>
      </c>
      <c r="AF22" s="134">
        <v>146</v>
      </c>
      <c r="AG22" s="134">
        <v>0</v>
      </c>
      <c r="AH22" s="134">
        <v>18</v>
      </c>
      <c r="AI22" s="134">
        <v>18</v>
      </c>
      <c r="AJ22" s="134">
        <v>1</v>
      </c>
      <c r="AK22" s="134">
        <v>11</v>
      </c>
      <c r="AL22" s="134">
        <v>12</v>
      </c>
      <c r="AM22" s="134">
        <v>5</v>
      </c>
      <c r="AN22" s="134">
        <v>241</v>
      </c>
      <c r="AO22" s="134">
        <v>246</v>
      </c>
      <c r="AP22" s="134">
        <v>478</v>
      </c>
      <c r="AQ22" s="134">
        <v>5286</v>
      </c>
      <c r="AR22" s="134">
        <v>5764</v>
      </c>
      <c r="AS22" s="134">
        <v>478</v>
      </c>
      <c r="AT22" s="134">
        <v>5286</v>
      </c>
      <c r="AU22" s="134">
        <v>5764</v>
      </c>
      <c r="AV22" s="134">
        <v>0</v>
      </c>
      <c r="AW22" s="134">
        <v>0</v>
      </c>
      <c r="AX22" s="134">
        <v>0</v>
      </c>
      <c r="AY22" s="134">
        <v>26</v>
      </c>
      <c r="AZ22" s="134">
        <v>474</v>
      </c>
      <c r="BA22" s="134">
        <v>500</v>
      </c>
      <c r="BB22" s="134">
        <v>11</v>
      </c>
      <c r="BC22" s="134">
        <v>0</v>
      </c>
      <c r="BD22" s="134">
        <v>0</v>
      </c>
      <c r="BE22" s="134">
        <v>296</v>
      </c>
      <c r="BF22" s="134">
        <v>3</v>
      </c>
      <c r="BG22" s="134">
        <v>1</v>
      </c>
      <c r="BH22" s="134">
        <v>11</v>
      </c>
      <c r="BI22" s="134">
        <v>300</v>
      </c>
      <c r="BJ22" s="134">
        <v>311</v>
      </c>
      <c r="BK22" s="134">
        <v>-6</v>
      </c>
      <c r="BL22" s="134">
        <v>6</v>
      </c>
      <c r="BM22" s="134">
        <v>0</v>
      </c>
      <c r="BN22" s="134">
        <v>6</v>
      </c>
      <c r="BO22" s="134">
        <v>18</v>
      </c>
      <c r="BP22" s="134">
        <v>24</v>
      </c>
      <c r="BQ22" s="134">
        <v>1</v>
      </c>
      <c r="BR22" s="134">
        <v>46</v>
      </c>
      <c r="BS22" s="134">
        <v>47</v>
      </c>
      <c r="BT22" s="134">
        <v>14</v>
      </c>
      <c r="BU22" s="134">
        <v>104</v>
      </c>
      <c r="BV22" s="134">
        <v>118</v>
      </c>
      <c r="BW22" s="134">
        <v>504</v>
      </c>
      <c r="BX22" s="134">
        <v>5760</v>
      </c>
      <c r="BY22" s="134">
        <v>6264</v>
      </c>
      <c r="BZ22" s="134">
        <v>499</v>
      </c>
      <c r="CA22" s="134">
        <v>5737</v>
      </c>
      <c r="CB22" s="134">
        <v>6236</v>
      </c>
      <c r="CC22" s="134">
        <v>11788</v>
      </c>
      <c r="CD22" s="134">
        <v>3</v>
      </c>
      <c r="CE22" s="134">
        <v>25</v>
      </c>
      <c r="CF22" s="134">
        <v>5</v>
      </c>
      <c r="CG22" s="134">
        <v>21</v>
      </c>
      <c r="CH22" s="134">
        <v>26</v>
      </c>
      <c r="CI22" s="134">
        <v>3</v>
      </c>
      <c r="CJ22" s="134">
        <v>0</v>
      </c>
      <c r="CK22" s="134">
        <v>0</v>
      </c>
      <c r="CL22" s="134">
        <v>2</v>
      </c>
      <c r="CM22" s="134">
        <v>2</v>
      </c>
      <c r="CN22" s="134">
        <v>34</v>
      </c>
      <c r="CO22" s="134">
        <v>527</v>
      </c>
      <c r="CP22" s="134">
        <v>561</v>
      </c>
      <c r="CQ22" s="134">
        <v>0</v>
      </c>
      <c r="CR22" s="134">
        <v>0</v>
      </c>
      <c r="CS22" s="134">
        <v>0</v>
      </c>
      <c r="CT22" s="134">
        <v>470</v>
      </c>
      <c r="CU22" s="134">
        <v>5233</v>
      </c>
      <c r="CV22" s="134">
        <v>5703</v>
      </c>
      <c r="CW22" s="134">
        <v>20</v>
      </c>
      <c r="CX22" s="134">
        <v>210</v>
      </c>
      <c r="CY22" s="134">
        <v>230</v>
      </c>
      <c r="CZ22" s="134">
        <v>18</v>
      </c>
      <c r="DA22" s="134">
        <v>1</v>
      </c>
      <c r="DB22" s="134">
        <v>0</v>
      </c>
      <c r="DC22" s="134">
        <v>206</v>
      </c>
      <c r="DD22" s="134">
        <v>0</v>
      </c>
      <c r="DE22" s="134">
        <v>0</v>
      </c>
      <c r="DF22" s="134">
        <v>19</v>
      </c>
      <c r="DG22" s="134">
        <v>206</v>
      </c>
      <c r="DH22" s="134">
        <v>225</v>
      </c>
      <c r="DI22" s="134">
        <v>1</v>
      </c>
      <c r="DJ22" s="134">
        <v>0</v>
      </c>
      <c r="DK22" s="134">
        <v>0</v>
      </c>
      <c r="DL22" s="134">
        <v>4</v>
      </c>
      <c r="DM22" s="134">
        <v>0</v>
      </c>
      <c r="DN22" s="134">
        <v>0</v>
      </c>
      <c r="DO22" s="134">
        <v>1</v>
      </c>
      <c r="DP22" s="134">
        <v>4</v>
      </c>
      <c r="DQ22" s="134">
        <v>5</v>
      </c>
      <c r="DR22" s="134">
        <v>0</v>
      </c>
      <c r="DS22" s="134">
        <v>0</v>
      </c>
      <c r="DT22" s="135">
        <v>0</v>
      </c>
      <c r="DV22" s="136"/>
      <c r="DW22" s="137"/>
      <c r="DX22" s="136"/>
      <c r="DY22" s="136"/>
    </row>
    <row r="23" spans="1:129" s="116" customFormat="1">
      <c r="A23" s="133" t="s">
        <v>292</v>
      </c>
      <c r="B23" s="134">
        <v>116</v>
      </c>
      <c r="C23" s="134">
        <v>11</v>
      </c>
      <c r="D23" s="134">
        <v>109</v>
      </c>
      <c r="E23" s="134">
        <v>81</v>
      </c>
      <c r="F23" s="134">
        <v>2</v>
      </c>
      <c r="G23" s="134">
        <v>3</v>
      </c>
      <c r="H23" s="134">
        <v>5</v>
      </c>
      <c r="I23" s="134">
        <v>0</v>
      </c>
      <c r="J23" s="134">
        <v>26</v>
      </c>
      <c r="K23" s="134">
        <v>26</v>
      </c>
      <c r="L23" s="134">
        <v>0</v>
      </c>
      <c r="M23" s="134">
        <v>10</v>
      </c>
      <c r="N23" s="134">
        <v>10</v>
      </c>
      <c r="O23" s="134">
        <v>0</v>
      </c>
      <c r="P23" s="134">
        <v>16</v>
      </c>
      <c r="Q23" s="134">
        <v>16</v>
      </c>
      <c r="R23" s="134">
        <v>0</v>
      </c>
      <c r="S23" s="134">
        <v>3</v>
      </c>
      <c r="T23" s="134">
        <v>3</v>
      </c>
      <c r="U23" s="134">
        <v>0</v>
      </c>
      <c r="V23" s="134">
        <v>2</v>
      </c>
      <c r="W23" s="134">
        <v>2</v>
      </c>
      <c r="X23" s="134">
        <v>3</v>
      </c>
      <c r="Y23" s="134">
        <v>106</v>
      </c>
      <c r="Z23" s="134">
        <v>109</v>
      </c>
      <c r="AA23" s="134">
        <v>1</v>
      </c>
      <c r="AB23" s="134">
        <v>51</v>
      </c>
      <c r="AC23" s="134">
        <v>52</v>
      </c>
      <c r="AD23" s="134">
        <v>1</v>
      </c>
      <c r="AE23" s="134">
        <v>47</v>
      </c>
      <c r="AF23" s="134">
        <v>48</v>
      </c>
      <c r="AG23" s="134">
        <v>0</v>
      </c>
      <c r="AH23" s="134">
        <v>1</v>
      </c>
      <c r="AI23" s="134">
        <v>1</v>
      </c>
      <c r="AJ23" s="134">
        <v>0</v>
      </c>
      <c r="AK23" s="134">
        <v>3</v>
      </c>
      <c r="AL23" s="134">
        <v>3</v>
      </c>
      <c r="AM23" s="134">
        <v>2</v>
      </c>
      <c r="AN23" s="134">
        <v>55</v>
      </c>
      <c r="AO23" s="134">
        <v>57</v>
      </c>
      <c r="AP23" s="134">
        <v>204</v>
      </c>
      <c r="AQ23" s="134">
        <v>1178</v>
      </c>
      <c r="AR23" s="134">
        <v>1382</v>
      </c>
      <c r="AS23" s="134">
        <v>204</v>
      </c>
      <c r="AT23" s="134">
        <v>1178</v>
      </c>
      <c r="AU23" s="134">
        <v>1382</v>
      </c>
      <c r="AV23" s="134">
        <v>0</v>
      </c>
      <c r="AW23" s="134">
        <v>0</v>
      </c>
      <c r="AX23" s="134">
        <v>0</v>
      </c>
      <c r="AY23" s="134">
        <v>20</v>
      </c>
      <c r="AZ23" s="134">
        <v>142</v>
      </c>
      <c r="BA23" s="134">
        <v>162</v>
      </c>
      <c r="BB23" s="134">
        <v>6</v>
      </c>
      <c r="BC23" s="134">
        <v>0</v>
      </c>
      <c r="BD23" s="134">
        <v>0</v>
      </c>
      <c r="BE23" s="134">
        <v>75</v>
      </c>
      <c r="BF23" s="134">
        <v>0</v>
      </c>
      <c r="BG23" s="134">
        <v>0</v>
      </c>
      <c r="BH23" s="134">
        <v>6</v>
      </c>
      <c r="BI23" s="134">
        <v>75</v>
      </c>
      <c r="BJ23" s="134">
        <v>81</v>
      </c>
      <c r="BK23" s="134">
        <v>1</v>
      </c>
      <c r="BL23" s="134">
        <v>-1</v>
      </c>
      <c r="BM23" s="134">
        <v>0</v>
      </c>
      <c r="BN23" s="134">
        <v>2</v>
      </c>
      <c r="BO23" s="134">
        <v>7</v>
      </c>
      <c r="BP23" s="134">
        <v>9</v>
      </c>
      <c r="BQ23" s="134">
        <v>2</v>
      </c>
      <c r="BR23" s="134">
        <v>29</v>
      </c>
      <c r="BS23" s="134">
        <v>31</v>
      </c>
      <c r="BT23" s="134">
        <v>9</v>
      </c>
      <c r="BU23" s="134">
        <v>32</v>
      </c>
      <c r="BV23" s="134">
        <v>41</v>
      </c>
      <c r="BW23" s="134">
        <v>224</v>
      </c>
      <c r="BX23" s="134">
        <v>1320</v>
      </c>
      <c r="BY23" s="134">
        <v>1544</v>
      </c>
      <c r="BZ23" s="134">
        <v>224</v>
      </c>
      <c r="CA23" s="134">
        <v>1318</v>
      </c>
      <c r="CB23" s="134">
        <v>1542</v>
      </c>
      <c r="CC23" s="134">
        <v>3109</v>
      </c>
      <c r="CD23" s="134">
        <v>1</v>
      </c>
      <c r="CE23" s="134">
        <v>1</v>
      </c>
      <c r="CF23" s="134">
        <v>0</v>
      </c>
      <c r="CG23" s="134">
        <v>2</v>
      </c>
      <c r="CH23" s="134">
        <v>2</v>
      </c>
      <c r="CI23" s="134">
        <v>0</v>
      </c>
      <c r="CJ23" s="134">
        <v>0</v>
      </c>
      <c r="CK23" s="134">
        <v>0</v>
      </c>
      <c r="CL23" s="134">
        <v>0</v>
      </c>
      <c r="CM23" s="134">
        <v>0</v>
      </c>
      <c r="CN23" s="134">
        <v>33</v>
      </c>
      <c r="CO23" s="134">
        <v>138</v>
      </c>
      <c r="CP23" s="134">
        <v>171</v>
      </c>
      <c r="CQ23" s="134">
        <v>0</v>
      </c>
      <c r="CR23" s="134">
        <v>0</v>
      </c>
      <c r="CS23" s="134">
        <v>0</v>
      </c>
      <c r="CT23" s="134">
        <v>191</v>
      </c>
      <c r="CU23" s="134">
        <v>1182</v>
      </c>
      <c r="CV23" s="134">
        <v>1373</v>
      </c>
      <c r="CW23" s="134">
        <v>10</v>
      </c>
      <c r="CX23" s="134">
        <v>58</v>
      </c>
      <c r="CY23" s="134">
        <v>68</v>
      </c>
      <c r="CZ23" s="134">
        <v>10</v>
      </c>
      <c r="DA23" s="134">
        <v>0</v>
      </c>
      <c r="DB23" s="134">
        <v>0</v>
      </c>
      <c r="DC23" s="134">
        <v>58</v>
      </c>
      <c r="DD23" s="134">
        <v>0</v>
      </c>
      <c r="DE23" s="134">
        <v>0</v>
      </c>
      <c r="DF23" s="134">
        <v>10</v>
      </c>
      <c r="DG23" s="134">
        <v>58</v>
      </c>
      <c r="DH23" s="134">
        <v>68</v>
      </c>
      <c r="DI23" s="134">
        <v>0</v>
      </c>
      <c r="DJ23" s="134">
        <v>0</v>
      </c>
      <c r="DK23" s="134">
        <v>0</v>
      </c>
      <c r="DL23" s="134">
        <v>0</v>
      </c>
      <c r="DM23" s="134">
        <v>0</v>
      </c>
      <c r="DN23" s="134">
        <v>0</v>
      </c>
      <c r="DO23" s="134">
        <v>0</v>
      </c>
      <c r="DP23" s="134">
        <v>0</v>
      </c>
      <c r="DQ23" s="134">
        <v>0</v>
      </c>
      <c r="DR23" s="134">
        <v>0</v>
      </c>
      <c r="DS23" s="134">
        <v>0</v>
      </c>
      <c r="DT23" s="135">
        <v>0</v>
      </c>
      <c r="DV23" s="136"/>
      <c r="DW23" s="137"/>
      <c r="DX23" s="136"/>
      <c r="DY23" s="136"/>
    </row>
    <row r="24" spans="1:129" s="116" customFormat="1">
      <c r="A24" s="133" t="s">
        <v>293</v>
      </c>
      <c r="B24" s="134">
        <v>45252</v>
      </c>
      <c r="C24" s="134">
        <v>16231</v>
      </c>
      <c r="D24" s="134">
        <v>47188</v>
      </c>
      <c r="E24" s="134">
        <v>30550</v>
      </c>
      <c r="F24" s="134">
        <v>48</v>
      </c>
      <c r="G24" s="134">
        <v>339</v>
      </c>
      <c r="H24" s="134">
        <v>387</v>
      </c>
      <c r="I24" s="134">
        <v>21</v>
      </c>
      <c r="J24" s="134">
        <v>14949</v>
      </c>
      <c r="K24" s="134">
        <v>14970</v>
      </c>
      <c r="L24" s="134">
        <v>10</v>
      </c>
      <c r="M24" s="134">
        <v>4099</v>
      </c>
      <c r="N24" s="134">
        <v>4109</v>
      </c>
      <c r="O24" s="134">
        <v>11</v>
      </c>
      <c r="P24" s="134">
        <v>10850</v>
      </c>
      <c r="Q24" s="134">
        <v>10861</v>
      </c>
      <c r="R24" s="134">
        <v>1</v>
      </c>
      <c r="S24" s="134">
        <v>259</v>
      </c>
      <c r="T24" s="134">
        <v>260</v>
      </c>
      <c r="U24" s="134">
        <v>0</v>
      </c>
      <c r="V24" s="134">
        <v>1668</v>
      </c>
      <c r="W24" s="134">
        <v>1668</v>
      </c>
      <c r="X24" s="134">
        <v>1908</v>
      </c>
      <c r="Y24" s="134">
        <v>45268</v>
      </c>
      <c r="Z24" s="134">
        <v>47176</v>
      </c>
      <c r="AA24" s="134">
        <v>1327</v>
      </c>
      <c r="AB24" s="134">
        <v>18404</v>
      </c>
      <c r="AC24" s="134">
        <v>19731</v>
      </c>
      <c r="AD24" s="134">
        <v>1102</v>
      </c>
      <c r="AE24" s="134">
        <v>16887</v>
      </c>
      <c r="AF24" s="134">
        <v>17989</v>
      </c>
      <c r="AG24" s="134">
        <v>85</v>
      </c>
      <c r="AH24" s="134">
        <v>621</v>
      </c>
      <c r="AI24" s="134">
        <v>706</v>
      </c>
      <c r="AJ24" s="134">
        <v>140</v>
      </c>
      <c r="AK24" s="134">
        <v>896</v>
      </c>
      <c r="AL24" s="134">
        <v>1036</v>
      </c>
      <c r="AM24" s="134">
        <v>581</v>
      </c>
      <c r="AN24" s="134">
        <v>26864</v>
      </c>
      <c r="AO24" s="134">
        <v>27445</v>
      </c>
      <c r="AP24" s="134">
        <v>77084</v>
      </c>
      <c r="AQ24" s="134">
        <v>436813</v>
      </c>
      <c r="AR24" s="134">
        <v>513897</v>
      </c>
      <c r="AS24" s="134">
        <v>78453</v>
      </c>
      <c r="AT24" s="134">
        <v>452072</v>
      </c>
      <c r="AU24" s="134">
        <v>530525</v>
      </c>
      <c r="AV24" s="134">
        <v>-1369</v>
      </c>
      <c r="AW24" s="134">
        <v>-15259</v>
      </c>
      <c r="AX24" s="134">
        <v>-16628</v>
      </c>
      <c r="AY24" s="134">
        <v>3353</v>
      </c>
      <c r="AZ24" s="134">
        <v>44104</v>
      </c>
      <c r="BA24" s="134">
        <v>47457</v>
      </c>
      <c r="BB24" s="134">
        <v>2108</v>
      </c>
      <c r="BC24" s="134">
        <v>44</v>
      </c>
      <c r="BD24" s="134">
        <v>7</v>
      </c>
      <c r="BE24" s="134">
        <v>27821</v>
      </c>
      <c r="BF24" s="134">
        <v>305</v>
      </c>
      <c r="BG24" s="134">
        <v>265</v>
      </c>
      <c r="BH24" s="134">
        <v>2159</v>
      </c>
      <c r="BI24" s="134">
        <v>28391</v>
      </c>
      <c r="BJ24" s="134">
        <v>30550</v>
      </c>
      <c r="BK24" s="134">
        <v>-1536</v>
      </c>
      <c r="BL24" s="134">
        <v>1536</v>
      </c>
      <c r="BM24" s="134">
        <v>0</v>
      </c>
      <c r="BN24" s="134">
        <v>81</v>
      </c>
      <c r="BO24" s="134">
        <v>341</v>
      </c>
      <c r="BP24" s="134">
        <v>422</v>
      </c>
      <c r="BQ24" s="134">
        <v>419</v>
      </c>
      <c r="BR24" s="134">
        <v>3361</v>
      </c>
      <c r="BS24" s="134">
        <v>3780</v>
      </c>
      <c r="BT24" s="134">
        <v>2230</v>
      </c>
      <c r="BU24" s="134">
        <v>10475</v>
      </c>
      <c r="BV24" s="134">
        <v>12705</v>
      </c>
      <c r="BW24" s="134">
        <v>80437</v>
      </c>
      <c r="BX24" s="134">
        <v>480917</v>
      </c>
      <c r="BY24" s="134">
        <v>561354</v>
      </c>
      <c r="BZ24" s="134">
        <v>78061</v>
      </c>
      <c r="CA24" s="134">
        <v>471993</v>
      </c>
      <c r="CB24" s="134">
        <v>550054</v>
      </c>
      <c r="CC24" s="134">
        <v>1095833</v>
      </c>
      <c r="CD24" s="134">
        <v>741</v>
      </c>
      <c r="CE24" s="134">
        <v>9124</v>
      </c>
      <c r="CF24" s="134">
        <v>2201</v>
      </c>
      <c r="CG24" s="134">
        <v>5551</v>
      </c>
      <c r="CH24" s="134">
        <v>7752</v>
      </c>
      <c r="CI24" s="134">
        <v>4020</v>
      </c>
      <c r="CJ24" s="134">
        <v>499</v>
      </c>
      <c r="CK24" s="134">
        <v>175</v>
      </c>
      <c r="CL24" s="134">
        <v>3373</v>
      </c>
      <c r="CM24" s="134">
        <v>3548</v>
      </c>
      <c r="CN24" s="134">
        <v>2958</v>
      </c>
      <c r="CO24" s="134">
        <v>21930</v>
      </c>
      <c r="CP24" s="134">
        <v>24888</v>
      </c>
      <c r="CQ24" s="134">
        <v>38</v>
      </c>
      <c r="CR24" s="134">
        <v>253</v>
      </c>
      <c r="CS24" s="134">
        <v>291</v>
      </c>
      <c r="CT24" s="134">
        <v>77479</v>
      </c>
      <c r="CU24" s="134">
        <v>458987</v>
      </c>
      <c r="CV24" s="134">
        <v>536466</v>
      </c>
      <c r="CW24" s="134">
        <v>4562</v>
      </c>
      <c r="CX24" s="134">
        <v>17520</v>
      </c>
      <c r="CY24" s="134">
        <v>22082</v>
      </c>
      <c r="CZ24" s="134">
        <v>4400</v>
      </c>
      <c r="DA24" s="134">
        <v>121</v>
      </c>
      <c r="DB24" s="134">
        <v>2</v>
      </c>
      <c r="DC24" s="134">
        <v>16784</v>
      </c>
      <c r="DD24" s="134">
        <v>240</v>
      </c>
      <c r="DE24" s="134">
        <v>96</v>
      </c>
      <c r="DF24" s="134">
        <v>4523</v>
      </c>
      <c r="DG24" s="134">
        <v>17120</v>
      </c>
      <c r="DH24" s="134">
        <v>21643</v>
      </c>
      <c r="DI24" s="134">
        <v>38</v>
      </c>
      <c r="DJ24" s="134">
        <v>1</v>
      </c>
      <c r="DK24" s="134">
        <v>0</v>
      </c>
      <c r="DL24" s="134">
        <v>388</v>
      </c>
      <c r="DM24" s="134">
        <v>10</v>
      </c>
      <c r="DN24" s="134">
        <v>2</v>
      </c>
      <c r="DO24" s="134">
        <v>39</v>
      </c>
      <c r="DP24" s="134">
        <v>400</v>
      </c>
      <c r="DQ24" s="134">
        <v>439</v>
      </c>
      <c r="DR24" s="134">
        <v>0</v>
      </c>
      <c r="DS24" s="134">
        <v>0</v>
      </c>
      <c r="DT24" s="135">
        <v>0</v>
      </c>
      <c r="DV24" s="136"/>
      <c r="DW24" s="137"/>
      <c r="DX24" s="136"/>
      <c r="DY24" s="136"/>
    </row>
    <row r="25" spans="1:129" s="116" customFormat="1">
      <c r="A25" s="133" t="s">
        <v>294</v>
      </c>
      <c r="B25" s="134">
        <v>744</v>
      </c>
      <c r="C25" s="134">
        <v>116</v>
      </c>
      <c r="D25" s="134">
        <v>709</v>
      </c>
      <c r="E25" s="134">
        <v>514</v>
      </c>
      <c r="F25" s="134">
        <v>0</v>
      </c>
      <c r="G25" s="134">
        <v>5</v>
      </c>
      <c r="H25" s="134">
        <v>5</v>
      </c>
      <c r="I25" s="134">
        <v>0</v>
      </c>
      <c r="J25" s="134">
        <v>170</v>
      </c>
      <c r="K25" s="134">
        <v>170</v>
      </c>
      <c r="L25" s="134">
        <v>0</v>
      </c>
      <c r="M25" s="134">
        <v>49</v>
      </c>
      <c r="N25" s="134">
        <v>49</v>
      </c>
      <c r="O25" s="134">
        <v>0</v>
      </c>
      <c r="P25" s="134">
        <v>121</v>
      </c>
      <c r="Q25" s="134">
        <v>121</v>
      </c>
      <c r="R25" s="134">
        <v>0</v>
      </c>
      <c r="S25" s="134">
        <v>2</v>
      </c>
      <c r="T25" s="134">
        <v>2</v>
      </c>
      <c r="U25" s="134">
        <v>0</v>
      </c>
      <c r="V25" s="134">
        <v>25</v>
      </c>
      <c r="W25" s="134">
        <v>25</v>
      </c>
      <c r="X25" s="134">
        <v>22</v>
      </c>
      <c r="Y25" s="134">
        <v>687</v>
      </c>
      <c r="Z25" s="134">
        <v>709</v>
      </c>
      <c r="AA25" s="134">
        <v>17</v>
      </c>
      <c r="AB25" s="134">
        <v>304</v>
      </c>
      <c r="AC25" s="134">
        <v>321</v>
      </c>
      <c r="AD25" s="134">
        <v>16</v>
      </c>
      <c r="AE25" s="134">
        <v>300</v>
      </c>
      <c r="AF25" s="134">
        <v>316</v>
      </c>
      <c r="AG25" s="134">
        <v>1</v>
      </c>
      <c r="AH25" s="134">
        <v>1</v>
      </c>
      <c r="AI25" s="134">
        <v>2</v>
      </c>
      <c r="AJ25" s="134">
        <v>0</v>
      </c>
      <c r="AK25" s="134">
        <v>3</v>
      </c>
      <c r="AL25" s="134">
        <v>3</v>
      </c>
      <c r="AM25" s="134">
        <v>5</v>
      </c>
      <c r="AN25" s="134">
        <v>383</v>
      </c>
      <c r="AO25" s="134">
        <v>388</v>
      </c>
      <c r="AP25" s="134">
        <v>1448</v>
      </c>
      <c r="AQ25" s="134">
        <v>9069</v>
      </c>
      <c r="AR25" s="134">
        <v>10517</v>
      </c>
      <c r="AS25" s="134">
        <v>1448</v>
      </c>
      <c r="AT25" s="134">
        <v>9069</v>
      </c>
      <c r="AU25" s="134">
        <v>10517</v>
      </c>
      <c r="AV25" s="134">
        <v>0</v>
      </c>
      <c r="AW25" s="134">
        <v>0</v>
      </c>
      <c r="AX25" s="134">
        <v>0</v>
      </c>
      <c r="AY25" s="134">
        <v>89</v>
      </c>
      <c r="AZ25" s="134">
        <v>779</v>
      </c>
      <c r="BA25" s="134">
        <v>868</v>
      </c>
      <c r="BB25" s="134">
        <v>29</v>
      </c>
      <c r="BC25" s="134">
        <v>2</v>
      </c>
      <c r="BD25" s="134">
        <v>0</v>
      </c>
      <c r="BE25" s="134">
        <v>477</v>
      </c>
      <c r="BF25" s="134">
        <v>5</v>
      </c>
      <c r="BG25" s="134">
        <v>1</v>
      </c>
      <c r="BH25" s="134">
        <v>31</v>
      </c>
      <c r="BI25" s="134">
        <v>483</v>
      </c>
      <c r="BJ25" s="134">
        <v>514</v>
      </c>
      <c r="BK25" s="134">
        <v>23</v>
      </c>
      <c r="BL25" s="134">
        <v>-23</v>
      </c>
      <c r="BM25" s="134">
        <v>0</v>
      </c>
      <c r="BN25" s="134">
        <v>7</v>
      </c>
      <c r="BO25" s="134">
        <v>36</v>
      </c>
      <c r="BP25" s="134">
        <v>43</v>
      </c>
      <c r="BQ25" s="134">
        <v>7</v>
      </c>
      <c r="BR25" s="134">
        <v>162</v>
      </c>
      <c r="BS25" s="134">
        <v>169</v>
      </c>
      <c r="BT25" s="134">
        <v>21</v>
      </c>
      <c r="BU25" s="134">
        <v>121</v>
      </c>
      <c r="BV25" s="134">
        <v>142</v>
      </c>
      <c r="BW25" s="134">
        <v>1537</v>
      </c>
      <c r="BX25" s="134">
        <v>9848</v>
      </c>
      <c r="BY25" s="134">
        <v>11385</v>
      </c>
      <c r="BZ25" s="134">
        <v>1512</v>
      </c>
      <c r="CA25" s="134">
        <v>9783</v>
      </c>
      <c r="CB25" s="134">
        <v>11295</v>
      </c>
      <c r="CC25" s="134">
        <v>27396</v>
      </c>
      <c r="CD25" s="134">
        <v>2</v>
      </c>
      <c r="CE25" s="134">
        <v>87</v>
      </c>
      <c r="CF25" s="134">
        <v>24</v>
      </c>
      <c r="CG25" s="134">
        <v>59</v>
      </c>
      <c r="CH25" s="134">
        <v>83</v>
      </c>
      <c r="CI25" s="134">
        <v>7</v>
      </c>
      <c r="CJ25" s="134">
        <v>2</v>
      </c>
      <c r="CK25" s="134">
        <v>1</v>
      </c>
      <c r="CL25" s="134">
        <v>6</v>
      </c>
      <c r="CM25" s="134">
        <v>7</v>
      </c>
      <c r="CN25" s="134">
        <v>79</v>
      </c>
      <c r="CO25" s="134">
        <v>742</v>
      </c>
      <c r="CP25" s="134">
        <v>821</v>
      </c>
      <c r="CQ25" s="134">
        <v>0</v>
      </c>
      <c r="CR25" s="134">
        <v>0</v>
      </c>
      <c r="CS25" s="134">
        <v>0</v>
      </c>
      <c r="CT25" s="134">
        <v>1458</v>
      </c>
      <c r="CU25" s="134">
        <v>9106</v>
      </c>
      <c r="CV25" s="134">
        <v>10564</v>
      </c>
      <c r="CW25" s="134">
        <v>102</v>
      </c>
      <c r="CX25" s="134">
        <v>571</v>
      </c>
      <c r="CY25" s="134">
        <v>673</v>
      </c>
      <c r="CZ25" s="134">
        <v>100</v>
      </c>
      <c r="DA25" s="134">
        <v>1</v>
      </c>
      <c r="DB25" s="134">
        <v>0</v>
      </c>
      <c r="DC25" s="134">
        <v>560</v>
      </c>
      <c r="DD25" s="134">
        <v>3</v>
      </c>
      <c r="DE25" s="134">
        <v>1</v>
      </c>
      <c r="DF25" s="134">
        <v>101</v>
      </c>
      <c r="DG25" s="134">
        <v>564</v>
      </c>
      <c r="DH25" s="134">
        <v>665</v>
      </c>
      <c r="DI25" s="134">
        <v>1</v>
      </c>
      <c r="DJ25" s="134">
        <v>0</v>
      </c>
      <c r="DK25" s="134">
        <v>0</v>
      </c>
      <c r="DL25" s="134">
        <v>7</v>
      </c>
      <c r="DM25" s="134">
        <v>0</v>
      </c>
      <c r="DN25" s="134">
        <v>0</v>
      </c>
      <c r="DO25" s="134">
        <v>1</v>
      </c>
      <c r="DP25" s="134">
        <v>7</v>
      </c>
      <c r="DQ25" s="134">
        <v>8</v>
      </c>
      <c r="DR25" s="134">
        <v>0</v>
      </c>
      <c r="DS25" s="134">
        <v>0</v>
      </c>
      <c r="DT25" s="135">
        <v>0</v>
      </c>
      <c r="DV25" s="136"/>
      <c r="DW25" s="137"/>
      <c r="DX25" s="136"/>
      <c r="DY25" s="136"/>
    </row>
    <row r="26" spans="1:129" s="116" customFormat="1">
      <c r="A26" s="133" t="s">
        <v>295</v>
      </c>
      <c r="B26" s="134">
        <v>437</v>
      </c>
      <c r="C26" s="134">
        <v>140</v>
      </c>
      <c r="D26" s="134">
        <v>451</v>
      </c>
      <c r="E26" s="134">
        <v>275</v>
      </c>
      <c r="F26" s="134">
        <v>0</v>
      </c>
      <c r="G26" s="134">
        <v>12</v>
      </c>
      <c r="H26" s="134">
        <v>12</v>
      </c>
      <c r="I26" s="134">
        <v>0</v>
      </c>
      <c r="J26" s="134">
        <v>159</v>
      </c>
      <c r="K26" s="134">
        <v>159</v>
      </c>
      <c r="L26" s="134">
        <v>0</v>
      </c>
      <c r="M26" s="134">
        <v>47</v>
      </c>
      <c r="N26" s="134">
        <v>47</v>
      </c>
      <c r="O26" s="134">
        <v>0</v>
      </c>
      <c r="P26" s="134">
        <v>112</v>
      </c>
      <c r="Q26" s="134">
        <v>112</v>
      </c>
      <c r="R26" s="134">
        <v>0</v>
      </c>
      <c r="S26" s="134">
        <v>4</v>
      </c>
      <c r="T26" s="134">
        <v>4</v>
      </c>
      <c r="U26" s="134">
        <v>0</v>
      </c>
      <c r="V26" s="134">
        <v>17</v>
      </c>
      <c r="W26" s="134">
        <v>17</v>
      </c>
      <c r="X26" s="134">
        <v>9</v>
      </c>
      <c r="Y26" s="134">
        <v>442</v>
      </c>
      <c r="Z26" s="134">
        <v>451</v>
      </c>
      <c r="AA26" s="134">
        <v>8</v>
      </c>
      <c r="AB26" s="134">
        <v>179</v>
      </c>
      <c r="AC26" s="134">
        <v>187</v>
      </c>
      <c r="AD26" s="134">
        <v>7</v>
      </c>
      <c r="AE26" s="134">
        <v>164</v>
      </c>
      <c r="AF26" s="134">
        <v>171</v>
      </c>
      <c r="AG26" s="134">
        <v>0</v>
      </c>
      <c r="AH26" s="134">
        <v>10</v>
      </c>
      <c r="AI26" s="134">
        <v>10</v>
      </c>
      <c r="AJ26" s="134">
        <v>1</v>
      </c>
      <c r="AK26" s="134">
        <v>5</v>
      </c>
      <c r="AL26" s="134">
        <v>6</v>
      </c>
      <c r="AM26" s="134">
        <v>1</v>
      </c>
      <c r="AN26" s="134">
        <v>263</v>
      </c>
      <c r="AO26" s="134">
        <v>264</v>
      </c>
      <c r="AP26" s="134">
        <v>507</v>
      </c>
      <c r="AQ26" s="134">
        <v>5098</v>
      </c>
      <c r="AR26" s="134">
        <v>5605</v>
      </c>
      <c r="AS26" s="134">
        <v>507</v>
      </c>
      <c r="AT26" s="134">
        <v>5098</v>
      </c>
      <c r="AU26" s="134">
        <v>5605</v>
      </c>
      <c r="AV26" s="134">
        <v>0</v>
      </c>
      <c r="AW26" s="134">
        <v>0</v>
      </c>
      <c r="AX26" s="134">
        <v>0</v>
      </c>
      <c r="AY26" s="134">
        <v>18</v>
      </c>
      <c r="AZ26" s="134">
        <v>439</v>
      </c>
      <c r="BA26" s="134">
        <v>457</v>
      </c>
      <c r="BB26" s="134">
        <v>10</v>
      </c>
      <c r="BC26" s="134">
        <v>0</v>
      </c>
      <c r="BD26" s="134">
        <v>0</v>
      </c>
      <c r="BE26" s="134">
        <v>252</v>
      </c>
      <c r="BF26" s="134">
        <v>12</v>
      </c>
      <c r="BG26" s="134">
        <v>1</v>
      </c>
      <c r="BH26" s="134">
        <v>10</v>
      </c>
      <c r="BI26" s="134">
        <v>265</v>
      </c>
      <c r="BJ26" s="134">
        <v>275</v>
      </c>
      <c r="BK26" s="134">
        <v>-8</v>
      </c>
      <c r="BL26" s="134">
        <v>8</v>
      </c>
      <c r="BM26" s="134">
        <v>0</v>
      </c>
      <c r="BN26" s="134">
        <v>2</v>
      </c>
      <c r="BO26" s="134">
        <v>10</v>
      </c>
      <c r="BP26" s="134">
        <v>12</v>
      </c>
      <c r="BQ26" s="134">
        <v>0</v>
      </c>
      <c r="BR26" s="134">
        <v>52</v>
      </c>
      <c r="BS26" s="134">
        <v>52</v>
      </c>
      <c r="BT26" s="134">
        <v>14</v>
      </c>
      <c r="BU26" s="134">
        <v>104</v>
      </c>
      <c r="BV26" s="134">
        <v>118</v>
      </c>
      <c r="BW26" s="134">
        <v>525</v>
      </c>
      <c r="BX26" s="134">
        <v>5537</v>
      </c>
      <c r="BY26" s="134">
        <v>6062</v>
      </c>
      <c r="BZ26" s="134">
        <v>485</v>
      </c>
      <c r="CA26" s="134">
        <v>5239</v>
      </c>
      <c r="CB26" s="134">
        <v>5724</v>
      </c>
      <c r="CC26" s="134">
        <v>9585</v>
      </c>
      <c r="CD26" s="134">
        <v>8</v>
      </c>
      <c r="CE26" s="134">
        <v>304</v>
      </c>
      <c r="CF26" s="134">
        <v>38</v>
      </c>
      <c r="CG26" s="134">
        <v>233</v>
      </c>
      <c r="CH26" s="134">
        <v>271</v>
      </c>
      <c r="CI26" s="134">
        <v>66</v>
      </c>
      <c r="CJ26" s="134">
        <v>17</v>
      </c>
      <c r="CK26" s="134">
        <v>2</v>
      </c>
      <c r="CL26" s="134">
        <v>65</v>
      </c>
      <c r="CM26" s="134">
        <v>67</v>
      </c>
      <c r="CN26" s="134">
        <v>25</v>
      </c>
      <c r="CO26" s="134">
        <v>461</v>
      </c>
      <c r="CP26" s="134">
        <v>486</v>
      </c>
      <c r="CQ26" s="134">
        <v>0</v>
      </c>
      <c r="CR26" s="134">
        <v>1</v>
      </c>
      <c r="CS26" s="134">
        <v>1</v>
      </c>
      <c r="CT26" s="134">
        <v>500</v>
      </c>
      <c r="CU26" s="134">
        <v>5076</v>
      </c>
      <c r="CV26" s="134">
        <v>5576</v>
      </c>
      <c r="CW26" s="134">
        <v>42</v>
      </c>
      <c r="CX26" s="134">
        <v>136</v>
      </c>
      <c r="CY26" s="134">
        <v>178</v>
      </c>
      <c r="CZ26" s="134">
        <v>41</v>
      </c>
      <c r="DA26" s="134">
        <v>1</v>
      </c>
      <c r="DB26" s="134">
        <v>0</v>
      </c>
      <c r="DC26" s="134">
        <v>123</v>
      </c>
      <c r="DD26" s="134">
        <v>12</v>
      </c>
      <c r="DE26" s="134">
        <v>0</v>
      </c>
      <c r="DF26" s="134">
        <v>42</v>
      </c>
      <c r="DG26" s="134">
        <v>135</v>
      </c>
      <c r="DH26" s="134">
        <v>177</v>
      </c>
      <c r="DI26" s="134">
        <v>0</v>
      </c>
      <c r="DJ26" s="134">
        <v>0</v>
      </c>
      <c r="DK26" s="134">
        <v>0</v>
      </c>
      <c r="DL26" s="134">
        <v>1</v>
      </c>
      <c r="DM26" s="134">
        <v>0</v>
      </c>
      <c r="DN26" s="134">
        <v>0</v>
      </c>
      <c r="DO26" s="134">
        <v>0</v>
      </c>
      <c r="DP26" s="134">
        <v>1</v>
      </c>
      <c r="DQ26" s="134">
        <v>1</v>
      </c>
      <c r="DR26" s="134">
        <v>0</v>
      </c>
      <c r="DS26" s="134">
        <v>0</v>
      </c>
      <c r="DT26" s="135">
        <v>0</v>
      </c>
      <c r="DV26" s="136"/>
      <c r="DW26" s="137"/>
      <c r="DX26" s="136"/>
      <c r="DY26" s="136"/>
    </row>
    <row r="27" spans="1:129" s="116" customFormat="1">
      <c r="A27" s="133" t="s">
        <v>296</v>
      </c>
      <c r="B27" s="134">
        <v>61</v>
      </c>
      <c r="C27" s="134">
        <v>4</v>
      </c>
      <c r="D27" s="134">
        <v>72</v>
      </c>
      <c r="E27" s="134">
        <v>44</v>
      </c>
      <c r="F27" s="134">
        <v>0</v>
      </c>
      <c r="G27" s="134">
        <v>1</v>
      </c>
      <c r="H27" s="134">
        <v>1</v>
      </c>
      <c r="I27" s="134">
        <v>0</v>
      </c>
      <c r="J27" s="134">
        <v>22</v>
      </c>
      <c r="K27" s="134">
        <v>22</v>
      </c>
      <c r="L27" s="134">
        <v>0</v>
      </c>
      <c r="M27" s="134">
        <v>8</v>
      </c>
      <c r="N27" s="134">
        <v>8</v>
      </c>
      <c r="O27" s="134">
        <v>0</v>
      </c>
      <c r="P27" s="134">
        <v>14</v>
      </c>
      <c r="Q27" s="134">
        <v>14</v>
      </c>
      <c r="R27" s="134">
        <v>0</v>
      </c>
      <c r="S27" s="134">
        <v>0</v>
      </c>
      <c r="T27" s="134">
        <v>0</v>
      </c>
      <c r="U27" s="134">
        <v>0</v>
      </c>
      <c r="V27" s="134">
        <v>6</v>
      </c>
      <c r="W27" s="134">
        <v>6</v>
      </c>
      <c r="X27" s="134">
        <v>2</v>
      </c>
      <c r="Y27" s="134">
        <v>70</v>
      </c>
      <c r="Z27" s="134">
        <v>72</v>
      </c>
      <c r="AA27" s="134">
        <v>0</v>
      </c>
      <c r="AB27" s="134">
        <v>32</v>
      </c>
      <c r="AC27" s="134">
        <v>32</v>
      </c>
      <c r="AD27" s="134">
        <v>0</v>
      </c>
      <c r="AE27" s="134">
        <v>31</v>
      </c>
      <c r="AF27" s="134">
        <v>31</v>
      </c>
      <c r="AG27" s="134">
        <v>0</v>
      </c>
      <c r="AH27" s="134">
        <v>1</v>
      </c>
      <c r="AI27" s="134">
        <v>1</v>
      </c>
      <c r="AJ27" s="134">
        <v>0</v>
      </c>
      <c r="AK27" s="134">
        <v>0</v>
      </c>
      <c r="AL27" s="134">
        <v>0</v>
      </c>
      <c r="AM27" s="134">
        <v>2</v>
      </c>
      <c r="AN27" s="134">
        <v>38</v>
      </c>
      <c r="AO27" s="134">
        <v>40</v>
      </c>
      <c r="AP27" s="134">
        <v>82</v>
      </c>
      <c r="AQ27" s="134">
        <v>868</v>
      </c>
      <c r="AR27" s="134">
        <v>950</v>
      </c>
      <c r="AS27" s="134">
        <v>82</v>
      </c>
      <c r="AT27" s="134">
        <v>868</v>
      </c>
      <c r="AU27" s="134">
        <v>950</v>
      </c>
      <c r="AV27" s="134">
        <v>0</v>
      </c>
      <c r="AW27" s="134">
        <v>0</v>
      </c>
      <c r="AX27" s="134">
        <v>0</v>
      </c>
      <c r="AY27" s="134">
        <v>11</v>
      </c>
      <c r="AZ27" s="134">
        <v>71</v>
      </c>
      <c r="BA27" s="134">
        <v>82</v>
      </c>
      <c r="BB27" s="134">
        <v>3</v>
      </c>
      <c r="BC27" s="134">
        <v>0</v>
      </c>
      <c r="BD27" s="134">
        <v>0</v>
      </c>
      <c r="BE27" s="134">
        <v>39</v>
      </c>
      <c r="BF27" s="134">
        <v>1</v>
      </c>
      <c r="BG27" s="134">
        <v>1</v>
      </c>
      <c r="BH27" s="134">
        <v>3</v>
      </c>
      <c r="BI27" s="134">
        <v>41</v>
      </c>
      <c r="BJ27" s="134">
        <v>44</v>
      </c>
      <c r="BK27" s="134">
        <v>2</v>
      </c>
      <c r="BL27" s="134">
        <v>-2</v>
      </c>
      <c r="BM27" s="134">
        <v>0</v>
      </c>
      <c r="BN27" s="134">
        <v>4</v>
      </c>
      <c r="BO27" s="134">
        <v>1</v>
      </c>
      <c r="BP27" s="134">
        <v>5</v>
      </c>
      <c r="BQ27" s="134">
        <v>2</v>
      </c>
      <c r="BR27" s="134">
        <v>4</v>
      </c>
      <c r="BS27" s="134">
        <v>6</v>
      </c>
      <c r="BT27" s="134">
        <v>0</v>
      </c>
      <c r="BU27" s="134">
        <v>27</v>
      </c>
      <c r="BV27" s="134">
        <v>27</v>
      </c>
      <c r="BW27" s="134">
        <v>93</v>
      </c>
      <c r="BX27" s="134">
        <v>939</v>
      </c>
      <c r="BY27" s="134">
        <v>1032</v>
      </c>
      <c r="BZ27" s="134">
        <v>92</v>
      </c>
      <c r="CA27" s="134">
        <v>935</v>
      </c>
      <c r="CB27" s="134">
        <v>1027</v>
      </c>
      <c r="CC27" s="134">
        <v>1898</v>
      </c>
      <c r="CD27" s="134">
        <v>1</v>
      </c>
      <c r="CE27" s="134">
        <v>2</v>
      </c>
      <c r="CF27" s="134">
        <v>1</v>
      </c>
      <c r="CG27" s="134">
        <v>2</v>
      </c>
      <c r="CH27" s="134">
        <v>3</v>
      </c>
      <c r="CI27" s="134">
        <v>2</v>
      </c>
      <c r="CJ27" s="134">
        <v>0</v>
      </c>
      <c r="CK27" s="134">
        <v>0</v>
      </c>
      <c r="CL27" s="134">
        <v>2</v>
      </c>
      <c r="CM27" s="134">
        <v>2</v>
      </c>
      <c r="CN27" s="134">
        <v>6</v>
      </c>
      <c r="CO27" s="134">
        <v>65</v>
      </c>
      <c r="CP27" s="134">
        <v>71</v>
      </c>
      <c r="CQ27" s="134">
        <v>0</v>
      </c>
      <c r="CR27" s="134">
        <v>1</v>
      </c>
      <c r="CS27" s="134">
        <v>1</v>
      </c>
      <c r="CT27" s="134">
        <v>87</v>
      </c>
      <c r="CU27" s="134">
        <v>874</v>
      </c>
      <c r="CV27" s="134">
        <v>961</v>
      </c>
      <c r="CW27" s="134">
        <v>6</v>
      </c>
      <c r="CX27" s="134">
        <v>44</v>
      </c>
      <c r="CY27" s="134">
        <v>50</v>
      </c>
      <c r="CZ27" s="134">
        <v>6</v>
      </c>
      <c r="DA27" s="134">
        <v>0</v>
      </c>
      <c r="DB27" s="134">
        <v>0</v>
      </c>
      <c r="DC27" s="134">
        <v>44</v>
      </c>
      <c r="DD27" s="134">
        <v>0</v>
      </c>
      <c r="DE27" s="134">
        <v>0</v>
      </c>
      <c r="DF27" s="134">
        <v>6</v>
      </c>
      <c r="DG27" s="134">
        <v>44</v>
      </c>
      <c r="DH27" s="134">
        <v>50</v>
      </c>
      <c r="DI27" s="134">
        <v>0</v>
      </c>
      <c r="DJ27" s="134">
        <v>0</v>
      </c>
      <c r="DK27" s="134">
        <v>0</v>
      </c>
      <c r="DL27" s="134">
        <v>0</v>
      </c>
      <c r="DM27" s="134">
        <v>0</v>
      </c>
      <c r="DN27" s="134">
        <v>0</v>
      </c>
      <c r="DO27" s="134">
        <v>0</v>
      </c>
      <c r="DP27" s="134">
        <v>0</v>
      </c>
      <c r="DQ27" s="134">
        <v>0</v>
      </c>
      <c r="DR27" s="134">
        <v>0</v>
      </c>
      <c r="DS27" s="134">
        <v>0</v>
      </c>
      <c r="DT27" s="135">
        <v>0</v>
      </c>
      <c r="DV27" s="136"/>
      <c r="DW27" s="137"/>
      <c r="DX27" s="136"/>
      <c r="DY27" s="136"/>
    </row>
    <row r="28" spans="1:129" s="116" customFormat="1">
      <c r="A28" s="133" t="s">
        <v>297</v>
      </c>
      <c r="B28" s="134">
        <v>495</v>
      </c>
      <c r="C28" s="134">
        <v>67</v>
      </c>
      <c r="D28" s="134">
        <v>498</v>
      </c>
      <c r="E28" s="134">
        <v>372</v>
      </c>
      <c r="F28" s="134">
        <v>2</v>
      </c>
      <c r="G28" s="134">
        <v>23</v>
      </c>
      <c r="H28" s="134">
        <v>25</v>
      </c>
      <c r="I28" s="134">
        <v>0</v>
      </c>
      <c r="J28" s="134">
        <v>119</v>
      </c>
      <c r="K28" s="134">
        <v>119</v>
      </c>
      <c r="L28" s="134">
        <v>0</v>
      </c>
      <c r="M28" s="134">
        <v>50</v>
      </c>
      <c r="N28" s="134">
        <v>50</v>
      </c>
      <c r="O28" s="134">
        <v>0</v>
      </c>
      <c r="P28" s="134">
        <v>69</v>
      </c>
      <c r="Q28" s="134">
        <v>69</v>
      </c>
      <c r="R28" s="134">
        <v>0</v>
      </c>
      <c r="S28" s="134">
        <v>3</v>
      </c>
      <c r="T28" s="134">
        <v>3</v>
      </c>
      <c r="U28" s="134">
        <v>0</v>
      </c>
      <c r="V28" s="134">
        <v>7</v>
      </c>
      <c r="W28" s="134">
        <v>7</v>
      </c>
      <c r="X28" s="134">
        <v>11</v>
      </c>
      <c r="Y28" s="134">
        <v>486</v>
      </c>
      <c r="Z28" s="134">
        <v>497</v>
      </c>
      <c r="AA28" s="134">
        <v>4</v>
      </c>
      <c r="AB28" s="134">
        <v>233</v>
      </c>
      <c r="AC28" s="134">
        <v>237</v>
      </c>
      <c r="AD28" s="134">
        <v>4</v>
      </c>
      <c r="AE28" s="134">
        <v>208</v>
      </c>
      <c r="AF28" s="134">
        <v>212</v>
      </c>
      <c r="AG28" s="134">
        <v>0</v>
      </c>
      <c r="AH28" s="134">
        <v>11</v>
      </c>
      <c r="AI28" s="134">
        <v>11</v>
      </c>
      <c r="AJ28" s="134">
        <v>0</v>
      </c>
      <c r="AK28" s="134">
        <v>14</v>
      </c>
      <c r="AL28" s="134">
        <v>14</v>
      </c>
      <c r="AM28" s="134">
        <v>7</v>
      </c>
      <c r="AN28" s="134">
        <v>253</v>
      </c>
      <c r="AO28" s="134">
        <v>260</v>
      </c>
      <c r="AP28" s="134">
        <v>452</v>
      </c>
      <c r="AQ28" s="134">
        <v>5431</v>
      </c>
      <c r="AR28" s="134">
        <v>5883</v>
      </c>
      <c r="AS28" s="134">
        <v>452</v>
      </c>
      <c r="AT28" s="134">
        <v>5431</v>
      </c>
      <c r="AU28" s="134">
        <v>5883</v>
      </c>
      <c r="AV28" s="134">
        <v>0</v>
      </c>
      <c r="AW28" s="134">
        <v>0</v>
      </c>
      <c r="AX28" s="134">
        <v>0</v>
      </c>
      <c r="AY28" s="134">
        <v>39</v>
      </c>
      <c r="AZ28" s="134">
        <v>552</v>
      </c>
      <c r="BA28" s="134">
        <v>591</v>
      </c>
      <c r="BB28" s="134">
        <v>13</v>
      </c>
      <c r="BC28" s="134">
        <v>1</v>
      </c>
      <c r="BD28" s="134">
        <v>0</v>
      </c>
      <c r="BE28" s="134">
        <v>355</v>
      </c>
      <c r="BF28" s="134">
        <v>1</v>
      </c>
      <c r="BG28" s="134">
        <v>2</v>
      </c>
      <c r="BH28" s="134">
        <v>14</v>
      </c>
      <c r="BI28" s="134">
        <v>358</v>
      </c>
      <c r="BJ28" s="134">
        <v>372</v>
      </c>
      <c r="BK28" s="134">
        <v>2</v>
      </c>
      <c r="BL28" s="134">
        <v>-2</v>
      </c>
      <c r="BM28" s="134">
        <v>0</v>
      </c>
      <c r="BN28" s="134">
        <v>3</v>
      </c>
      <c r="BO28" s="134">
        <v>11</v>
      </c>
      <c r="BP28" s="134">
        <v>14</v>
      </c>
      <c r="BQ28" s="134">
        <v>4</v>
      </c>
      <c r="BR28" s="134">
        <v>92</v>
      </c>
      <c r="BS28" s="134">
        <v>96</v>
      </c>
      <c r="BT28" s="134">
        <v>16</v>
      </c>
      <c r="BU28" s="134">
        <v>93</v>
      </c>
      <c r="BV28" s="134">
        <v>109</v>
      </c>
      <c r="BW28" s="134">
        <v>491</v>
      </c>
      <c r="BX28" s="134">
        <v>5983</v>
      </c>
      <c r="BY28" s="134">
        <v>6474</v>
      </c>
      <c r="BZ28" s="134">
        <v>490</v>
      </c>
      <c r="CA28" s="134">
        <v>5924</v>
      </c>
      <c r="CB28" s="134">
        <v>6414</v>
      </c>
      <c r="CC28" s="134">
        <v>11840</v>
      </c>
      <c r="CD28" s="134">
        <v>3</v>
      </c>
      <c r="CE28" s="134">
        <v>47</v>
      </c>
      <c r="CF28" s="134">
        <v>1</v>
      </c>
      <c r="CG28" s="134">
        <v>47</v>
      </c>
      <c r="CH28" s="134">
        <v>48</v>
      </c>
      <c r="CI28" s="134">
        <v>16</v>
      </c>
      <c r="CJ28" s="134">
        <v>0</v>
      </c>
      <c r="CK28" s="134">
        <v>0</v>
      </c>
      <c r="CL28" s="134">
        <v>12</v>
      </c>
      <c r="CM28" s="134">
        <v>12</v>
      </c>
      <c r="CN28" s="134">
        <v>39</v>
      </c>
      <c r="CO28" s="134">
        <v>580</v>
      </c>
      <c r="CP28" s="134">
        <v>619</v>
      </c>
      <c r="CQ28" s="134">
        <v>0</v>
      </c>
      <c r="CR28" s="134">
        <v>1</v>
      </c>
      <c r="CS28" s="134">
        <v>1</v>
      </c>
      <c r="CT28" s="134">
        <v>452</v>
      </c>
      <c r="CU28" s="134">
        <v>5403</v>
      </c>
      <c r="CV28" s="134">
        <v>5855</v>
      </c>
      <c r="CW28" s="134">
        <v>23</v>
      </c>
      <c r="CX28" s="134">
        <v>158</v>
      </c>
      <c r="CY28" s="134">
        <v>181</v>
      </c>
      <c r="CZ28" s="134">
        <v>22</v>
      </c>
      <c r="DA28" s="134">
        <v>0</v>
      </c>
      <c r="DB28" s="134">
        <v>0</v>
      </c>
      <c r="DC28" s="134">
        <v>157</v>
      </c>
      <c r="DD28" s="134">
        <v>1</v>
      </c>
      <c r="DE28" s="134">
        <v>0</v>
      </c>
      <c r="DF28" s="134">
        <v>22</v>
      </c>
      <c r="DG28" s="134">
        <v>158</v>
      </c>
      <c r="DH28" s="134">
        <v>180</v>
      </c>
      <c r="DI28" s="134">
        <v>1</v>
      </c>
      <c r="DJ28" s="134">
        <v>0</v>
      </c>
      <c r="DK28" s="134">
        <v>0</v>
      </c>
      <c r="DL28" s="134">
        <v>0</v>
      </c>
      <c r="DM28" s="134">
        <v>0</v>
      </c>
      <c r="DN28" s="134">
        <v>0</v>
      </c>
      <c r="DO28" s="134">
        <v>1</v>
      </c>
      <c r="DP28" s="134">
        <v>0</v>
      </c>
      <c r="DQ28" s="134">
        <v>1</v>
      </c>
      <c r="DR28" s="134">
        <v>0</v>
      </c>
      <c r="DS28" s="134">
        <v>0</v>
      </c>
      <c r="DT28" s="135">
        <v>0</v>
      </c>
      <c r="DV28" s="136"/>
      <c r="DW28" s="137"/>
      <c r="DX28" s="136"/>
      <c r="DY28" s="136"/>
    </row>
    <row r="29" spans="1:129" s="116" customFormat="1">
      <c r="A29" s="133" t="s">
        <v>298</v>
      </c>
      <c r="B29" s="134">
        <v>1697</v>
      </c>
      <c r="C29" s="134">
        <v>293</v>
      </c>
      <c r="D29" s="134">
        <v>1609</v>
      </c>
      <c r="E29" s="134">
        <v>961</v>
      </c>
      <c r="F29" s="134">
        <v>2</v>
      </c>
      <c r="G29" s="134">
        <v>12</v>
      </c>
      <c r="H29" s="134">
        <v>14</v>
      </c>
      <c r="I29" s="134">
        <v>0</v>
      </c>
      <c r="J29" s="134">
        <v>536</v>
      </c>
      <c r="K29" s="134">
        <v>536</v>
      </c>
      <c r="L29" s="134">
        <v>0</v>
      </c>
      <c r="M29" s="134">
        <v>134</v>
      </c>
      <c r="N29" s="134">
        <v>134</v>
      </c>
      <c r="O29" s="134">
        <v>0</v>
      </c>
      <c r="P29" s="134">
        <v>402</v>
      </c>
      <c r="Q29" s="134">
        <v>402</v>
      </c>
      <c r="R29" s="134">
        <v>0</v>
      </c>
      <c r="S29" s="134">
        <v>6</v>
      </c>
      <c r="T29" s="134">
        <v>6</v>
      </c>
      <c r="U29" s="134">
        <v>0</v>
      </c>
      <c r="V29" s="134">
        <v>112</v>
      </c>
      <c r="W29" s="134">
        <v>112</v>
      </c>
      <c r="X29" s="134">
        <v>46</v>
      </c>
      <c r="Y29" s="134">
        <v>1563</v>
      </c>
      <c r="Z29" s="134">
        <v>1609</v>
      </c>
      <c r="AA29" s="134">
        <v>27</v>
      </c>
      <c r="AB29" s="134">
        <v>658</v>
      </c>
      <c r="AC29" s="134">
        <v>685</v>
      </c>
      <c r="AD29" s="134">
        <v>26</v>
      </c>
      <c r="AE29" s="134">
        <v>641</v>
      </c>
      <c r="AF29" s="134">
        <v>667</v>
      </c>
      <c r="AG29" s="134">
        <v>0</v>
      </c>
      <c r="AH29" s="134">
        <v>12</v>
      </c>
      <c r="AI29" s="134">
        <v>12</v>
      </c>
      <c r="AJ29" s="134">
        <v>1</v>
      </c>
      <c r="AK29" s="134">
        <v>5</v>
      </c>
      <c r="AL29" s="134">
        <v>6</v>
      </c>
      <c r="AM29" s="134">
        <v>19</v>
      </c>
      <c r="AN29" s="134">
        <v>905</v>
      </c>
      <c r="AO29" s="134">
        <v>924</v>
      </c>
      <c r="AP29" s="134">
        <v>3105</v>
      </c>
      <c r="AQ29" s="134">
        <v>18385</v>
      </c>
      <c r="AR29" s="134">
        <v>21490</v>
      </c>
      <c r="AS29" s="134">
        <v>3105</v>
      </c>
      <c r="AT29" s="134">
        <v>18385</v>
      </c>
      <c r="AU29" s="134">
        <v>21490</v>
      </c>
      <c r="AV29" s="134">
        <v>0</v>
      </c>
      <c r="AW29" s="134">
        <v>0</v>
      </c>
      <c r="AX29" s="134">
        <v>0</v>
      </c>
      <c r="AY29" s="134">
        <v>136</v>
      </c>
      <c r="AZ29" s="134">
        <v>1831</v>
      </c>
      <c r="BA29" s="134">
        <v>1967</v>
      </c>
      <c r="BB29" s="134">
        <v>59</v>
      </c>
      <c r="BC29" s="134">
        <v>0</v>
      </c>
      <c r="BD29" s="134">
        <v>0</v>
      </c>
      <c r="BE29" s="134">
        <v>894</v>
      </c>
      <c r="BF29" s="134">
        <v>7</v>
      </c>
      <c r="BG29" s="134">
        <v>1</v>
      </c>
      <c r="BH29" s="134">
        <v>59</v>
      </c>
      <c r="BI29" s="134">
        <v>902</v>
      </c>
      <c r="BJ29" s="134">
        <v>961</v>
      </c>
      <c r="BK29" s="134">
        <v>-9</v>
      </c>
      <c r="BL29" s="134">
        <v>9</v>
      </c>
      <c r="BM29" s="134">
        <v>0</v>
      </c>
      <c r="BN29" s="134">
        <v>17</v>
      </c>
      <c r="BO29" s="134">
        <v>59</v>
      </c>
      <c r="BP29" s="134">
        <v>76</v>
      </c>
      <c r="BQ29" s="134">
        <v>16</v>
      </c>
      <c r="BR29" s="134">
        <v>355</v>
      </c>
      <c r="BS29" s="134">
        <v>371</v>
      </c>
      <c r="BT29" s="134">
        <v>53</v>
      </c>
      <c r="BU29" s="134">
        <v>506</v>
      </c>
      <c r="BV29" s="134">
        <v>559</v>
      </c>
      <c r="BW29" s="134">
        <v>3241</v>
      </c>
      <c r="BX29" s="134">
        <v>20216</v>
      </c>
      <c r="BY29" s="134">
        <v>23457</v>
      </c>
      <c r="BZ29" s="134">
        <v>3224</v>
      </c>
      <c r="CA29" s="134">
        <v>20117</v>
      </c>
      <c r="CB29" s="134">
        <v>23341</v>
      </c>
      <c r="CC29" s="134">
        <v>53598</v>
      </c>
      <c r="CD29" s="134">
        <v>5</v>
      </c>
      <c r="CE29" s="134">
        <v>108</v>
      </c>
      <c r="CF29" s="134">
        <v>17</v>
      </c>
      <c r="CG29" s="134">
        <v>85</v>
      </c>
      <c r="CH29" s="134">
        <v>102</v>
      </c>
      <c r="CI29" s="134">
        <v>12</v>
      </c>
      <c r="CJ29" s="134">
        <v>2</v>
      </c>
      <c r="CK29" s="134">
        <v>0</v>
      </c>
      <c r="CL29" s="134">
        <v>14</v>
      </c>
      <c r="CM29" s="134">
        <v>14</v>
      </c>
      <c r="CN29" s="134">
        <v>158</v>
      </c>
      <c r="CO29" s="134">
        <v>1732</v>
      </c>
      <c r="CP29" s="134">
        <v>1890</v>
      </c>
      <c r="CQ29" s="134">
        <v>0</v>
      </c>
      <c r="CR29" s="134">
        <v>55</v>
      </c>
      <c r="CS29" s="134">
        <v>55</v>
      </c>
      <c r="CT29" s="134">
        <v>3083</v>
      </c>
      <c r="CU29" s="134">
        <v>18484</v>
      </c>
      <c r="CV29" s="134">
        <v>21567</v>
      </c>
      <c r="CW29" s="134">
        <v>200</v>
      </c>
      <c r="CX29" s="134">
        <v>1031</v>
      </c>
      <c r="CY29" s="134">
        <v>1231</v>
      </c>
      <c r="CZ29" s="134">
        <v>197</v>
      </c>
      <c r="DA29" s="134">
        <v>2</v>
      </c>
      <c r="DB29" s="134">
        <v>0</v>
      </c>
      <c r="DC29" s="134">
        <v>1014</v>
      </c>
      <c r="DD29" s="134">
        <v>2</v>
      </c>
      <c r="DE29" s="134">
        <v>2</v>
      </c>
      <c r="DF29" s="134">
        <v>199</v>
      </c>
      <c r="DG29" s="134">
        <v>1018</v>
      </c>
      <c r="DH29" s="134">
        <v>1217</v>
      </c>
      <c r="DI29" s="134">
        <v>1</v>
      </c>
      <c r="DJ29" s="134">
        <v>0</v>
      </c>
      <c r="DK29" s="134">
        <v>0</v>
      </c>
      <c r="DL29" s="134">
        <v>13</v>
      </c>
      <c r="DM29" s="134">
        <v>0</v>
      </c>
      <c r="DN29" s="134">
        <v>0</v>
      </c>
      <c r="DO29" s="134">
        <v>1</v>
      </c>
      <c r="DP29" s="134">
        <v>13</v>
      </c>
      <c r="DQ29" s="134">
        <v>14</v>
      </c>
      <c r="DR29" s="134">
        <v>0</v>
      </c>
      <c r="DS29" s="134">
        <v>0</v>
      </c>
      <c r="DT29" s="135">
        <v>0</v>
      </c>
      <c r="DV29" s="136"/>
      <c r="DW29" s="137"/>
      <c r="DX29" s="136"/>
      <c r="DY29" s="136"/>
    </row>
    <row r="30" spans="1:129" s="116" customFormat="1">
      <c r="A30" s="133" t="s">
        <v>299</v>
      </c>
      <c r="B30" s="134">
        <v>37</v>
      </c>
      <c r="C30" s="134">
        <v>6</v>
      </c>
      <c r="D30" s="134">
        <v>34</v>
      </c>
      <c r="E30" s="134">
        <v>22</v>
      </c>
      <c r="F30" s="134">
        <v>0</v>
      </c>
      <c r="G30" s="134">
        <v>1</v>
      </c>
      <c r="H30" s="134">
        <v>1</v>
      </c>
      <c r="I30" s="134">
        <v>0</v>
      </c>
      <c r="J30" s="134">
        <v>11</v>
      </c>
      <c r="K30" s="134">
        <v>11</v>
      </c>
      <c r="L30" s="134">
        <v>0</v>
      </c>
      <c r="M30" s="134">
        <v>6</v>
      </c>
      <c r="N30" s="134">
        <v>6</v>
      </c>
      <c r="O30" s="134">
        <v>0</v>
      </c>
      <c r="P30" s="134">
        <v>5</v>
      </c>
      <c r="Q30" s="134">
        <v>5</v>
      </c>
      <c r="R30" s="134">
        <v>0</v>
      </c>
      <c r="S30" s="134">
        <v>1</v>
      </c>
      <c r="T30" s="134">
        <v>1</v>
      </c>
      <c r="U30" s="134">
        <v>0</v>
      </c>
      <c r="V30" s="134">
        <v>1</v>
      </c>
      <c r="W30" s="134">
        <v>1</v>
      </c>
      <c r="X30" s="134">
        <v>2</v>
      </c>
      <c r="Y30" s="134">
        <v>32</v>
      </c>
      <c r="Z30" s="134">
        <v>34</v>
      </c>
      <c r="AA30" s="134">
        <v>2</v>
      </c>
      <c r="AB30" s="134">
        <v>12</v>
      </c>
      <c r="AC30" s="134">
        <v>14</v>
      </c>
      <c r="AD30" s="134">
        <v>2</v>
      </c>
      <c r="AE30" s="134">
        <v>11</v>
      </c>
      <c r="AF30" s="134">
        <v>13</v>
      </c>
      <c r="AG30" s="134">
        <v>0</v>
      </c>
      <c r="AH30" s="134">
        <v>1</v>
      </c>
      <c r="AI30" s="134">
        <v>1</v>
      </c>
      <c r="AJ30" s="134">
        <v>0</v>
      </c>
      <c r="AK30" s="134">
        <v>0</v>
      </c>
      <c r="AL30" s="134">
        <v>0</v>
      </c>
      <c r="AM30" s="134">
        <v>0</v>
      </c>
      <c r="AN30" s="134">
        <v>20</v>
      </c>
      <c r="AO30" s="134">
        <v>20</v>
      </c>
      <c r="AP30" s="134">
        <v>80</v>
      </c>
      <c r="AQ30" s="134">
        <v>450</v>
      </c>
      <c r="AR30" s="134">
        <v>530</v>
      </c>
      <c r="AS30" s="134">
        <v>80</v>
      </c>
      <c r="AT30" s="134">
        <v>450</v>
      </c>
      <c r="AU30" s="134">
        <v>530</v>
      </c>
      <c r="AV30" s="134">
        <v>0</v>
      </c>
      <c r="AW30" s="134">
        <v>0</v>
      </c>
      <c r="AX30" s="134">
        <v>0</v>
      </c>
      <c r="AY30" s="134">
        <v>5</v>
      </c>
      <c r="AZ30" s="134">
        <v>51</v>
      </c>
      <c r="BA30" s="134">
        <v>56</v>
      </c>
      <c r="BB30" s="134">
        <v>2</v>
      </c>
      <c r="BC30" s="134">
        <v>0</v>
      </c>
      <c r="BD30" s="134">
        <v>0</v>
      </c>
      <c r="BE30" s="134">
        <v>20</v>
      </c>
      <c r="BF30" s="134">
        <v>0</v>
      </c>
      <c r="BG30" s="134">
        <v>0</v>
      </c>
      <c r="BH30" s="134">
        <v>2</v>
      </c>
      <c r="BI30" s="134">
        <v>20</v>
      </c>
      <c r="BJ30" s="134">
        <v>22</v>
      </c>
      <c r="BK30" s="134">
        <v>-2</v>
      </c>
      <c r="BL30" s="134">
        <v>2</v>
      </c>
      <c r="BM30" s="134">
        <v>0</v>
      </c>
      <c r="BN30" s="134">
        <v>2</v>
      </c>
      <c r="BO30" s="134">
        <v>4</v>
      </c>
      <c r="BP30" s="134">
        <v>6</v>
      </c>
      <c r="BQ30" s="134">
        <v>0</v>
      </c>
      <c r="BR30" s="134">
        <v>8</v>
      </c>
      <c r="BS30" s="134">
        <v>8</v>
      </c>
      <c r="BT30" s="134">
        <v>3</v>
      </c>
      <c r="BU30" s="134">
        <v>17</v>
      </c>
      <c r="BV30" s="134">
        <v>20</v>
      </c>
      <c r="BW30" s="134">
        <v>85</v>
      </c>
      <c r="BX30" s="134">
        <v>501</v>
      </c>
      <c r="BY30" s="134">
        <v>586</v>
      </c>
      <c r="BZ30" s="134">
        <v>85</v>
      </c>
      <c r="CA30" s="134">
        <v>500</v>
      </c>
      <c r="CB30" s="134">
        <v>585</v>
      </c>
      <c r="CC30" s="134">
        <v>1227</v>
      </c>
      <c r="CD30" s="134">
        <v>0</v>
      </c>
      <c r="CE30" s="134">
        <v>1</v>
      </c>
      <c r="CF30" s="134">
        <v>0</v>
      </c>
      <c r="CG30" s="134">
        <v>1</v>
      </c>
      <c r="CH30" s="134">
        <v>1</v>
      </c>
      <c r="CI30" s="134">
        <v>0</v>
      </c>
      <c r="CJ30" s="134">
        <v>0</v>
      </c>
      <c r="CK30" s="134">
        <v>0</v>
      </c>
      <c r="CL30" s="134">
        <v>0</v>
      </c>
      <c r="CM30" s="134">
        <v>0</v>
      </c>
      <c r="CN30" s="134">
        <v>9</v>
      </c>
      <c r="CO30" s="134">
        <v>42</v>
      </c>
      <c r="CP30" s="134">
        <v>51</v>
      </c>
      <c r="CQ30" s="134">
        <v>0</v>
      </c>
      <c r="CR30" s="134">
        <v>0</v>
      </c>
      <c r="CS30" s="134">
        <v>0</v>
      </c>
      <c r="CT30" s="134">
        <v>76</v>
      </c>
      <c r="CU30" s="134">
        <v>459</v>
      </c>
      <c r="CV30" s="134">
        <v>535</v>
      </c>
      <c r="CW30" s="134">
        <v>5</v>
      </c>
      <c r="CX30" s="134">
        <v>18</v>
      </c>
      <c r="CY30" s="134">
        <v>23</v>
      </c>
      <c r="CZ30" s="134">
        <v>4</v>
      </c>
      <c r="DA30" s="134">
        <v>0</v>
      </c>
      <c r="DB30" s="134">
        <v>0</v>
      </c>
      <c r="DC30" s="134">
        <v>18</v>
      </c>
      <c r="DD30" s="134">
        <v>0</v>
      </c>
      <c r="DE30" s="134">
        <v>0</v>
      </c>
      <c r="DF30" s="134">
        <v>4</v>
      </c>
      <c r="DG30" s="134">
        <v>18</v>
      </c>
      <c r="DH30" s="134">
        <v>22</v>
      </c>
      <c r="DI30" s="134">
        <v>1</v>
      </c>
      <c r="DJ30" s="134">
        <v>0</v>
      </c>
      <c r="DK30" s="134">
        <v>0</v>
      </c>
      <c r="DL30" s="134">
        <v>0</v>
      </c>
      <c r="DM30" s="134">
        <v>0</v>
      </c>
      <c r="DN30" s="134">
        <v>0</v>
      </c>
      <c r="DO30" s="134">
        <v>1</v>
      </c>
      <c r="DP30" s="134">
        <v>0</v>
      </c>
      <c r="DQ30" s="134">
        <v>1</v>
      </c>
      <c r="DR30" s="134">
        <v>0</v>
      </c>
      <c r="DS30" s="134">
        <v>0</v>
      </c>
      <c r="DT30" s="135">
        <v>0</v>
      </c>
      <c r="DV30" s="136"/>
      <c r="DW30" s="137"/>
      <c r="DX30" s="136"/>
      <c r="DY30" s="136"/>
    </row>
    <row r="31" spans="1:129" s="116" customFormat="1">
      <c r="A31" s="133" t="s">
        <v>300</v>
      </c>
      <c r="B31" s="134">
        <v>60</v>
      </c>
      <c r="C31" s="134">
        <v>13</v>
      </c>
      <c r="D31" s="134">
        <v>55</v>
      </c>
      <c r="E31" s="134">
        <v>33</v>
      </c>
      <c r="F31" s="134">
        <v>0</v>
      </c>
      <c r="G31" s="134">
        <v>0</v>
      </c>
      <c r="H31" s="134">
        <v>0</v>
      </c>
      <c r="I31" s="134">
        <v>0</v>
      </c>
      <c r="J31" s="134">
        <v>20</v>
      </c>
      <c r="K31" s="134">
        <v>20</v>
      </c>
      <c r="L31" s="134">
        <v>0</v>
      </c>
      <c r="M31" s="134">
        <v>4</v>
      </c>
      <c r="N31" s="134">
        <v>4</v>
      </c>
      <c r="O31" s="134">
        <v>0</v>
      </c>
      <c r="P31" s="134">
        <v>16</v>
      </c>
      <c r="Q31" s="134">
        <v>16</v>
      </c>
      <c r="R31" s="134">
        <v>0</v>
      </c>
      <c r="S31" s="134">
        <v>0</v>
      </c>
      <c r="T31" s="134">
        <v>0</v>
      </c>
      <c r="U31" s="134">
        <v>0</v>
      </c>
      <c r="V31" s="134">
        <v>2</v>
      </c>
      <c r="W31" s="134">
        <v>2</v>
      </c>
      <c r="X31" s="134">
        <v>0</v>
      </c>
      <c r="Y31" s="134">
        <v>55</v>
      </c>
      <c r="Z31" s="134">
        <v>55</v>
      </c>
      <c r="AA31" s="134">
        <v>0</v>
      </c>
      <c r="AB31" s="134">
        <v>23</v>
      </c>
      <c r="AC31" s="134">
        <v>23</v>
      </c>
      <c r="AD31" s="134">
        <v>0</v>
      </c>
      <c r="AE31" s="134">
        <v>21</v>
      </c>
      <c r="AF31" s="134">
        <v>21</v>
      </c>
      <c r="AG31" s="134">
        <v>0</v>
      </c>
      <c r="AH31" s="134">
        <v>2</v>
      </c>
      <c r="AI31" s="134">
        <v>2</v>
      </c>
      <c r="AJ31" s="134">
        <v>0</v>
      </c>
      <c r="AK31" s="134">
        <v>0</v>
      </c>
      <c r="AL31" s="134">
        <v>0</v>
      </c>
      <c r="AM31" s="134">
        <v>0</v>
      </c>
      <c r="AN31" s="134">
        <v>32</v>
      </c>
      <c r="AO31" s="134">
        <v>32</v>
      </c>
      <c r="AP31" s="134">
        <v>9</v>
      </c>
      <c r="AQ31" s="134">
        <v>356</v>
      </c>
      <c r="AR31" s="134">
        <v>365</v>
      </c>
      <c r="AS31" s="134">
        <v>9</v>
      </c>
      <c r="AT31" s="134">
        <v>356</v>
      </c>
      <c r="AU31" s="134">
        <v>365</v>
      </c>
      <c r="AV31" s="134">
        <v>0</v>
      </c>
      <c r="AW31" s="134">
        <v>0</v>
      </c>
      <c r="AX31" s="134">
        <v>0</v>
      </c>
      <c r="AY31" s="134">
        <v>0</v>
      </c>
      <c r="AZ31" s="134">
        <v>51</v>
      </c>
      <c r="BA31" s="134">
        <v>51</v>
      </c>
      <c r="BB31" s="134">
        <v>0</v>
      </c>
      <c r="BC31" s="134">
        <v>0</v>
      </c>
      <c r="BD31" s="134">
        <v>0</v>
      </c>
      <c r="BE31" s="134">
        <v>33</v>
      </c>
      <c r="BF31" s="134">
        <v>0</v>
      </c>
      <c r="BG31" s="134">
        <v>0</v>
      </c>
      <c r="BH31" s="134">
        <v>0</v>
      </c>
      <c r="BI31" s="134">
        <v>33</v>
      </c>
      <c r="BJ31" s="134">
        <v>33</v>
      </c>
      <c r="BK31" s="134">
        <v>-1</v>
      </c>
      <c r="BL31" s="134">
        <v>1</v>
      </c>
      <c r="BM31" s="134">
        <v>0</v>
      </c>
      <c r="BN31" s="134">
        <v>0</v>
      </c>
      <c r="BO31" s="134">
        <v>1</v>
      </c>
      <c r="BP31" s="134">
        <v>1</v>
      </c>
      <c r="BQ31" s="134">
        <v>0</v>
      </c>
      <c r="BR31" s="134">
        <v>5</v>
      </c>
      <c r="BS31" s="134">
        <v>5</v>
      </c>
      <c r="BT31" s="134">
        <v>1</v>
      </c>
      <c r="BU31" s="134">
        <v>11</v>
      </c>
      <c r="BV31" s="134">
        <v>12</v>
      </c>
      <c r="BW31" s="134">
        <v>9</v>
      </c>
      <c r="BX31" s="134">
        <v>407</v>
      </c>
      <c r="BY31" s="134">
        <v>416</v>
      </c>
      <c r="BZ31" s="134">
        <v>9</v>
      </c>
      <c r="CA31" s="134">
        <v>404</v>
      </c>
      <c r="CB31" s="134">
        <v>413</v>
      </c>
      <c r="CC31" s="134">
        <v>702</v>
      </c>
      <c r="CD31" s="134">
        <v>0</v>
      </c>
      <c r="CE31" s="134">
        <v>3</v>
      </c>
      <c r="CF31" s="134">
        <v>0</v>
      </c>
      <c r="CG31" s="134">
        <v>3</v>
      </c>
      <c r="CH31" s="134">
        <v>3</v>
      </c>
      <c r="CI31" s="134">
        <v>0</v>
      </c>
      <c r="CJ31" s="134">
        <v>0</v>
      </c>
      <c r="CK31" s="134">
        <v>0</v>
      </c>
      <c r="CL31" s="134">
        <v>0</v>
      </c>
      <c r="CM31" s="134">
        <v>0</v>
      </c>
      <c r="CN31" s="134">
        <v>0</v>
      </c>
      <c r="CO31" s="134">
        <v>48</v>
      </c>
      <c r="CP31" s="134">
        <v>48</v>
      </c>
      <c r="CQ31" s="134">
        <v>0</v>
      </c>
      <c r="CR31" s="134">
        <v>0</v>
      </c>
      <c r="CS31" s="134">
        <v>0</v>
      </c>
      <c r="CT31" s="134">
        <v>9</v>
      </c>
      <c r="CU31" s="134">
        <v>359</v>
      </c>
      <c r="CV31" s="134">
        <v>368</v>
      </c>
      <c r="CW31" s="134">
        <v>0</v>
      </c>
      <c r="CX31" s="134">
        <v>11</v>
      </c>
      <c r="CY31" s="134">
        <v>11</v>
      </c>
      <c r="CZ31" s="134">
        <v>0</v>
      </c>
      <c r="DA31" s="134">
        <v>0</v>
      </c>
      <c r="DB31" s="134">
        <v>0</v>
      </c>
      <c r="DC31" s="134">
        <v>10</v>
      </c>
      <c r="DD31" s="134">
        <v>1</v>
      </c>
      <c r="DE31" s="134">
        <v>0</v>
      </c>
      <c r="DF31" s="134">
        <v>0</v>
      </c>
      <c r="DG31" s="134">
        <v>11</v>
      </c>
      <c r="DH31" s="134">
        <v>11</v>
      </c>
      <c r="DI31" s="134">
        <v>0</v>
      </c>
      <c r="DJ31" s="134">
        <v>0</v>
      </c>
      <c r="DK31" s="134">
        <v>0</v>
      </c>
      <c r="DL31" s="134">
        <v>0</v>
      </c>
      <c r="DM31" s="134">
        <v>0</v>
      </c>
      <c r="DN31" s="134">
        <v>0</v>
      </c>
      <c r="DO31" s="134">
        <v>0</v>
      </c>
      <c r="DP31" s="134">
        <v>0</v>
      </c>
      <c r="DQ31" s="134">
        <v>0</v>
      </c>
      <c r="DR31" s="134">
        <v>0</v>
      </c>
      <c r="DS31" s="134">
        <v>0</v>
      </c>
      <c r="DT31" s="135">
        <v>0</v>
      </c>
      <c r="DV31" s="136"/>
      <c r="DW31" s="137"/>
      <c r="DX31" s="136"/>
      <c r="DY31" s="136"/>
    </row>
    <row r="32" spans="1:129" s="116" customFormat="1">
      <c r="A32" s="133" t="s">
        <v>301</v>
      </c>
      <c r="B32" s="134">
        <v>3306</v>
      </c>
      <c r="C32" s="134">
        <v>679</v>
      </c>
      <c r="D32" s="134">
        <v>2377</v>
      </c>
      <c r="E32" s="134">
        <v>1463</v>
      </c>
      <c r="F32" s="134">
        <v>0</v>
      </c>
      <c r="G32" s="134">
        <v>35</v>
      </c>
      <c r="H32" s="134">
        <v>35</v>
      </c>
      <c r="I32" s="134">
        <v>0</v>
      </c>
      <c r="J32" s="134">
        <v>818</v>
      </c>
      <c r="K32" s="134">
        <v>818</v>
      </c>
      <c r="L32" s="134">
        <v>0</v>
      </c>
      <c r="M32" s="134">
        <v>338</v>
      </c>
      <c r="N32" s="134">
        <v>338</v>
      </c>
      <c r="O32" s="134">
        <v>0</v>
      </c>
      <c r="P32" s="134">
        <v>480</v>
      </c>
      <c r="Q32" s="134">
        <v>480</v>
      </c>
      <c r="R32" s="134">
        <v>0</v>
      </c>
      <c r="S32" s="134">
        <v>16</v>
      </c>
      <c r="T32" s="134">
        <v>16</v>
      </c>
      <c r="U32" s="134">
        <v>0</v>
      </c>
      <c r="V32" s="134">
        <v>96</v>
      </c>
      <c r="W32" s="134">
        <v>96</v>
      </c>
      <c r="X32" s="134">
        <v>28</v>
      </c>
      <c r="Y32" s="134">
        <v>2349</v>
      </c>
      <c r="Z32" s="134">
        <v>2377</v>
      </c>
      <c r="AA32" s="134">
        <v>18</v>
      </c>
      <c r="AB32" s="134">
        <v>669</v>
      </c>
      <c r="AC32" s="134">
        <v>687</v>
      </c>
      <c r="AD32" s="134">
        <v>18</v>
      </c>
      <c r="AE32" s="134">
        <v>627</v>
      </c>
      <c r="AF32" s="134">
        <v>645</v>
      </c>
      <c r="AG32" s="134">
        <v>0</v>
      </c>
      <c r="AH32" s="134">
        <v>27</v>
      </c>
      <c r="AI32" s="134">
        <v>27</v>
      </c>
      <c r="AJ32" s="134">
        <v>0</v>
      </c>
      <c r="AK32" s="134">
        <v>15</v>
      </c>
      <c r="AL32" s="134">
        <v>15</v>
      </c>
      <c r="AM32" s="134">
        <v>10</v>
      </c>
      <c r="AN32" s="134">
        <v>1680</v>
      </c>
      <c r="AO32" s="134">
        <v>1690</v>
      </c>
      <c r="AP32" s="134">
        <v>1733</v>
      </c>
      <c r="AQ32" s="134">
        <v>15167</v>
      </c>
      <c r="AR32" s="134">
        <v>16900</v>
      </c>
      <c r="AS32" s="134">
        <v>1733</v>
      </c>
      <c r="AT32" s="134">
        <v>15167</v>
      </c>
      <c r="AU32" s="134">
        <v>16900</v>
      </c>
      <c r="AV32" s="134">
        <v>0</v>
      </c>
      <c r="AW32" s="134">
        <v>0</v>
      </c>
      <c r="AX32" s="134">
        <v>0</v>
      </c>
      <c r="AY32" s="134">
        <v>130</v>
      </c>
      <c r="AZ32" s="134">
        <v>2316</v>
      </c>
      <c r="BA32" s="134">
        <v>2446</v>
      </c>
      <c r="BB32" s="134">
        <v>43</v>
      </c>
      <c r="BC32" s="134">
        <v>1</v>
      </c>
      <c r="BD32" s="134">
        <v>0</v>
      </c>
      <c r="BE32" s="134">
        <v>1389</v>
      </c>
      <c r="BF32" s="134">
        <v>27</v>
      </c>
      <c r="BG32" s="134">
        <v>3</v>
      </c>
      <c r="BH32" s="134">
        <v>44</v>
      </c>
      <c r="BI32" s="134">
        <v>1419</v>
      </c>
      <c r="BJ32" s="134">
        <v>1463</v>
      </c>
      <c r="BK32" s="134">
        <v>11</v>
      </c>
      <c r="BL32" s="134">
        <v>-11</v>
      </c>
      <c r="BM32" s="134">
        <v>0</v>
      </c>
      <c r="BN32" s="134">
        <v>6</v>
      </c>
      <c r="BO32" s="134">
        <v>31</v>
      </c>
      <c r="BP32" s="134">
        <v>37</v>
      </c>
      <c r="BQ32" s="134">
        <v>16</v>
      </c>
      <c r="BR32" s="134">
        <v>187</v>
      </c>
      <c r="BS32" s="134">
        <v>203</v>
      </c>
      <c r="BT32" s="134">
        <v>53</v>
      </c>
      <c r="BU32" s="134">
        <v>690</v>
      </c>
      <c r="BV32" s="134">
        <v>743</v>
      </c>
      <c r="BW32" s="134">
        <v>1863</v>
      </c>
      <c r="BX32" s="134">
        <v>17483</v>
      </c>
      <c r="BY32" s="134">
        <v>19346</v>
      </c>
      <c r="BZ32" s="134">
        <v>1844</v>
      </c>
      <c r="CA32" s="134">
        <v>17273</v>
      </c>
      <c r="CB32" s="134">
        <v>19117</v>
      </c>
      <c r="CC32" s="134">
        <v>41828</v>
      </c>
      <c r="CD32" s="134">
        <v>10</v>
      </c>
      <c r="CE32" s="134">
        <v>215</v>
      </c>
      <c r="CF32" s="134">
        <v>19</v>
      </c>
      <c r="CG32" s="134">
        <v>179</v>
      </c>
      <c r="CH32" s="134">
        <v>198</v>
      </c>
      <c r="CI32" s="134">
        <v>33</v>
      </c>
      <c r="CJ32" s="134">
        <v>7</v>
      </c>
      <c r="CK32" s="134">
        <v>0</v>
      </c>
      <c r="CL32" s="134">
        <v>31</v>
      </c>
      <c r="CM32" s="134">
        <v>31</v>
      </c>
      <c r="CN32" s="134">
        <v>107</v>
      </c>
      <c r="CO32" s="134">
        <v>1988</v>
      </c>
      <c r="CP32" s="134">
        <v>2095</v>
      </c>
      <c r="CQ32" s="134">
        <v>0</v>
      </c>
      <c r="CR32" s="134">
        <v>5</v>
      </c>
      <c r="CS32" s="134">
        <v>5</v>
      </c>
      <c r="CT32" s="134">
        <v>1756</v>
      </c>
      <c r="CU32" s="134">
        <v>15495</v>
      </c>
      <c r="CV32" s="134">
        <v>17251</v>
      </c>
      <c r="CW32" s="134">
        <v>143</v>
      </c>
      <c r="CX32" s="134">
        <v>730</v>
      </c>
      <c r="CY32" s="134">
        <v>873</v>
      </c>
      <c r="CZ32" s="134">
        <v>141</v>
      </c>
      <c r="DA32" s="134">
        <v>1</v>
      </c>
      <c r="DB32" s="134">
        <v>0</v>
      </c>
      <c r="DC32" s="134">
        <v>705</v>
      </c>
      <c r="DD32" s="134">
        <v>9</v>
      </c>
      <c r="DE32" s="134">
        <v>0</v>
      </c>
      <c r="DF32" s="134">
        <v>142</v>
      </c>
      <c r="DG32" s="134">
        <v>714</v>
      </c>
      <c r="DH32" s="134">
        <v>856</v>
      </c>
      <c r="DI32" s="134">
        <v>1</v>
      </c>
      <c r="DJ32" s="134">
        <v>0</v>
      </c>
      <c r="DK32" s="134">
        <v>0</v>
      </c>
      <c r="DL32" s="134">
        <v>16</v>
      </c>
      <c r="DM32" s="134">
        <v>0</v>
      </c>
      <c r="DN32" s="134">
        <v>0</v>
      </c>
      <c r="DO32" s="134">
        <v>1</v>
      </c>
      <c r="DP32" s="134">
        <v>16</v>
      </c>
      <c r="DQ32" s="134">
        <v>17</v>
      </c>
      <c r="DR32" s="134">
        <v>0</v>
      </c>
      <c r="DS32" s="134">
        <v>0</v>
      </c>
      <c r="DT32" s="135">
        <v>0</v>
      </c>
      <c r="DV32" s="136"/>
      <c r="DW32" s="137"/>
      <c r="DX32" s="136"/>
      <c r="DY32" s="136"/>
    </row>
    <row r="33" spans="1:129" s="116" customFormat="1">
      <c r="A33" s="133" t="s">
        <v>302</v>
      </c>
      <c r="B33" s="134">
        <v>489</v>
      </c>
      <c r="C33" s="134">
        <v>104</v>
      </c>
      <c r="D33" s="134">
        <v>556</v>
      </c>
      <c r="E33" s="134">
        <v>236</v>
      </c>
      <c r="F33" s="134">
        <v>1</v>
      </c>
      <c r="G33" s="134">
        <v>13</v>
      </c>
      <c r="H33" s="134">
        <v>14</v>
      </c>
      <c r="I33" s="134">
        <v>0</v>
      </c>
      <c r="J33" s="134">
        <v>266</v>
      </c>
      <c r="K33" s="134">
        <v>266</v>
      </c>
      <c r="L33" s="134">
        <v>0</v>
      </c>
      <c r="M33" s="134">
        <v>62</v>
      </c>
      <c r="N33" s="134">
        <v>62</v>
      </c>
      <c r="O33" s="134">
        <v>0</v>
      </c>
      <c r="P33" s="134">
        <v>204</v>
      </c>
      <c r="Q33" s="134">
        <v>204</v>
      </c>
      <c r="R33" s="134">
        <v>0</v>
      </c>
      <c r="S33" s="134">
        <v>5</v>
      </c>
      <c r="T33" s="134">
        <v>5</v>
      </c>
      <c r="U33" s="134">
        <v>0</v>
      </c>
      <c r="V33" s="134">
        <v>54</v>
      </c>
      <c r="W33" s="134">
        <v>54</v>
      </c>
      <c r="X33" s="134">
        <v>7</v>
      </c>
      <c r="Y33" s="134">
        <v>549</v>
      </c>
      <c r="Z33" s="134">
        <v>556</v>
      </c>
      <c r="AA33" s="134">
        <v>2</v>
      </c>
      <c r="AB33" s="134">
        <v>86</v>
      </c>
      <c r="AC33" s="134">
        <v>88</v>
      </c>
      <c r="AD33" s="134">
        <v>2</v>
      </c>
      <c r="AE33" s="134">
        <v>79</v>
      </c>
      <c r="AF33" s="134">
        <v>81</v>
      </c>
      <c r="AG33" s="134">
        <v>0</v>
      </c>
      <c r="AH33" s="134">
        <v>3</v>
      </c>
      <c r="AI33" s="134">
        <v>3</v>
      </c>
      <c r="AJ33" s="134">
        <v>0</v>
      </c>
      <c r="AK33" s="134">
        <v>4</v>
      </c>
      <c r="AL33" s="134">
        <v>4</v>
      </c>
      <c r="AM33" s="134">
        <v>5</v>
      </c>
      <c r="AN33" s="134">
        <v>463</v>
      </c>
      <c r="AO33" s="134">
        <v>468</v>
      </c>
      <c r="AP33" s="134">
        <v>219</v>
      </c>
      <c r="AQ33" s="134">
        <v>2581</v>
      </c>
      <c r="AR33" s="134">
        <v>2800</v>
      </c>
      <c r="AS33" s="134">
        <v>219</v>
      </c>
      <c r="AT33" s="134">
        <v>2582</v>
      </c>
      <c r="AU33" s="134">
        <v>2801</v>
      </c>
      <c r="AV33" s="134">
        <v>0</v>
      </c>
      <c r="AW33" s="134">
        <v>-1</v>
      </c>
      <c r="AX33" s="134">
        <v>-1</v>
      </c>
      <c r="AY33" s="134">
        <v>25</v>
      </c>
      <c r="AZ33" s="134">
        <v>364</v>
      </c>
      <c r="BA33" s="134">
        <v>389</v>
      </c>
      <c r="BB33" s="134">
        <v>8</v>
      </c>
      <c r="BC33" s="134">
        <v>1</v>
      </c>
      <c r="BD33" s="134">
        <v>0</v>
      </c>
      <c r="BE33" s="134">
        <v>220</v>
      </c>
      <c r="BF33" s="134">
        <v>6</v>
      </c>
      <c r="BG33" s="134">
        <v>1</v>
      </c>
      <c r="BH33" s="134">
        <v>9</v>
      </c>
      <c r="BI33" s="134">
        <v>227</v>
      </c>
      <c r="BJ33" s="134">
        <v>236</v>
      </c>
      <c r="BK33" s="134">
        <v>9</v>
      </c>
      <c r="BL33" s="134">
        <v>-9</v>
      </c>
      <c r="BM33" s="134">
        <v>0</v>
      </c>
      <c r="BN33" s="134">
        <v>2</v>
      </c>
      <c r="BO33" s="134">
        <v>8</v>
      </c>
      <c r="BP33" s="134">
        <v>10</v>
      </c>
      <c r="BQ33" s="134">
        <v>1</v>
      </c>
      <c r="BR33" s="134">
        <v>15</v>
      </c>
      <c r="BS33" s="134">
        <v>16</v>
      </c>
      <c r="BT33" s="134">
        <v>4</v>
      </c>
      <c r="BU33" s="134">
        <v>123</v>
      </c>
      <c r="BV33" s="134">
        <v>127</v>
      </c>
      <c r="BW33" s="134">
        <v>244</v>
      </c>
      <c r="BX33" s="134">
        <v>2945</v>
      </c>
      <c r="BY33" s="134">
        <v>3189</v>
      </c>
      <c r="BZ33" s="134">
        <v>239</v>
      </c>
      <c r="CA33" s="134">
        <v>2885</v>
      </c>
      <c r="CB33" s="134">
        <v>3124</v>
      </c>
      <c r="CC33" s="134">
        <v>6368</v>
      </c>
      <c r="CD33" s="134">
        <v>3</v>
      </c>
      <c r="CE33" s="134">
        <v>64</v>
      </c>
      <c r="CF33" s="134">
        <v>5</v>
      </c>
      <c r="CG33" s="134">
        <v>54</v>
      </c>
      <c r="CH33" s="134">
        <v>59</v>
      </c>
      <c r="CI33" s="134">
        <v>6</v>
      </c>
      <c r="CJ33" s="134">
        <v>1</v>
      </c>
      <c r="CK33" s="134">
        <v>0</v>
      </c>
      <c r="CL33" s="134">
        <v>6</v>
      </c>
      <c r="CM33" s="134">
        <v>6</v>
      </c>
      <c r="CN33" s="134">
        <v>11</v>
      </c>
      <c r="CO33" s="134">
        <v>426</v>
      </c>
      <c r="CP33" s="134">
        <v>437</v>
      </c>
      <c r="CQ33" s="134">
        <v>0</v>
      </c>
      <c r="CR33" s="134">
        <v>2</v>
      </c>
      <c r="CS33" s="134">
        <v>2</v>
      </c>
      <c r="CT33" s="134">
        <v>233</v>
      </c>
      <c r="CU33" s="134">
        <v>2519</v>
      </c>
      <c r="CV33" s="134">
        <v>2752</v>
      </c>
      <c r="CW33" s="134">
        <v>12</v>
      </c>
      <c r="CX33" s="134">
        <v>115</v>
      </c>
      <c r="CY33" s="134">
        <v>127</v>
      </c>
      <c r="CZ33" s="134">
        <v>12</v>
      </c>
      <c r="DA33" s="134">
        <v>0</v>
      </c>
      <c r="DB33" s="134">
        <v>0</v>
      </c>
      <c r="DC33" s="134">
        <v>109</v>
      </c>
      <c r="DD33" s="134">
        <v>3</v>
      </c>
      <c r="DE33" s="134">
        <v>0</v>
      </c>
      <c r="DF33" s="134">
        <v>12</v>
      </c>
      <c r="DG33" s="134">
        <v>112</v>
      </c>
      <c r="DH33" s="134">
        <v>124</v>
      </c>
      <c r="DI33" s="134">
        <v>0</v>
      </c>
      <c r="DJ33" s="134">
        <v>0</v>
      </c>
      <c r="DK33" s="134">
        <v>0</v>
      </c>
      <c r="DL33" s="134">
        <v>3</v>
      </c>
      <c r="DM33" s="134">
        <v>0</v>
      </c>
      <c r="DN33" s="134">
        <v>0</v>
      </c>
      <c r="DO33" s="134">
        <v>0</v>
      </c>
      <c r="DP33" s="134">
        <v>3</v>
      </c>
      <c r="DQ33" s="134">
        <v>3</v>
      </c>
      <c r="DR33" s="134">
        <v>0</v>
      </c>
      <c r="DS33" s="134">
        <v>0</v>
      </c>
      <c r="DT33" s="135">
        <v>0</v>
      </c>
      <c r="DV33" s="136"/>
      <c r="DW33" s="137"/>
      <c r="DX33" s="136"/>
      <c r="DY33" s="136"/>
    </row>
    <row r="34" spans="1:129" s="116" customFormat="1">
      <c r="A34" s="133" t="s">
        <v>303</v>
      </c>
      <c r="B34" s="134">
        <v>335</v>
      </c>
      <c r="C34" s="134">
        <v>108</v>
      </c>
      <c r="D34" s="134">
        <v>323</v>
      </c>
      <c r="E34" s="134">
        <v>157</v>
      </c>
      <c r="F34" s="134">
        <v>1</v>
      </c>
      <c r="G34" s="134">
        <v>26</v>
      </c>
      <c r="H34" s="134">
        <v>27</v>
      </c>
      <c r="I34" s="134">
        <v>0</v>
      </c>
      <c r="J34" s="134">
        <v>151</v>
      </c>
      <c r="K34" s="134">
        <v>151</v>
      </c>
      <c r="L34" s="134">
        <v>0</v>
      </c>
      <c r="M34" s="134">
        <v>41</v>
      </c>
      <c r="N34" s="134">
        <v>41</v>
      </c>
      <c r="O34" s="134">
        <v>0</v>
      </c>
      <c r="P34" s="134">
        <v>110</v>
      </c>
      <c r="Q34" s="134">
        <v>110</v>
      </c>
      <c r="R34" s="134">
        <v>0</v>
      </c>
      <c r="S34" s="134">
        <v>7</v>
      </c>
      <c r="T34" s="134">
        <v>7</v>
      </c>
      <c r="U34" s="134">
        <v>0</v>
      </c>
      <c r="V34" s="134">
        <v>15</v>
      </c>
      <c r="W34" s="134">
        <v>15</v>
      </c>
      <c r="X34" s="134">
        <v>6</v>
      </c>
      <c r="Y34" s="134">
        <v>316</v>
      </c>
      <c r="Z34" s="134">
        <v>322</v>
      </c>
      <c r="AA34" s="134">
        <v>3</v>
      </c>
      <c r="AB34" s="134">
        <v>117</v>
      </c>
      <c r="AC34" s="134">
        <v>120</v>
      </c>
      <c r="AD34" s="134">
        <v>1</v>
      </c>
      <c r="AE34" s="134">
        <v>94</v>
      </c>
      <c r="AF34" s="134">
        <v>95</v>
      </c>
      <c r="AG34" s="134">
        <v>2</v>
      </c>
      <c r="AH34" s="134">
        <v>9</v>
      </c>
      <c r="AI34" s="134">
        <v>11</v>
      </c>
      <c r="AJ34" s="134">
        <v>0</v>
      </c>
      <c r="AK34" s="134">
        <v>14</v>
      </c>
      <c r="AL34" s="134">
        <v>14</v>
      </c>
      <c r="AM34" s="134">
        <v>3</v>
      </c>
      <c r="AN34" s="134">
        <v>199</v>
      </c>
      <c r="AO34" s="134">
        <v>202</v>
      </c>
      <c r="AP34" s="134">
        <v>225</v>
      </c>
      <c r="AQ34" s="134">
        <v>3549</v>
      </c>
      <c r="AR34" s="134">
        <v>3774</v>
      </c>
      <c r="AS34" s="134">
        <v>225</v>
      </c>
      <c r="AT34" s="134">
        <v>3549</v>
      </c>
      <c r="AU34" s="134">
        <v>3774</v>
      </c>
      <c r="AV34" s="134">
        <v>0</v>
      </c>
      <c r="AW34" s="134">
        <v>0</v>
      </c>
      <c r="AX34" s="134">
        <v>0</v>
      </c>
      <c r="AY34" s="134">
        <v>13</v>
      </c>
      <c r="AZ34" s="134">
        <v>322</v>
      </c>
      <c r="BA34" s="134">
        <v>335</v>
      </c>
      <c r="BB34" s="134">
        <v>6</v>
      </c>
      <c r="BC34" s="134">
        <v>0</v>
      </c>
      <c r="BD34" s="134">
        <v>0</v>
      </c>
      <c r="BE34" s="134">
        <v>151</v>
      </c>
      <c r="BF34" s="134">
        <v>0</v>
      </c>
      <c r="BG34" s="134">
        <v>0</v>
      </c>
      <c r="BH34" s="134">
        <v>6</v>
      </c>
      <c r="BI34" s="134">
        <v>151</v>
      </c>
      <c r="BJ34" s="134">
        <v>157</v>
      </c>
      <c r="BK34" s="134">
        <v>-5</v>
      </c>
      <c r="BL34" s="134">
        <v>5</v>
      </c>
      <c r="BM34" s="134">
        <v>0</v>
      </c>
      <c r="BN34" s="134">
        <v>4</v>
      </c>
      <c r="BO34" s="134">
        <v>15</v>
      </c>
      <c r="BP34" s="134">
        <v>19</v>
      </c>
      <c r="BQ34" s="134">
        <v>2</v>
      </c>
      <c r="BR34" s="134">
        <v>67</v>
      </c>
      <c r="BS34" s="134">
        <v>69</v>
      </c>
      <c r="BT34" s="134">
        <v>6</v>
      </c>
      <c r="BU34" s="134">
        <v>84</v>
      </c>
      <c r="BV34" s="134">
        <v>90</v>
      </c>
      <c r="BW34" s="134">
        <v>238</v>
      </c>
      <c r="BX34" s="134">
        <v>3871</v>
      </c>
      <c r="BY34" s="134">
        <v>4109</v>
      </c>
      <c r="BZ34" s="134">
        <v>237</v>
      </c>
      <c r="CA34" s="134">
        <v>3860</v>
      </c>
      <c r="CB34" s="134">
        <v>4097</v>
      </c>
      <c r="CC34" s="134">
        <v>7058</v>
      </c>
      <c r="CD34" s="134">
        <v>1</v>
      </c>
      <c r="CE34" s="134">
        <v>10</v>
      </c>
      <c r="CF34" s="134">
        <v>1</v>
      </c>
      <c r="CG34" s="134">
        <v>10</v>
      </c>
      <c r="CH34" s="134">
        <v>11</v>
      </c>
      <c r="CI34" s="134">
        <v>1</v>
      </c>
      <c r="CJ34" s="134">
        <v>0</v>
      </c>
      <c r="CK34" s="134">
        <v>0</v>
      </c>
      <c r="CL34" s="134">
        <v>1</v>
      </c>
      <c r="CM34" s="134">
        <v>1</v>
      </c>
      <c r="CN34" s="134">
        <v>14</v>
      </c>
      <c r="CO34" s="134">
        <v>350</v>
      </c>
      <c r="CP34" s="134">
        <v>364</v>
      </c>
      <c r="CQ34" s="134">
        <v>0</v>
      </c>
      <c r="CR34" s="134">
        <v>7</v>
      </c>
      <c r="CS34" s="134">
        <v>7</v>
      </c>
      <c r="CT34" s="134">
        <v>224</v>
      </c>
      <c r="CU34" s="134">
        <v>3521</v>
      </c>
      <c r="CV34" s="134">
        <v>3745</v>
      </c>
      <c r="CW34" s="134">
        <v>14</v>
      </c>
      <c r="CX34" s="134">
        <v>142</v>
      </c>
      <c r="CY34" s="134">
        <v>156</v>
      </c>
      <c r="CZ34" s="134">
        <v>14</v>
      </c>
      <c r="DA34" s="134">
        <v>0</v>
      </c>
      <c r="DB34" s="134">
        <v>0</v>
      </c>
      <c r="DC34" s="134">
        <v>142</v>
      </c>
      <c r="DD34" s="134">
        <v>0</v>
      </c>
      <c r="DE34" s="134">
        <v>0</v>
      </c>
      <c r="DF34" s="134">
        <v>14</v>
      </c>
      <c r="DG34" s="134">
        <v>142</v>
      </c>
      <c r="DH34" s="134">
        <v>156</v>
      </c>
      <c r="DI34" s="134">
        <v>0</v>
      </c>
      <c r="DJ34" s="134">
        <v>0</v>
      </c>
      <c r="DK34" s="134">
        <v>0</v>
      </c>
      <c r="DL34" s="134">
        <v>0</v>
      </c>
      <c r="DM34" s="134">
        <v>0</v>
      </c>
      <c r="DN34" s="134">
        <v>0</v>
      </c>
      <c r="DO34" s="134">
        <v>0</v>
      </c>
      <c r="DP34" s="134">
        <v>0</v>
      </c>
      <c r="DQ34" s="134">
        <v>0</v>
      </c>
      <c r="DR34" s="134">
        <v>0</v>
      </c>
      <c r="DS34" s="134">
        <v>0</v>
      </c>
      <c r="DT34" s="135">
        <v>0</v>
      </c>
      <c r="DV34" s="136"/>
      <c r="DW34" s="137"/>
      <c r="DX34" s="136"/>
      <c r="DY34" s="136"/>
    </row>
    <row r="35" spans="1:129" s="116" customFormat="1">
      <c r="A35" s="133" t="s">
        <v>304</v>
      </c>
      <c r="B35" s="134">
        <v>6899</v>
      </c>
      <c r="C35" s="134">
        <v>1650</v>
      </c>
      <c r="D35" s="134">
        <v>6687</v>
      </c>
      <c r="E35" s="134">
        <v>4674</v>
      </c>
      <c r="F35" s="134">
        <v>4</v>
      </c>
      <c r="G35" s="134">
        <v>30</v>
      </c>
      <c r="H35" s="134">
        <v>34</v>
      </c>
      <c r="I35" s="134">
        <v>105</v>
      </c>
      <c r="J35" s="134">
        <v>1606</v>
      </c>
      <c r="K35" s="134">
        <v>1711</v>
      </c>
      <c r="L35" s="134">
        <v>51</v>
      </c>
      <c r="M35" s="134">
        <v>787</v>
      </c>
      <c r="N35" s="134">
        <v>838</v>
      </c>
      <c r="O35" s="134">
        <v>54</v>
      </c>
      <c r="P35" s="134">
        <v>819</v>
      </c>
      <c r="Q35" s="134">
        <v>873</v>
      </c>
      <c r="R35" s="134">
        <v>5</v>
      </c>
      <c r="S35" s="134">
        <v>73</v>
      </c>
      <c r="T35" s="134">
        <v>78</v>
      </c>
      <c r="U35" s="134">
        <v>43</v>
      </c>
      <c r="V35" s="134">
        <v>259</v>
      </c>
      <c r="W35" s="134">
        <v>302</v>
      </c>
      <c r="X35" s="134">
        <v>292</v>
      </c>
      <c r="Y35" s="134">
        <v>4957</v>
      </c>
      <c r="Z35" s="134">
        <v>5249</v>
      </c>
      <c r="AA35" s="134">
        <v>68</v>
      </c>
      <c r="AB35" s="134">
        <v>2047</v>
      </c>
      <c r="AC35" s="134">
        <v>2115</v>
      </c>
      <c r="AD35" s="134">
        <v>68</v>
      </c>
      <c r="AE35" s="134">
        <v>2042</v>
      </c>
      <c r="AF35" s="134">
        <v>2110</v>
      </c>
      <c r="AG35" s="134">
        <v>0</v>
      </c>
      <c r="AH35" s="134">
        <v>2</v>
      </c>
      <c r="AI35" s="134">
        <v>2</v>
      </c>
      <c r="AJ35" s="134">
        <v>0</v>
      </c>
      <c r="AK35" s="134">
        <v>3</v>
      </c>
      <c r="AL35" s="134">
        <v>3</v>
      </c>
      <c r="AM35" s="134">
        <v>224</v>
      </c>
      <c r="AN35" s="134">
        <v>2910</v>
      </c>
      <c r="AO35" s="134">
        <v>3134</v>
      </c>
      <c r="AP35" s="134">
        <v>8815</v>
      </c>
      <c r="AQ35" s="134">
        <v>97429</v>
      </c>
      <c r="AR35" s="134">
        <v>106244</v>
      </c>
      <c r="AS35" s="134">
        <v>8767</v>
      </c>
      <c r="AT35" s="134">
        <v>97283</v>
      </c>
      <c r="AU35" s="134">
        <v>106050</v>
      </c>
      <c r="AV35" s="134">
        <v>48</v>
      </c>
      <c r="AW35" s="134">
        <v>146</v>
      </c>
      <c r="AX35" s="134">
        <v>194</v>
      </c>
      <c r="AY35" s="134">
        <v>429</v>
      </c>
      <c r="AZ35" s="134">
        <v>8658</v>
      </c>
      <c r="BA35" s="134">
        <v>9087</v>
      </c>
      <c r="BB35" s="134">
        <v>233</v>
      </c>
      <c r="BC35" s="134">
        <v>9</v>
      </c>
      <c r="BD35" s="134">
        <v>0</v>
      </c>
      <c r="BE35" s="134">
        <v>4294</v>
      </c>
      <c r="BF35" s="134">
        <v>94</v>
      </c>
      <c r="BG35" s="134">
        <v>44</v>
      </c>
      <c r="BH35" s="134">
        <v>242</v>
      </c>
      <c r="BI35" s="134">
        <v>4432</v>
      </c>
      <c r="BJ35" s="134">
        <v>4674</v>
      </c>
      <c r="BK35" s="134">
        <v>-142</v>
      </c>
      <c r="BL35" s="134">
        <v>142</v>
      </c>
      <c r="BM35" s="134">
        <v>0</v>
      </c>
      <c r="BN35" s="134">
        <v>16</v>
      </c>
      <c r="BO35" s="134">
        <v>106</v>
      </c>
      <c r="BP35" s="134">
        <v>122</v>
      </c>
      <c r="BQ35" s="134">
        <v>42</v>
      </c>
      <c r="BR35" s="134">
        <v>887</v>
      </c>
      <c r="BS35" s="134">
        <v>929</v>
      </c>
      <c r="BT35" s="134">
        <v>271</v>
      </c>
      <c r="BU35" s="134">
        <v>3091</v>
      </c>
      <c r="BV35" s="134">
        <v>3362</v>
      </c>
      <c r="BW35" s="134">
        <v>9244</v>
      </c>
      <c r="BX35" s="134">
        <v>106087</v>
      </c>
      <c r="BY35" s="134">
        <v>115331</v>
      </c>
      <c r="BZ35" s="134">
        <v>9069</v>
      </c>
      <c r="CA35" s="134">
        <v>103023</v>
      </c>
      <c r="CB35" s="134">
        <v>112092</v>
      </c>
      <c r="CC35" s="134">
        <v>232884</v>
      </c>
      <c r="CD35" s="134">
        <v>264</v>
      </c>
      <c r="CE35" s="134">
        <v>2886</v>
      </c>
      <c r="CF35" s="134">
        <v>175</v>
      </c>
      <c r="CG35" s="134">
        <v>2024</v>
      </c>
      <c r="CH35" s="134">
        <v>2199</v>
      </c>
      <c r="CI35" s="134">
        <v>1419</v>
      </c>
      <c r="CJ35" s="134">
        <v>20</v>
      </c>
      <c r="CK35" s="134">
        <v>0</v>
      </c>
      <c r="CL35" s="134">
        <v>1040</v>
      </c>
      <c r="CM35" s="134">
        <v>1040</v>
      </c>
      <c r="CN35" s="134">
        <v>520</v>
      </c>
      <c r="CO35" s="134">
        <v>9290</v>
      </c>
      <c r="CP35" s="134">
        <v>9810</v>
      </c>
      <c r="CQ35" s="134">
        <v>0</v>
      </c>
      <c r="CR35" s="134">
        <v>0</v>
      </c>
      <c r="CS35" s="134">
        <v>0</v>
      </c>
      <c r="CT35" s="134">
        <v>8724</v>
      </c>
      <c r="CU35" s="134">
        <v>96797</v>
      </c>
      <c r="CV35" s="134">
        <v>105521</v>
      </c>
      <c r="CW35" s="134">
        <v>582</v>
      </c>
      <c r="CX35" s="134">
        <v>5554</v>
      </c>
      <c r="CY35" s="134">
        <v>6136</v>
      </c>
      <c r="CZ35" s="134">
        <v>564</v>
      </c>
      <c r="DA35" s="134">
        <v>5</v>
      </c>
      <c r="DB35" s="134">
        <v>0</v>
      </c>
      <c r="DC35" s="134">
        <v>4268</v>
      </c>
      <c r="DD35" s="134">
        <v>102</v>
      </c>
      <c r="DE35" s="134">
        <v>33</v>
      </c>
      <c r="DF35" s="134">
        <v>569</v>
      </c>
      <c r="DG35" s="134">
        <v>4403</v>
      </c>
      <c r="DH35" s="134">
        <v>4972</v>
      </c>
      <c r="DI35" s="134">
        <v>13</v>
      </c>
      <c r="DJ35" s="134">
        <v>0</v>
      </c>
      <c r="DK35" s="134">
        <v>0</v>
      </c>
      <c r="DL35" s="134">
        <v>1109</v>
      </c>
      <c r="DM35" s="134">
        <v>31</v>
      </c>
      <c r="DN35" s="134">
        <v>11</v>
      </c>
      <c r="DO35" s="134">
        <v>13</v>
      </c>
      <c r="DP35" s="134">
        <v>1151</v>
      </c>
      <c r="DQ35" s="134">
        <v>1164</v>
      </c>
      <c r="DR35" s="134">
        <v>3</v>
      </c>
      <c r="DS35" s="134">
        <v>2</v>
      </c>
      <c r="DT35" s="135">
        <v>5</v>
      </c>
      <c r="DV35" s="136"/>
      <c r="DW35" s="137"/>
      <c r="DX35" s="136"/>
      <c r="DY35" s="136"/>
    </row>
    <row r="36" spans="1:129" s="116" customFormat="1">
      <c r="A36" s="133" t="s">
        <v>305</v>
      </c>
      <c r="B36" s="134">
        <v>638</v>
      </c>
      <c r="C36" s="134">
        <v>346</v>
      </c>
      <c r="D36" s="134">
        <v>563</v>
      </c>
      <c r="E36" s="134">
        <v>283</v>
      </c>
      <c r="F36" s="134">
        <v>0</v>
      </c>
      <c r="G36" s="134">
        <v>3</v>
      </c>
      <c r="H36" s="134">
        <v>3</v>
      </c>
      <c r="I36" s="134">
        <v>1</v>
      </c>
      <c r="J36" s="134">
        <v>243</v>
      </c>
      <c r="K36" s="134">
        <v>244</v>
      </c>
      <c r="L36" s="134">
        <v>0</v>
      </c>
      <c r="M36" s="134">
        <v>57</v>
      </c>
      <c r="N36" s="134">
        <v>57</v>
      </c>
      <c r="O36" s="134">
        <v>1</v>
      </c>
      <c r="P36" s="134">
        <v>186</v>
      </c>
      <c r="Q36" s="134">
        <v>187</v>
      </c>
      <c r="R36" s="134">
        <v>0</v>
      </c>
      <c r="S36" s="134">
        <v>24</v>
      </c>
      <c r="T36" s="134">
        <v>24</v>
      </c>
      <c r="U36" s="134">
        <v>0</v>
      </c>
      <c r="V36" s="134">
        <v>36</v>
      </c>
      <c r="W36" s="134">
        <v>36</v>
      </c>
      <c r="X36" s="134">
        <v>1</v>
      </c>
      <c r="Y36" s="134">
        <v>406</v>
      </c>
      <c r="Z36" s="134">
        <v>407</v>
      </c>
      <c r="AA36" s="134">
        <v>0</v>
      </c>
      <c r="AB36" s="134">
        <v>218</v>
      </c>
      <c r="AC36" s="134">
        <v>218</v>
      </c>
      <c r="AD36" s="134">
        <v>0</v>
      </c>
      <c r="AE36" s="134">
        <v>191</v>
      </c>
      <c r="AF36" s="134">
        <v>191</v>
      </c>
      <c r="AG36" s="134">
        <v>0</v>
      </c>
      <c r="AH36" s="134">
        <v>14</v>
      </c>
      <c r="AI36" s="134">
        <v>14</v>
      </c>
      <c r="AJ36" s="134">
        <v>0</v>
      </c>
      <c r="AK36" s="134">
        <v>13</v>
      </c>
      <c r="AL36" s="134">
        <v>13</v>
      </c>
      <c r="AM36" s="134">
        <v>1</v>
      </c>
      <c r="AN36" s="134">
        <v>188</v>
      </c>
      <c r="AO36" s="134">
        <v>189</v>
      </c>
      <c r="AP36" s="134">
        <v>580</v>
      </c>
      <c r="AQ36" s="134">
        <v>7506</v>
      </c>
      <c r="AR36" s="134">
        <v>8086</v>
      </c>
      <c r="AS36" s="134">
        <v>570</v>
      </c>
      <c r="AT36" s="134">
        <v>7247</v>
      </c>
      <c r="AU36" s="134">
        <v>7817</v>
      </c>
      <c r="AV36" s="134">
        <v>10</v>
      </c>
      <c r="AW36" s="134">
        <v>259</v>
      </c>
      <c r="AX36" s="134">
        <v>269</v>
      </c>
      <c r="AY36" s="134">
        <v>32</v>
      </c>
      <c r="AZ36" s="134">
        <v>521</v>
      </c>
      <c r="BA36" s="134">
        <v>553</v>
      </c>
      <c r="BB36" s="134">
        <v>14</v>
      </c>
      <c r="BC36" s="134">
        <v>1</v>
      </c>
      <c r="BD36" s="134">
        <v>0</v>
      </c>
      <c r="BE36" s="134">
        <v>267</v>
      </c>
      <c r="BF36" s="134">
        <v>1</v>
      </c>
      <c r="BG36" s="134">
        <v>0</v>
      </c>
      <c r="BH36" s="134">
        <v>15</v>
      </c>
      <c r="BI36" s="134">
        <v>268</v>
      </c>
      <c r="BJ36" s="134">
        <v>283</v>
      </c>
      <c r="BK36" s="134">
        <v>-7</v>
      </c>
      <c r="BL36" s="134">
        <v>7</v>
      </c>
      <c r="BM36" s="134">
        <v>0</v>
      </c>
      <c r="BN36" s="134">
        <v>5</v>
      </c>
      <c r="BO36" s="134">
        <v>18</v>
      </c>
      <c r="BP36" s="134">
        <v>23</v>
      </c>
      <c r="BQ36" s="134">
        <v>7</v>
      </c>
      <c r="BR36" s="134">
        <v>77</v>
      </c>
      <c r="BS36" s="134">
        <v>84</v>
      </c>
      <c r="BT36" s="134">
        <v>12</v>
      </c>
      <c r="BU36" s="134">
        <v>151</v>
      </c>
      <c r="BV36" s="134">
        <v>163</v>
      </c>
      <c r="BW36" s="134">
        <v>612</v>
      </c>
      <c r="BX36" s="134">
        <v>8027</v>
      </c>
      <c r="BY36" s="134">
        <v>8639</v>
      </c>
      <c r="BZ36" s="134">
        <v>598</v>
      </c>
      <c r="CA36" s="134">
        <v>7957</v>
      </c>
      <c r="CB36" s="134">
        <v>8555</v>
      </c>
      <c r="CC36" s="134">
        <v>15709</v>
      </c>
      <c r="CD36" s="134">
        <v>1</v>
      </c>
      <c r="CE36" s="134">
        <v>85</v>
      </c>
      <c r="CF36" s="134">
        <v>13</v>
      </c>
      <c r="CG36" s="134">
        <v>43</v>
      </c>
      <c r="CH36" s="134">
        <v>56</v>
      </c>
      <c r="CI36" s="134">
        <v>34</v>
      </c>
      <c r="CJ36" s="134">
        <v>7</v>
      </c>
      <c r="CK36" s="134">
        <v>1</v>
      </c>
      <c r="CL36" s="134">
        <v>27</v>
      </c>
      <c r="CM36" s="134">
        <v>28</v>
      </c>
      <c r="CN36" s="134">
        <v>55</v>
      </c>
      <c r="CO36" s="134">
        <v>807</v>
      </c>
      <c r="CP36" s="134">
        <v>862</v>
      </c>
      <c r="CQ36" s="134">
        <v>0</v>
      </c>
      <c r="CR36" s="134">
        <v>0</v>
      </c>
      <c r="CS36" s="134">
        <v>0</v>
      </c>
      <c r="CT36" s="134">
        <v>557</v>
      </c>
      <c r="CU36" s="134">
        <v>7220</v>
      </c>
      <c r="CV36" s="134">
        <v>7777</v>
      </c>
      <c r="CW36" s="134">
        <v>26</v>
      </c>
      <c r="CX36" s="134">
        <v>287</v>
      </c>
      <c r="CY36" s="134">
        <v>313</v>
      </c>
      <c r="CZ36" s="134">
        <v>25</v>
      </c>
      <c r="DA36" s="134">
        <v>0</v>
      </c>
      <c r="DB36" s="134">
        <v>0</v>
      </c>
      <c r="DC36" s="134">
        <v>270</v>
      </c>
      <c r="DD36" s="134">
        <v>4</v>
      </c>
      <c r="DE36" s="134">
        <v>2</v>
      </c>
      <c r="DF36" s="134">
        <v>25</v>
      </c>
      <c r="DG36" s="134">
        <v>276</v>
      </c>
      <c r="DH36" s="134">
        <v>301</v>
      </c>
      <c r="DI36" s="134">
        <v>1</v>
      </c>
      <c r="DJ36" s="134">
        <v>0</v>
      </c>
      <c r="DK36" s="134">
        <v>0</v>
      </c>
      <c r="DL36" s="134">
        <v>10</v>
      </c>
      <c r="DM36" s="134">
        <v>1</v>
      </c>
      <c r="DN36" s="134">
        <v>0</v>
      </c>
      <c r="DO36" s="134">
        <v>1</v>
      </c>
      <c r="DP36" s="134">
        <v>11</v>
      </c>
      <c r="DQ36" s="134">
        <v>12</v>
      </c>
      <c r="DR36" s="134">
        <v>0</v>
      </c>
      <c r="DS36" s="134">
        <v>0</v>
      </c>
      <c r="DT36" s="135">
        <v>0</v>
      </c>
      <c r="DV36" s="136"/>
      <c r="DW36" s="137"/>
      <c r="DX36" s="136"/>
      <c r="DY36" s="136"/>
    </row>
    <row r="37" spans="1:129" s="116" customFormat="1">
      <c r="A37" s="133" t="s">
        <v>306</v>
      </c>
      <c r="B37" s="134">
        <v>111</v>
      </c>
      <c r="C37" s="134">
        <v>32</v>
      </c>
      <c r="D37" s="134">
        <v>101</v>
      </c>
      <c r="E37" s="134">
        <v>80</v>
      </c>
      <c r="F37" s="134">
        <v>0</v>
      </c>
      <c r="G37" s="134">
        <v>2</v>
      </c>
      <c r="H37" s="134">
        <v>2</v>
      </c>
      <c r="I37" s="134">
        <v>0</v>
      </c>
      <c r="J37" s="134">
        <v>18</v>
      </c>
      <c r="K37" s="134">
        <v>18</v>
      </c>
      <c r="L37" s="134">
        <v>0</v>
      </c>
      <c r="M37" s="134">
        <v>8</v>
      </c>
      <c r="N37" s="134">
        <v>8</v>
      </c>
      <c r="O37" s="134">
        <v>0</v>
      </c>
      <c r="P37" s="134">
        <v>10</v>
      </c>
      <c r="Q37" s="134">
        <v>10</v>
      </c>
      <c r="R37" s="134">
        <v>0</v>
      </c>
      <c r="S37" s="134">
        <v>0</v>
      </c>
      <c r="T37" s="134">
        <v>0</v>
      </c>
      <c r="U37" s="134">
        <v>0</v>
      </c>
      <c r="V37" s="134">
        <v>3</v>
      </c>
      <c r="W37" s="134">
        <v>3</v>
      </c>
      <c r="X37" s="134">
        <v>1</v>
      </c>
      <c r="Y37" s="134">
        <v>100</v>
      </c>
      <c r="Z37" s="134">
        <v>101</v>
      </c>
      <c r="AA37" s="134">
        <v>0</v>
      </c>
      <c r="AB37" s="134">
        <v>51</v>
      </c>
      <c r="AC37" s="134">
        <v>51</v>
      </c>
      <c r="AD37" s="134">
        <v>0</v>
      </c>
      <c r="AE37" s="134">
        <v>46</v>
      </c>
      <c r="AF37" s="134">
        <v>46</v>
      </c>
      <c r="AG37" s="134">
        <v>0</v>
      </c>
      <c r="AH37" s="134">
        <v>4</v>
      </c>
      <c r="AI37" s="134">
        <v>4</v>
      </c>
      <c r="AJ37" s="134">
        <v>0</v>
      </c>
      <c r="AK37" s="134">
        <v>1</v>
      </c>
      <c r="AL37" s="134">
        <v>1</v>
      </c>
      <c r="AM37" s="134">
        <v>1</v>
      </c>
      <c r="AN37" s="134">
        <v>49</v>
      </c>
      <c r="AO37" s="134">
        <v>50</v>
      </c>
      <c r="AP37" s="134">
        <v>67</v>
      </c>
      <c r="AQ37" s="134">
        <v>981</v>
      </c>
      <c r="AR37" s="134">
        <v>1048</v>
      </c>
      <c r="AS37" s="134">
        <v>67</v>
      </c>
      <c r="AT37" s="134">
        <v>981</v>
      </c>
      <c r="AU37" s="134">
        <v>1048</v>
      </c>
      <c r="AV37" s="134">
        <v>0</v>
      </c>
      <c r="AW37" s="134">
        <v>0</v>
      </c>
      <c r="AX37" s="134">
        <v>0</v>
      </c>
      <c r="AY37" s="134">
        <v>-3</v>
      </c>
      <c r="AZ37" s="134">
        <v>125</v>
      </c>
      <c r="BA37" s="134">
        <v>122</v>
      </c>
      <c r="BB37" s="134">
        <v>1</v>
      </c>
      <c r="BC37" s="134">
        <v>0</v>
      </c>
      <c r="BD37" s="134">
        <v>0</v>
      </c>
      <c r="BE37" s="134">
        <v>78</v>
      </c>
      <c r="BF37" s="134">
        <v>0</v>
      </c>
      <c r="BG37" s="134">
        <v>1</v>
      </c>
      <c r="BH37" s="134">
        <v>1</v>
      </c>
      <c r="BI37" s="134">
        <v>79</v>
      </c>
      <c r="BJ37" s="134">
        <v>80</v>
      </c>
      <c r="BK37" s="134">
        <v>-5</v>
      </c>
      <c r="BL37" s="134">
        <v>5</v>
      </c>
      <c r="BM37" s="134">
        <v>0</v>
      </c>
      <c r="BN37" s="134">
        <v>1</v>
      </c>
      <c r="BO37" s="134">
        <v>3</v>
      </c>
      <c r="BP37" s="134">
        <v>4</v>
      </c>
      <c r="BQ37" s="134">
        <v>0</v>
      </c>
      <c r="BR37" s="134">
        <v>18</v>
      </c>
      <c r="BS37" s="134">
        <v>18</v>
      </c>
      <c r="BT37" s="134">
        <v>0</v>
      </c>
      <c r="BU37" s="134">
        <v>20</v>
      </c>
      <c r="BV37" s="134">
        <v>20</v>
      </c>
      <c r="BW37" s="134">
        <v>64</v>
      </c>
      <c r="BX37" s="134">
        <v>1106</v>
      </c>
      <c r="BY37" s="134">
        <v>1170</v>
      </c>
      <c r="BZ37" s="134">
        <v>64</v>
      </c>
      <c r="CA37" s="134">
        <v>1105</v>
      </c>
      <c r="CB37" s="134">
        <v>1169</v>
      </c>
      <c r="CC37" s="134">
        <v>2092</v>
      </c>
      <c r="CD37" s="134">
        <v>0</v>
      </c>
      <c r="CE37" s="134">
        <v>0</v>
      </c>
      <c r="CF37" s="134">
        <v>0</v>
      </c>
      <c r="CG37" s="134">
        <v>0</v>
      </c>
      <c r="CH37" s="134">
        <v>0</v>
      </c>
      <c r="CI37" s="134">
        <v>0</v>
      </c>
      <c r="CJ37" s="134">
        <v>1</v>
      </c>
      <c r="CK37" s="134">
        <v>0</v>
      </c>
      <c r="CL37" s="134">
        <v>1</v>
      </c>
      <c r="CM37" s="134">
        <v>1</v>
      </c>
      <c r="CN37" s="134">
        <v>3</v>
      </c>
      <c r="CO37" s="134">
        <v>69</v>
      </c>
      <c r="CP37" s="134">
        <v>72</v>
      </c>
      <c r="CQ37" s="134">
        <v>0</v>
      </c>
      <c r="CR37" s="134">
        <v>0</v>
      </c>
      <c r="CS37" s="134">
        <v>0</v>
      </c>
      <c r="CT37" s="134">
        <v>61</v>
      </c>
      <c r="CU37" s="134">
        <v>1037</v>
      </c>
      <c r="CV37" s="134">
        <v>1098</v>
      </c>
      <c r="CW37" s="134">
        <v>0</v>
      </c>
      <c r="CX37" s="134">
        <v>55</v>
      </c>
      <c r="CY37" s="134">
        <v>55</v>
      </c>
      <c r="CZ37" s="134">
        <v>0</v>
      </c>
      <c r="DA37" s="134">
        <v>0</v>
      </c>
      <c r="DB37" s="134">
        <v>0</v>
      </c>
      <c r="DC37" s="134">
        <v>54</v>
      </c>
      <c r="DD37" s="134">
        <v>0</v>
      </c>
      <c r="DE37" s="134">
        <v>0</v>
      </c>
      <c r="DF37" s="134">
        <v>0</v>
      </c>
      <c r="DG37" s="134">
        <v>54</v>
      </c>
      <c r="DH37" s="134">
        <v>54</v>
      </c>
      <c r="DI37" s="134">
        <v>0</v>
      </c>
      <c r="DJ37" s="134">
        <v>0</v>
      </c>
      <c r="DK37" s="134">
        <v>0</v>
      </c>
      <c r="DL37" s="134">
        <v>1</v>
      </c>
      <c r="DM37" s="134">
        <v>0</v>
      </c>
      <c r="DN37" s="134">
        <v>0</v>
      </c>
      <c r="DO37" s="134">
        <v>0</v>
      </c>
      <c r="DP37" s="134">
        <v>1</v>
      </c>
      <c r="DQ37" s="134">
        <v>1</v>
      </c>
      <c r="DR37" s="134">
        <v>0</v>
      </c>
      <c r="DS37" s="134">
        <v>0</v>
      </c>
      <c r="DT37" s="135">
        <v>0</v>
      </c>
      <c r="DV37" s="136"/>
      <c r="DW37" s="137"/>
      <c r="DX37" s="136"/>
      <c r="DY37" s="136"/>
    </row>
    <row r="38" spans="1:129" s="116" customFormat="1">
      <c r="A38" s="133" t="s">
        <v>307</v>
      </c>
      <c r="B38" s="134">
        <v>9515</v>
      </c>
      <c r="C38" s="134">
        <v>2869</v>
      </c>
      <c r="D38" s="134">
        <v>9738</v>
      </c>
      <c r="E38" s="134">
        <v>5277</v>
      </c>
      <c r="F38" s="134">
        <v>0</v>
      </c>
      <c r="G38" s="134">
        <v>54</v>
      </c>
      <c r="H38" s="134">
        <v>54</v>
      </c>
      <c r="I38" s="134">
        <v>7</v>
      </c>
      <c r="J38" s="134">
        <v>4100</v>
      </c>
      <c r="K38" s="134">
        <v>4107</v>
      </c>
      <c r="L38" s="134">
        <v>7</v>
      </c>
      <c r="M38" s="134">
        <v>971</v>
      </c>
      <c r="N38" s="134">
        <v>978</v>
      </c>
      <c r="O38" s="134">
        <v>0</v>
      </c>
      <c r="P38" s="134">
        <v>3129</v>
      </c>
      <c r="Q38" s="134">
        <v>3129</v>
      </c>
      <c r="R38" s="134">
        <v>1</v>
      </c>
      <c r="S38" s="134">
        <v>26</v>
      </c>
      <c r="T38" s="134">
        <v>27</v>
      </c>
      <c r="U38" s="134">
        <v>0</v>
      </c>
      <c r="V38" s="134">
        <v>354</v>
      </c>
      <c r="W38" s="134">
        <v>354</v>
      </c>
      <c r="X38" s="134">
        <v>252</v>
      </c>
      <c r="Y38" s="134">
        <v>9485</v>
      </c>
      <c r="Z38" s="134">
        <v>9737</v>
      </c>
      <c r="AA38" s="134">
        <v>176</v>
      </c>
      <c r="AB38" s="134">
        <v>3630</v>
      </c>
      <c r="AC38" s="134">
        <v>3806</v>
      </c>
      <c r="AD38" s="134">
        <v>166</v>
      </c>
      <c r="AE38" s="134">
        <v>3322</v>
      </c>
      <c r="AF38" s="134">
        <v>3488</v>
      </c>
      <c r="AG38" s="134">
        <v>5</v>
      </c>
      <c r="AH38" s="134">
        <v>185</v>
      </c>
      <c r="AI38" s="134">
        <v>190</v>
      </c>
      <c r="AJ38" s="134">
        <v>5</v>
      </c>
      <c r="AK38" s="134">
        <v>123</v>
      </c>
      <c r="AL38" s="134">
        <v>128</v>
      </c>
      <c r="AM38" s="134">
        <v>76</v>
      </c>
      <c r="AN38" s="134">
        <v>5855</v>
      </c>
      <c r="AO38" s="134">
        <v>5931</v>
      </c>
      <c r="AP38" s="134">
        <v>13640</v>
      </c>
      <c r="AQ38" s="134">
        <v>100474</v>
      </c>
      <c r="AR38" s="134">
        <v>114114</v>
      </c>
      <c r="AS38" s="134">
        <v>13641</v>
      </c>
      <c r="AT38" s="134">
        <v>100477</v>
      </c>
      <c r="AU38" s="134">
        <v>114118</v>
      </c>
      <c r="AV38" s="134">
        <v>-1</v>
      </c>
      <c r="AW38" s="134">
        <v>-3</v>
      </c>
      <c r="AX38" s="134">
        <v>-4</v>
      </c>
      <c r="AY38" s="134">
        <v>765</v>
      </c>
      <c r="AZ38" s="134">
        <v>9002</v>
      </c>
      <c r="BA38" s="134">
        <v>9767</v>
      </c>
      <c r="BB38" s="134">
        <v>275</v>
      </c>
      <c r="BC38" s="134">
        <v>1</v>
      </c>
      <c r="BD38" s="134">
        <v>0</v>
      </c>
      <c r="BE38" s="134">
        <v>4963</v>
      </c>
      <c r="BF38" s="134">
        <v>29</v>
      </c>
      <c r="BG38" s="134">
        <v>9</v>
      </c>
      <c r="BH38" s="134">
        <v>276</v>
      </c>
      <c r="BI38" s="134">
        <v>5001</v>
      </c>
      <c r="BJ38" s="134">
        <v>5277</v>
      </c>
      <c r="BK38" s="134">
        <v>5</v>
      </c>
      <c r="BL38" s="134">
        <v>-5</v>
      </c>
      <c r="BM38" s="134">
        <v>0</v>
      </c>
      <c r="BN38" s="134">
        <v>73</v>
      </c>
      <c r="BO38" s="134">
        <v>279</v>
      </c>
      <c r="BP38" s="134">
        <v>352</v>
      </c>
      <c r="BQ38" s="134">
        <v>103</v>
      </c>
      <c r="BR38" s="134">
        <v>1665</v>
      </c>
      <c r="BS38" s="134">
        <v>1768</v>
      </c>
      <c r="BT38" s="134">
        <v>308</v>
      </c>
      <c r="BU38" s="134">
        <v>2062</v>
      </c>
      <c r="BV38" s="134">
        <v>2370</v>
      </c>
      <c r="BW38" s="134">
        <v>14405</v>
      </c>
      <c r="BX38" s="134">
        <v>109476</v>
      </c>
      <c r="BY38" s="134">
        <v>123881</v>
      </c>
      <c r="BZ38" s="134">
        <v>14294</v>
      </c>
      <c r="CA38" s="134">
        <v>108629</v>
      </c>
      <c r="CB38" s="134">
        <v>122923</v>
      </c>
      <c r="CC38" s="134">
        <v>270966</v>
      </c>
      <c r="CD38" s="134">
        <v>100</v>
      </c>
      <c r="CE38" s="134">
        <v>813</v>
      </c>
      <c r="CF38" s="134">
        <v>110</v>
      </c>
      <c r="CG38" s="134">
        <v>681</v>
      </c>
      <c r="CH38" s="134">
        <v>791</v>
      </c>
      <c r="CI38" s="134">
        <v>192</v>
      </c>
      <c r="CJ38" s="134">
        <v>19</v>
      </c>
      <c r="CK38" s="134">
        <v>1</v>
      </c>
      <c r="CL38" s="134">
        <v>166</v>
      </c>
      <c r="CM38" s="134">
        <v>167</v>
      </c>
      <c r="CN38" s="134">
        <v>836</v>
      </c>
      <c r="CO38" s="134">
        <v>9346</v>
      </c>
      <c r="CP38" s="134">
        <v>10182</v>
      </c>
      <c r="CQ38" s="134">
        <v>2</v>
      </c>
      <c r="CR38" s="134">
        <v>114</v>
      </c>
      <c r="CS38" s="134">
        <v>116</v>
      </c>
      <c r="CT38" s="134">
        <v>13569</v>
      </c>
      <c r="CU38" s="134">
        <v>100130</v>
      </c>
      <c r="CV38" s="134">
        <v>113699</v>
      </c>
      <c r="CW38" s="134">
        <v>851</v>
      </c>
      <c r="CX38" s="134">
        <v>3848</v>
      </c>
      <c r="CY38" s="134">
        <v>4699</v>
      </c>
      <c r="CZ38" s="134">
        <v>843</v>
      </c>
      <c r="DA38" s="134">
        <v>6</v>
      </c>
      <c r="DB38" s="134">
        <v>0</v>
      </c>
      <c r="DC38" s="134">
        <v>3771</v>
      </c>
      <c r="DD38" s="134">
        <v>22</v>
      </c>
      <c r="DE38" s="134">
        <v>2</v>
      </c>
      <c r="DF38" s="134">
        <v>849</v>
      </c>
      <c r="DG38" s="134">
        <v>3795</v>
      </c>
      <c r="DH38" s="134">
        <v>4644</v>
      </c>
      <c r="DI38" s="134">
        <v>2</v>
      </c>
      <c r="DJ38" s="134">
        <v>0</v>
      </c>
      <c r="DK38" s="134">
        <v>0</v>
      </c>
      <c r="DL38" s="134">
        <v>51</v>
      </c>
      <c r="DM38" s="134">
        <v>1</v>
      </c>
      <c r="DN38" s="134">
        <v>1</v>
      </c>
      <c r="DO38" s="134">
        <v>2</v>
      </c>
      <c r="DP38" s="134">
        <v>53</v>
      </c>
      <c r="DQ38" s="134">
        <v>55</v>
      </c>
      <c r="DR38" s="134">
        <v>0</v>
      </c>
      <c r="DS38" s="134">
        <v>0</v>
      </c>
      <c r="DT38" s="135">
        <v>0</v>
      </c>
      <c r="DV38" s="136"/>
      <c r="DW38" s="137"/>
      <c r="DX38" s="136"/>
      <c r="DY38" s="136"/>
    </row>
    <row r="39" spans="1:129" s="116" customFormat="1">
      <c r="A39" s="133" t="s">
        <v>308</v>
      </c>
      <c r="B39" s="134">
        <v>7695</v>
      </c>
      <c r="C39" s="134">
        <v>2506</v>
      </c>
      <c r="D39" s="134">
        <v>6123</v>
      </c>
      <c r="E39" s="134">
        <v>3900</v>
      </c>
      <c r="F39" s="134">
        <v>4</v>
      </c>
      <c r="G39" s="134">
        <v>25</v>
      </c>
      <c r="H39" s="134">
        <v>29</v>
      </c>
      <c r="I39" s="134">
        <v>3</v>
      </c>
      <c r="J39" s="134">
        <v>2067</v>
      </c>
      <c r="K39" s="134">
        <v>2070</v>
      </c>
      <c r="L39" s="134">
        <v>1</v>
      </c>
      <c r="M39" s="134">
        <v>634</v>
      </c>
      <c r="N39" s="134">
        <v>635</v>
      </c>
      <c r="O39" s="134">
        <v>2</v>
      </c>
      <c r="P39" s="134">
        <v>1433</v>
      </c>
      <c r="Q39" s="134">
        <v>1435</v>
      </c>
      <c r="R39" s="134">
        <v>0</v>
      </c>
      <c r="S39" s="134">
        <v>65</v>
      </c>
      <c r="T39" s="134">
        <v>65</v>
      </c>
      <c r="U39" s="134">
        <v>0</v>
      </c>
      <c r="V39" s="134">
        <v>153</v>
      </c>
      <c r="W39" s="134">
        <v>153</v>
      </c>
      <c r="X39" s="134">
        <v>218</v>
      </c>
      <c r="Y39" s="134">
        <v>5855</v>
      </c>
      <c r="Z39" s="134">
        <v>6073</v>
      </c>
      <c r="AA39" s="134">
        <v>103</v>
      </c>
      <c r="AB39" s="134">
        <v>1607</v>
      </c>
      <c r="AC39" s="134">
        <v>1710</v>
      </c>
      <c r="AD39" s="134">
        <v>101</v>
      </c>
      <c r="AE39" s="134">
        <v>1580</v>
      </c>
      <c r="AF39" s="134">
        <v>1681</v>
      </c>
      <c r="AG39" s="134">
        <v>2</v>
      </c>
      <c r="AH39" s="134">
        <v>19</v>
      </c>
      <c r="AI39" s="134">
        <v>21</v>
      </c>
      <c r="AJ39" s="134">
        <v>0</v>
      </c>
      <c r="AK39" s="134">
        <v>8</v>
      </c>
      <c r="AL39" s="134">
        <v>8</v>
      </c>
      <c r="AM39" s="134">
        <v>115</v>
      </c>
      <c r="AN39" s="134">
        <v>4248</v>
      </c>
      <c r="AO39" s="134">
        <v>4363</v>
      </c>
      <c r="AP39" s="134">
        <v>12637</v>
      </c>
      <c r="AQ39" s="134">
        <v>76238</v>
      </c>
      <c r="AR39" s="134">
        <v>88875</v>
      </c>
      <c r="AS39" s="134">
        <v>12493</v>
      </c>
      <c r="AT39" s="134">
        <v>76173</v>
      </c>
      <c r="AU39" s="134">
        <v>88666</v>
      </c>
      <c r="AV39" s="134">
        <v>144</v>
      </c>
      <c r="AW39" s="134">
        <v>65</v>
      </c>
      <c r="AX39" s="134">
        <v>209</v>
      </c>
      <c r="AY39" s="134">
        <v>832</v>
      </c>
      <c r="AZ39" s="134">
        <v>8031</v>
      </c>
      <c r="BA39" s="134">
        <v>8863</v>
      </c>
      <c r="BB39" s="134">
        <v>407</v>
      </c>
      <c r="BC39" s="134">
        <v>10</v>
      </c>
      <c r="BD39" s="134">
        <v>2</v>
      </c>
      <c r="BE39" s="134">
        <v>3417</v>
      </c>
      <c r="BF39" s="134">
        <v>38</v>
      </c>
      <c r="BG39" s="134">
        <v>26</v>
      </c>
      <c r="BH39" s="134">
        <v>419</v>
      </c>
      <c r="BI39" s="134">
        <v>3481</v>
      </c>
      <c r="BJ39" s="134">
        <v>3900</v>
      </c>
      <c r="BK39" s="134">
        <v>-284</v>
      </c>
      <c r="BL39" s="134">
        <v>284</v>
      </c>
      <c r="BM39" s="134">
        <v>0</v>
      </c>
      <c r="BN39" s="134">
        <v>15</v>
      </c>
      <c r="BO39" s="134">
        <v>107</v>
      </c>
      <c r="BP39" s="134">
        <v>122</v>
      </c>
      <c r="BQ39" s="134">
        <v>77</v>
      </c>
      <c r="BR39" s="134">
        <v>1000</v>
      </c>
      <c r="BS39" s="134">
        <v>1077</v>
      </c>
      <c r="BT39" s="134">
        <v>605</v>
      </c>
      <c r="BU39" s="134">
        <v>3159</v>
      </c>
      <c r="BV39" s="134">
        <v>3764</v>
      </c>
      <c r="BW39" s="134">
        <v>13469</v>
      </c>
      <c r="BX39" s="134">
        <v>84269</v>
      </c>
      <c r="BY39" s="134">
        <v>97738</v>
      </c>
      <c r="BZ39" s="134">
        <v>12988</v>
      </c>
      <c r="CA39" s="134">
        <v>82614</v>
      </c>
      <c r="CB39" s="134">
        <v>95602</v>
      </c>
      <c r="CC39" s="134">
        <v>204602</v>
      </c>
      <c r="CD39" s="134">
        <v>134</v>
      </c>
      <c r="CE39" s="134">
        <v>2527</v>
      </c>
      <c r="CF39" s="134">
        <v>470</v>
      </c>
      <c r="CG39" s="134">
        <v>1147</v>
      </c>
      <c r="CH39" s="134">
        <v>1617</v>
      </c>
      <c r="CI39" s="134">
        <v>712</v>
      </c>
      <c r="CJ39" s="134">
        <v>18</v>
      </c>
      <c r="CK39" s="134">
        <v>11</v>
      </c>
      <c r="CL39" s="134">
        <v>508</v>
      </c>
      <c r="CM39" s="134">
        <v>519</v>
      </c>
      <c r="CN39" s="134">
        <v>1085</v>
      </c>
      <c r="CO39" s="134">
        <v>9089</v>
      </c>
      <c r="CP39" s="134">
        <v>10174</v>
      </c>
      <c r="CQ39" s="134">
        <v>0</v>
      </c>
      <c r="CR39" s="134">
        <v>0</v>
      </c>
      <c r="CS39" s="134">
        <v>0</v>
      </c>
      <c r="CT39" s="134">
        <v>12384</v>
      </c>
      <c r="CU39" s="134">
        <v>75180</v>
      </c>
      <c r="CV39" s="134">
        <v>87564</v>
      </c>
      <c r="CW39" s="134">
        <v>798</v>
      </c>
      <c r="CX39" s="134">
        <v>3706</v>
      </c>
      <c r="CY39" s="134">
        <v>4504</v>
      </c>
      <c r="CZ39" s="134">
        <v>736</v>
      </c>
      <c r="DA39" s="134">
        <v>28</v>
      </c>
      <c r="DB39" s="134">
        <v>2</v>
      </c>
      <c r="DC39" s="134">
        <v>3401</v>
      </c>
      <c r="DD39" s="134">
        <v>70</v>
      </c>
      <c r="DE39" s="134">
        <v>15</v>
      </c>
      <c r="DF39" s="134">
        <v>766</v>
      </c>
      <c r="DG39" s="134">
        <v>3486</v>
      </c>
      <c r="DH39" s="134">
        <v>4252</v>
      </c>
      <c r="DI39" s="134">
        <v>29</v>
      </c>
      <c r="DJ39" s="134">
        <v>3</v>
      </c>
      <c r="DK39" s="134">
        <v>0</v>
      </c>
      <c r="DL39" s="134">
        <v>206</v>
      </c>
      <c r="DM39" s="134">
        <v>13</v>
      </c>
      <c r="DN39" s="134">
        <v>1</v>
      </c>
      <c r="DO39" s="134">
        <v>32</v>
      </c>
      <c r="DP39" s="134">
        <v>220</v>
      </c>
      <c r="DQ39" s="134">
        <v>252</v>
      </c>
      <c r="DR39" s="134">
        <v>0</v>
      </c>
      <c r="DS39" s="134">
        <v>1</v>
      </c>
      <c r="DT39" s="135">
        <v>1</v>
      </c>
      <c r="DV39" s="136"/>
      <c r="DW39" s="137"/>
      <c r="DX39" s="136"/>
      <c r="DY39" s="136"/>
    </row>
    <row r="40" spans="1:129" s="116" customFormat="1">
      <c r="A40" s="133" t="s">
        <v>309</v>
      </c>
      <c r="B40" s="134">
        <v>190</v>
      </c>
      <c r="C40" s="134">
        <v>37</v>
      </c>
      <c r="D40" s="134">
        <v>165</v>
      </c>
      <c r="E40" s="134">
        <v>104</v>
      </c>
      <c r="F40" s="134">
        <v>0</v>
      </c>
      <c r="G40" s="134">
        <v>2</v>
      </c>
      <c r="H40" s="134">
        <v>2</v>
      </c>
      <c r="I40" s="134">
        <v>0</v>
      </c>
      <c r="J40" s="134">
        <v>48</v>
      </c>
      <c r="K40" s="134">
        <v>48</v>
      </c>
      <c r="L40" s="134">
        <v>0</v>
      </c>
      <c r="M40" s="134">
        <v>11</v>
      </c>
      <c r="N40" s="134">
        <v>11</v>
      </c>
      <c r="O40" s="134">
        <v>0</v>
      </c>
      <c r="P40" s="134">
        <v>37</v>
      </c>
      <c r="Q40" s="134">
        <v>37</v>
      </c>
      <c r="R40" s="134">
        <v>0</v>
      </c>
      <c r="S40" s="134">
        <v>1</v>
      </c>
      <c r="T40" s="134">
        <v>1</v>
      </c>
      <c r="U40" s="134">
        <v>0</v>
      </c>
      <c r="V40" s="134">
        <v>13</v>
      </c>
      <c r="W40" s="134">
        <v>13</v>
      </c>
      <c r="X40" s="134">
        <v>2</v>
      </c>
      <c r="Y40" s="134">
        <v>163</v>
      </c>
      <c r="Z40" s="134">
        <v>165</v>
      </c>
      <c r="AA40" s="134">
        <v>1</v>
      </c>
      <c r="AB40" s="134">
        <v>74</v>
      </c>
      <c r="AC40" s="134">
        <v>75</v>
      </c>
      <c r="AD40" s="134">
        <v>1</v>
      </c>
      <c r="AE40" s="134">
        <v>71</v>
      </c>
      <c r="AF40" s="134">
        <v>72</v>
      </c>
      <c r="AG40" s="134">
        <v>0</v>
      </c>
      <c r="AH40" s="134">
        <v>3</v>
      </c>
      <c r="AI40" s="134">
        <v>3</v>
      </c>
      <c r="AJ40" s="134">
        <v>0</v>
      </c>
      <c r="AK40" s="134">
        <v>0</v>
      </c>
      <c r="AL40" s="134">
        <v>0</v>
      </c>
      <c r="AM40" s="134">
        <v>1</v>
      </c>
      <c r="AN40" s="134">
        <v>89</v>
      </c>
      <c r="AO40" s="134">
        <v>90</v>
      </c>
      <c r="AP40" s="134">
        <v>229</v>
      </c>
      <c r="AQ40" s="134">
        <v>1740</v>
      </c>
      <c r="AR40" s="134">
        <v>1969</v>
      </c>
      <c r="AS40" s="134">
        <v>229</v>
      </c>
      <c r="AT40" s="134">
        <v>1740</v>
      </c>
      <c r="AU40" s="134">
        <v>1969</v>
      </c>
      <c r="AV40" s="134">
        <v>0</v>
      </c>
      <c r="AW40" s="134">
        <v>0</v>
      </c>
      <c r="AX40" s="134">
        <v>0</v>
      </c>
      <c r="AY40" s="134">
        <v>20</v>
      </c>
      <c r="AZ40" s="134">
        <v>172</v>
      </c>
      <c r="BA40" s="134">
        <v>192</v>
      </c>
      <c r="BB40" s="134">
        <v>2</v>
      </c>
      <c r="BC40" s="134">
        <v>0</v>
      </c>
      <c r="BD40" s="134">
        <v>0</v>
      </c>
      <c r="BE40" s="134">
        <v>101</v>
      </c>
      <c r="BF40" s="134">
        <v>1</v>
      </c>
      <c r="BG40" s="134">
        <v>0</v>
      </c>
      <c r="BH40" s="134">
        <v>2</v>
      </c>
      <c r="BI40" s="134">
        <v>102</v>
      </c>
      <c r="BJ40" s="134">
        <v>104</v>
      </c>
      <c r="BK40" s="134">
        <v>1</v>
      </c>
      <c r="BL40" s="134">
        <v>-1</v>
      </c>
      <c r="BM40" s="134">
        <v>0</v>
      </c>
      <c r="BN40" s="134">
        <v>2</v>
      </c>
      <c r="BO40" s="134">
        <v>12</v>
      </c>
      <c r="BP40" s="134">
        <v>14</v>
      </c>
      <c r="BQ40" s="134">
        <v>2</v>
      </c>
      <c r="BR40" s="134">
        <v>15</v>
      </c>
      <c r="BS40" s="134">
        <v>17</v>
      </c>
      <c r="BT40" s="134">
        <v>13</v>
      </c>
      <c r="BU40" s="134">
        <v>44</v>
      </c>
      <c r="BV40" s="134">
        <v>57</v>
      </c>
      <c r="BW40" s="134">
        <v>249</v>
      </c>
      <c r="BX40" s="134">
        <v>1912</v>
      </c>
      <c r="BY40" s="134">
        <v>2161</v>
      </c>
      <c r="BZ40" s="134">
        <v>248</v>
      </c>
      <c r="CA40" s="134">
        <v>1894</v>
      </c>
      <c r="CB40" s="134">
        <v>2142</v>
      </c>
      <c r="CC40" s="134">
        <v>4705</v>
      </c>
      <c r="CD40" s="134">
        <v>1</v>
      </c>
      <c r="CE40" s="134">
        <v>17</v>
      </c>
      <c r="CF40" s="134">
        <v>1</v>
      </c>
      <c r="CG40" s="134">
        <v>15</v>
      </c>
      <c r="CH40" s="134">
        <v>16</v>
      </c>
      <c r="CI40" s="134">
        <v>4</v>
      </c>
      <c r="CJ40" s="134">
        <v>0</v>
      </c>
      <c r="CK40" s="134">
        <v>0</v>
      </c>
      <c r="CL40" s="134">
        <v>3</v>
      </c>
      <c r="CM40" s="134">
        <v>3</v>
      </c>
      <c r="CN40" s="134">
        <v>12</v>
      </c>
      <c r="CO40" s="134">
        <v>182</v>
      </c>
      <c r="CP40" s="134">
        <v>194</v>
      </c>
      <c r="CQ40" s="134">
        <v>0</v>
      </c>
      <c r="CR40" s="134">
        <v>1</v>
      </c>
      <c r="CS40" s="134">
        <v>1</v>
      </c>
      <c r="CT40" s="134">
        <v>237</v>
      </c>
      <c r="CU40" s="134">
        <v>1730</v>
      </c>
      <c r="CV40" s="134">
        <v>1967</v>
      </c>
      <c r="CW40" s="134">
        <v>15</v>
      </c>
      <c r="CX40" s="134">
        <v>62</v>
      </c>
      <c r="CY40" s="134">
        <v>77</v>
      </c>
      <c r="CZ40" s="134">
        <v>15</v>
      </c>
      <c r="DA40" s="134">
        <v>0</v>
      </c>
      <c r="DB40" s="134">
        <v>0</v>
      </c>
      <c r="DC40" s="134">
        <v>59</v>
      </c>
      <c r="DD40" s="134">
        <v>0</v>
      </c>
      <c r="DE40" s="134">
        <v>0</v>
      </c>
      <c r="DF40" s="134">
        <v>15</v>
      </c>
      <c r="DG40" s="134">
        <v>59</v>
      </c>
      <c r="DH40" s="134">
        <v>74</v>
      </c>
      <c r="DI40" s="134">
        <v>0</v>
      </c>
      <c r="DJ40" s="134">
        <v>0</v>
      </c>
      <c r="DK40" s="134">
        <v>0</v>
      </c>
      <c r="DL40" s="134">
        <v>3</v>
      </c>
      <c r="DM40" s="134">
        <v>0</v>
      </c>
      <c r="DN40" s="134">
        <v>0</v>
      </c>
      <c r="DO40" s="134">
        <v>0</v>
      </c>
      <c r="DP40" s="134">
        <v>3</v>
      </c>
      <c r="DQ40" s="134">
        <v>3</v>
      </c>
      <c r="DR40" s="134">
        <v>0</v>
      </c>
      <c r="DS40" s="134">
        <v>0</v>
      </c>
      <c r="DT40" s="135">
        <v>0</v>
      </c>
      <c r="DV40" s="136"/>
      <c r="DW40" s="137"/>
      <c r="DX40" s="136"/>
      <c r="DY40" s="136"/>
    </row>
    <row r="41" spans="1:129" s="116" customFormat="1">
      <c r="A41" s="133" t="s">
        <v>310</v>
      </c>
      <c r="B41" s="134">
        <v>11368</v>
      </c>
      <c r="C41" s="134">
        <v>3177</v>
      </c>
      <c r="D41" s="134">
        <v>11405</v>
      </c>
      <c r="E41" s="134">
        <v>7840</v>
      </c>
      <c r="F41" s="134">
        <v>10</v>
      </c>
      <c r="G41" s="134">
        <v>53</v>
      </c>
      <c r="H41" s="134">
        <v>63</v>
      </c>
      <c r="I41" s="134">
        <v>4</v>
      </c>
      <c r="J41" s="134">
        <v>3242</v>
      </c>
      <c r="K41" s="134">
        <v>3246</v>
      </c>
      <c r="L41" s="134">
        <v>4</v>
      </c>
      <c r="M41" s="134">
        <v>1247</v>
      </c>
      <c r="N41" s="134">
        <v>1251</v>
      </c>
      <c r="O41" s="134">
        <v>0</v>
      </c>
      <c r="P41" s="134">
        <v>1995</v>
      </c>
      <c r="Q41" s="134">
        <v>1995</v>
      </c>
      <c r="R41" s="134">
        <v>0</v>
      </c>
      <c r="S41" s="134">
        <v>30</v>
      </c>
      <c r="T41" s="134">
        <v>30</v>
      </c>
      <c r="U41" s="134">
        <v>0</v>
      </c>
      <c r="V41" s="134">
        <v>319</v>
      </c>
      <c r="W41" s="134">
        <v>319</v>
      </c>
      <c r="X41" s="134">
        <v>341</v>
      </c>
      <c r="Y41" s="134">
        <v>11064</v>
      </c>
      <c r="Z41" s="134">
        <v>11405</v>
      </c>
      <c r="AA41" s="134">
        <v>235</v>
      </c>
      <c r="AB41" s="134">
        <v>5003</v>
      </c>
      <c r="AC41" s="134">
        <v>5238</v>
      </c>
      <c r="AD41" s="134">
        <v>215</v>
      </c>
      <c r="AE41" s="134">
        <v>4728</v>
      </c>
      <c r="AF41" s="134">
        <v>4943</v>
      </c>
      <c r="AG41" s="134">
        <v>11</v>
      </c>
      <c r="AH41" s="134">
        <v>193</v>
      </c>
      <c r="AI41" s="134">
        <v>204</v>
      </c>
      <c r="AJ41" s="134">
        <v>9</v>
      </c>
      <c r="AK41" s="134">
        <v>82</v>
      </c>
      <c r="AL41" s="134">
        <v>91</v>
      </c>
      <c r="AM41" s="134">
        <v>106</v>
      </c>
      <c r="AN41" s="134">
        <v>6061</v>
      </c>
      <c r="AO41" s="134">
        <v>6167</v>
      </c>
      <c r="AP41" s="134">
        <v>21005</v>
      </c>
      <c r="AQ41" s="134">
        <v>132514</v>
      </c>
      <c r="AR41" s="134">
        <v>153519</v>
      </c>
      <c r="AS41" s="134">
        <v>21005</v>
      </c>
      <c r="AT41" s="134">
        <v>132515</v>
      </c>
      <c r="AU41" s="134">
        <v>153520</v>
      </c>
      <c r="AV41" s="134">
        <v>0</v>
      </c>
      <c r="AW41" s="134">
        <v>-1</v>
      </c>
      <c r="AX41" s="134">
        <v>-1</v>
      </c>
      <c r="AY41" s="134">
        <v>1155</v>
      </c>
      <c r="AZ41" s="134">
        <v>11910</v>
      </c>
      <c r="BA41" s="134">
        <v>13065</v>
      </c>
      <c r="BB41" s="134">
        <v>398</v>
      </c>
      <c r="BC41" s="134">
        <v>4</v>
      </c>
      <c r="BD41" s="134">
        <v>0</v>
      </c>
      <c r="BE41" s="134">
        <v>7376</v>
      </c>
      <c r="BF41" s="134">
        <v>44</v>
      </c>
      <c r="BG41" s="134">
        <v>18</v>
      </c>
      <c r="BH41" s="134">
        <v>402</v>
      </c>
      <c r="BI41" s="134">
        <v>7438</v>
      </c>
      <c r="BJ41" s="134">
        <v>7840</v>
      </c>
      <c r="BK41" s="134">
        <v>-87</v>
      </c>
      <c r="BL41" s="134">
        <v>87</v>
      </c>
      <c r="BM41" s="134">
        <v>0</v>
      </c>
      <c r="BN41" s="134">
        <v>87</v>
      </c>
      <c r="BO41" s="134">
        <v>287</v>
      </c>
      <c r="BP41" s="134">
        <v>374</v>
      </c>
      <c r="BQ41" s="134">
        <v>75</v>
      </c>
      <c r="BR41" s="134">
        <v>1409</v>
      </c>
      <c r="BS41" s="134">
        <v>1484</v>
      </c>
      <c r="BT41" s="134">
        <v>678</v>
      </c>
      <c r="BU41" s="134">
        <v>2689</v>
      </c>
      <c r="BV41" s="134">
        <v>3367</v>
      </c>
      <c r="BW41" s="134">
        <v>22160</v>
      </c>
      <c r="BX41" s="134">
        <v>144424</v>
      </c>
      <c r="BY41" s="134">
        <v>166584</v>
      </c>
      <c r="BZ41" s="134">
        <v>22031</v>
      </c>
      <c r="CA41" s="134">
        <v>143252</v>
      </c>
      <c r="CB41" s="134">
        <v>165283</v>
      </c>
      <c r="CC41" s="134">
        <v>358832</v>
      </c>
      <c r="CD41" s="134">
        <v>104</v>
      </c>
      <c r="CE41" s="134">
        <v>1059</v>
      </c>
      <c r="CF41" s="134">
        <v>122</v>
      </c>
      <c r="CG41" s="134">
        <v>875</v>
      </c>
      <c r="CH41" s="134">
        <v>997</v>
      </c>
      <c r="CI41" s="134">
        <v>352</v>
      </c>
      <c r="CJ41" s="134">
        <v>54</v>
      </c>
      <c r="CK41" s="134">
        <v>7</v>
      </c>
      <c r="CL41" s="134">
        <v>297</v>
      </c>
      <c r="CM41" s="134">
        <v>304</v>
      </c>
      <c r="CN41" s="134">
        <v>1338</v>
      </c>
      <c r="CO41" s="134">
        <v>11992</v>
      </c>
      <c r="CP41" s="134">
        <v>13330</v>
      </c>
      <c r="CQ41" s="134">
        <v>1</v>
      </c>
      <c r="CR41" s="134">
        <v>40</v>
      </c>
      <c r="CS41" s="134">
        <v>41</v>
      </c>
      <c r="CT41" s="134">
        <v>20822</v>
      </c>
      <c r="CU41" s="134">
        <v>132432</v>
      </c>
      <c r="CV41" s="134">
        <v>153254</v>
      </c>
      <c r="CW41" s="134">
        <v>1217</v>
      </c>
      <c r="CX41" s="134">
        <v>4997</v>
      </c>
      <c r="CY41" s="134">
        <v>6214</v>
      </c>
      <c r="CZ41" s="134">
        <v>1206</v>
      </c>
      <c r="DA41" s="134">
        <v>7</v>
      </c>
      <c r="DB41" s="134">
        <v>0</v>
      </c>
      <c r="DC41" s="134">
        <v>4917</v>
      </c>
      <c r="DD41" s="134">
        <v>31</v>
      </c>
      <c r="DE41" s="134">
        <v>9</v>
      </c>
      <c r="DF41" s="134">
        <v>1213</v>
      </c>
      <c r="DG41" s="134">
        <v>4957</v>
      </c>
      <c r="DH41" s="134">
        <v>6170</v>
      </c>
      <c r="DI41" s="134">
        <v>4</v>
      </c>
      <c r="DJ41" s="134">
        <v>0</v>
      </c>
      <c r="DK41" s="134">
        <v>0</v>
      </c>
      <c r="DL41" s="134">
        <v>40</v>
      </c>
      <c r="DM41" s="134">
        <v>0</v>
      </c>
      <c r="DN41" s="134">
        <v>0</v>
      </c>
      <c r="DO41" s="134">
        <v>4</v>
      </c>
      <c r="DP41" s="134">
        <v>40</v>
      </c>
      <c r="DQ41" s="134">
        <v>44</v>
      </c>
      <c r="DR41" s="134">
        <v>0</v>
      </c>
      <c r="DS41" s="134">
        <v>0</v>
      </c>
      <c r="DT41" s="135">
        <v>0</v>
      </c>
      <c r="DV41" s="136"/>
      <c r="DW41" s="137"/>
      <c r="DX41" s="136"/>
      <c r="DY41" s="136"/>
    </row>
    <row r="42" spans="1:129" s="116" customFormat="1">
      <c r="A42" s="133" t="s">
        <v>311</v>
      </c>
      <c r="B42" s="134">
        <v>11870</v>
      </c>
      <c r="C42" s="134">
        <v>5232</v>
      </c>
      <c r="D42" s="134">
        <v>12128</v>
      </c>
      <c r="E42" s="134">
        <v>6098</v>
      </c>
      <c r="F42" s="134">
        <v>12</v>
      </c>
      <c r="G42" s="134">
        <v>133</v>
      </c>
      <c r="H42" s="134">
        <v>145</v>
      </c>
      <c r="I42" s="134">
        <v>13</v>
      </c>
      <c r="J42" s="134">
        <v>5565</v>
      </c>
      <c r="K42" s="134">
        <v>5578</v>
      </c>
      <c r="L42" s="134">
        <v>13</v>
      </c>
      <c r="M42" s="134">
        <v>5562</v>
      </c>
      <c r="N42" s="134">
        <v>5575</v>
      </c>
      <c r="O42" s="134">
        <v>0</v>
      </c>
      <c r="P42" s="134">
        <v>3</v>
      </c>
      <c r="Q42" s="134">
        <v>3</v>
      </c>
      <c r="R42" s="134">
        <v>1</v>
      </c>
      <c r="S42" s="134">
        <v>730</v>
      </c>
      <c r="T42" s="134">
        <v>731</v>
      </c>
      <c r="U42" s="134">
        <v>0</v>
      </c>
      <c r="V42" s="134">
        <v>452</v>
      </c>
      <c r="W42" s="134">
        <v>452</v>
      </c>
      <c r="X42" s="134">
        <v>121</v>
      </c>
      <c r="Y42" s="134">
        <v>6623</v>
      </c>
      <c r="Z42" s="134">
        <v>6744</v>
      </c>
      <c r="AA42" s="134">
        <v>69</v>
      </c>
      <c r="AB42" s="134">
        <v>2053</v>
      </c>
      <c r="AC42" s="134">
        <v>2122</v>
      </c>
      <c r="AD42" s="134">
        <v>63</v>
      </c>
      <c r="AE42" s="134">
        <v>1961</v>
      </c>
      <c r="AF42" s="134">
        <v>2024</v>
      </c>
      <c r="AG42" s="134">
        <v>5</v>
      </c>
      <c r="AH42" s="134">
        <v>65</v>
      </c>
      <c r="AI42" s="134">
        <v>70</v>
      </c>
      <c r="AJ42" s="134">
        <v>1</v>
      </c>
      <c r="AK42" s="134">
        <v>27</v>
      </c>
      <c r="AL42" s="134">
        <v>28</v>
      </c>
      <c r="AM42" s="134">
        <v>52</v>
      </c>
      <c r="AN42" s="134">
        <v>4570</v>
      </c>
      <c r="AO42" s="134">
        <v>4622</v>
      </c>
      <c r="AP42" s="134">
        <v>10731</v>
      </c>
      <c r="AQ42" s="134">
        <v>113300</v>
      </c>
      <c r="AR42" s="134">
        <v>124031</v>
      </c>
      <c r="AS42" s="134">
        <v>10713</v>
      </c>
      <c r="AT42" s="134">
        <v>112516</v>
      </c>
      <c r="AU42" s="134">
        <v>123229</v>
      </c>
      <c r="AV42" s="134">
        <v>18</v>
      </c>
      <c r="AW42" s="134">
        <v>784</v>
      </c>
      <c r="AX42" s="134">
        <v>802</v>
      </c>
      <c r="AY42" s="134">
        <v>566</v>
      </c>
      <c r="AZ42" s="134">
        <v>10122</v>
      </c>
      <c r="BA42" s="134">
        <v>10688</v>
      </c>
      <c r="BB42" s="134">
        <v>211</v>
      </c>
      <c r="BC42" s="134">
        <v>7</v>
      </c>
      <c r="BD42" s="134">
        <v>0</v>
      </c>
      <c r="BE42" s="134">
        <v>5768</v>
      </c>
      <c r="BF42" s="134">
        <v>78</v>
      </c>
      <c r="BG42" s="134">
        <v>34</v>
      </c>
      <c r="BH42" s="134">
        <v>218</v>
      </c>
      <c r="BI42" s="134">
        <v>5880</v>
      </c>
      <c r="BJ42" s="134">
        <v>6098</v>
      </c>
      <c r="BK42" s="134">
        <v>-99</v>
      </c>
      <c r="BL42" s="134">
        <v>99</v>
      </c>
      <c r="BM42" s="134">
        <v>0</v>
      </c>
      <c r="BN42" s="134">
        <v>15</v>
      </c>
      <c r="BO42" s="134">
        <v>157</v>
      </c>
      <c r="BP42" s="134">
        <v>172</v>
      </c>
      <c r="BQ42" s="134">
        <v>14</v>
      </c>
      <c r="BR42" s="134">
        <v>347</v>
      </c>
      <c r="BS42" s="134">
        <v>361</v>
      </c>
      <c r="BT42" s="134">
        <v>418</v>
      </c>
      <c r="BU42" s="134">
        <v>3639</v>
      </c>
      <c r="BV42" s="134">
        <v>4057</v>
      </c>
      <c r="BW42" s="134">
        <v>11297</v>
      </c>
      <c r="BX42" s="134">
        <v>123422</v>
      </c>
      <c r="BY42" s="134">
        <v>134719</v>
      </c>
      <c r="BZ42" s="134">
        <v>10978</v>
      </c>
      <c r="CA42" s="134">
        <v>121180</v>
      </c>
      <c r="CB42" s="134">
        <v>132158</v>
      </c>
      <c r="CC42" s="134">
        <v>269456</v>
      </c>
      <c r="CD42" s="134">
        <v>232</v>
      </c>
      <c r="CE42" s="134">
        <v>2398</v>
      </c>
      <c r="CF42" s="134">
        <v>311</v>
      </c>
      <c r="CG42" s="134">
        <v>1651</v>
      </c>
      <c r="CH42" s="134">
        <v>1962</v>
      </c>
      <c r="CI42" s="134">
        <v>733</v>
      </c>
      <c r="CJ42" s="134">
        <v>36</v>
      </c>
      <c r="CK42" s="134">
        <v>8</v>
      </c>
      <c r="CL42" s="134">
        <v>591</v>
      </c>
      <c r="CM42" s="134">
        <v>599</v>
      </c>
      <c r="CN42" s="134">
        <v>803</v>
      </c>
      <c r="CO42" s="134">
        <v>11172</v>
      </c>
      <c r="CP42" s="134">
        <v>11975</v>
      </c>
      <c r="CQ42" s="134">
        <v>0</v>
      </c>
      <c r="CR42" s="134">
        <v>10</v>
      </c>
      <c r="CS42" s="134">
        <v>10</v>
      </c>
      <c r="CT42" s="134">
        <v>10494</v>
      </c>
      <c r="CU42" s="134">
        <v>112250</v>
      </c>
      <c r="CV42" s="134">
        <v>122744</v>
      </c>
      <c r="CW42" s="134">
        <v>698</v>
      </c>
      <c r="CX42" s="134">
        <v>5223</v>
      </c>
      <c r="CY42" s="134">
        <v>5921</v>
      </c>
      <c r="CZ42" s="134">
        <v>659</v>
      </c>
      <c r="DA42" s="134">
        <v>12</v>
      </c>
      <c r="DB42" s="134">
        <v>0</v>
      </c>
      <c r="DC42" s="134">
        <v>4620</v>
      </c>
      <c r="DD42" s="134">
        <v>83</v>
      </c>
      <c r="DE42" s="134">
        <v>15</v>
      </c>
      <c r="DF42" s="134">
        <v>671</v>
      </c>
      <c r="DG42" s="134">
        <v>4718</v>
      </c>
      <c r="DH42" s="134">
        <v>5389</v>
      </c>
      <c r="DI42" s="134">
        <v>24</v>
      </c>
      <c r="DJ42" s="134">
        <v>3</v>
      </c>
      <c r="DK42" s="134">
        <v>0</v>
      </c>
      <c r="DL42" s="134">
        <v>491</v>
      </c>
      <c r="DM42" s="134">
        <v>10</v>
      </c>
      <c r="DN42" s="134">
        <v>4</v>
      </c>
      <c r="DO42" s="134">
        <v>27</v>
      </c>
      <c r="DP42" s="134">
        <v>505</v>
      </c>
      <c r="DQ42" s="134">
        <v>532</v>
      </c>
      <c r="DR42" s="134">
        <v>0</v>
      </c>
      <c r="DS42" s="134">
        <v>0</v>
      </c>
      <c r="DT42" s="135">
        <v>0</v>
      </c>
      <c r="DV42" s="136"/>
      <c r="DW42" s="137"/>
      <c r="DX42" s="136"/>
      <c r="DY42" s="136"/>
    </row>
    <row r="43" spans="1:129" s="116" customFormat="1">
      <c r="A43" s="133" t="s">
        <v>312</v>
      </c>
      <c r="B43" s="134">
        <v>2849</v>
      </c>
      <c r="C43" s="134">
        <v>1005</v>
      </c>
      <c r="D43" s="134">
        <v>2562</v>
      </c>
      <c r="E43" s="134">
        <v>1382</v>
      </c>
      <c r="F43" s="134">
        <v>1</v>
      </c>
      <c r="G43" s="134">
        <v>35</v>
      </c>
      <c r="H43" s="134">
        <v>36</v>
      </c>
      <c r="I43" s="134">
        <v>1</v>
      </c>
      <c r="J43" s="134">
        <v>1041</v>
      </c>
      <c r="K43" s="134">
        <v>1042</v>
      </c>
      <c r="L43" s="134">
        <v>0</v>
      </c>
      <c r="M43" s="134">
        <v>244</v>
      </c>
      <c r="N43" s="134">
        <v>244</v>
      </c>
      <c r="O43" s="134">
        <v>1</v>
      </c>
      <c r="P43" s="134">
        <v>797</v>
      </c>
      <c r="Q43" s="134">
        <v>798</v>
      </c>
      <c r="R43" s="134">
        <v>0</v>
      </c>
      <c r="S43" s="134">
        <v>59</v>
      </c>
      <c r="T43" s="134">
        <v>59</v>
      </c>
      <c r="U43" s="134">
        <v>0</v>
      </c>
      <c r="V43" s="134">
        <v>138</v>
      </c>
      <c r="W43" s="134">
        <v>138</v>
      </c>
      <c r="X43" s="134">
        <v>38</v>
      </c>
      <c r="Y43" s="134">
        <v>1697</v>
      </c>
      <c r="Z43" s="134">
        <v>1735</v>
      </c>
      <c r="AA43" s="134">
        <v>29</v>
      </c>
      <c r="AB43" s="134">
        <v>624</v>
      </c>
      <c r="AC43" s="134">
        <v>653</v>
      </c>
      <c r="AD43" s="134">
        <v>26</v>
      </c>
      <c r="AE43" s="134">
        <v>480</v>
      </c>
      <c r="AF43" s="134">
        <v>506</v>
      </c>
      <c r="AG43" s="134">
        <v>2</v>
      </c>
      <c r="AH43" s="134">
        <v>92</v>
      </c>
      <c r="AI43" s="134">
        <v>94</v>
      </c>
      <c r="AJ43" s="134">
        <v>1</v>
      </c>
      <c r="AK43" s="134">
        <v>52</v>
      </c>
      <c r="AL43" s="134">
        <v>53</v>
      </c>
      <c r="AM43" s="134">
        <v>9</v>
      </c>
      <c r="AN43" s="134">
        <v>1073</v>
      </c>
      <c r="AO43" s="134">
        <v>1082</v>
      </c>
      <c r="AP43" s="134">
        <v>1924</v>
      </c>
      <c r="AQ43" s="134">
        <v>29286</v>
      </c>
      <c r="AR43" s="134">
        <v>31210</v>
      </c>
      <c r="AS43" s="134">
        <v>1900</v>
      </c>
      <c r="AT43" s="134">
        <v>29209</v>
      </c>
      <c r="AU43" s="134">
        <v>31109</v>
      </c>
      <c r="AV43" s="134">
        <v>24</v>
      </c>
      <c r="AW43" s="134">
        <v>77</v>
      </c>
      <c r="AX43" s="134">
        <v>101</v>
      </c>
      <c r="AY43" s="134">
        <v>124</v>
      </c>
      <c r="AZ43" s="134">
        <v>2431</v>
      </c>
      <c r="BA43" s="134">
        <v>2555</v>
      </c>
      <c r="BB43" s="134">
        <v>38</v>
      </c>
      <c r="BC43" s="134">
        <v>2</v>
      </c>
      <c r="BD43" s="134">
        <v>1</v>
      </c>
      <c r="BE43" s="134">
        <v>1281</v>
      </c>
      <c r="BF43" s="134">
        <v>24</v>
      </c>
      <c r="BG43" s="134">
        <v>36</v>
      </c>
      <c r="BH43" s="134">
        <v>41</v>
      </c>
      <c r="BI43" s="134">
        <v>1341</v>
      </c>
      <c r="BJ43" s="134">
        <v>1382</v>
      </c>
      <c r="BK43" s="134">
        <v>-29</v>
      </c>
      <c r="BL43" s="134">
        <v>29</v>
      </c>
      <c r="BM43" s="134">
        <v>0</v>
      </c>
      <c r="BN43" s="134">
        <v>4</v>
      </c>
      <c r="BO43" s="134">
        <v>58</v>
      </c>
      <c r="BP43" s="134">
        <v>62</v>
      </c>
      <c r="BQ43" s="134">
        <v>16</v>
      </c>
      <c r="BR43" s="134">
        <v>229</v>
      </c>
      <c r="BS43" s="134">
        <v>245</v>
      </c>
      <c r="BT43" s="134">
        <v>92</v>
      </c>
      <c r="BU43" s="134">
        <v>774</v>
      </c>
      <c r="BV43" s="134">
        <v>866</v>
      </c>
      <c r="BW43" s="134">
        <v>2048</v>
      </c>
      <c r="BX43" s="134">
        <v>31717</v>
      </c>
      <c r="BY43" s="134">
        <v>33765</v>
      </c>
      <c r="BZ43" s="134">
        <v>1900</v>
      </c>
      <c r="CA43" s="134">
        <v>30184</v>
      </c>
      <c r="CB43" s="134">
        <v>32084</v>
      </c>
      <c r="CC43" s="134">
        <v>49455</v>
      </c>
      <c r="CD43" s="134">
        <v>102</v>
      </c>
      <c r="CE43" s="134">
        <v>1059</v>
      </c>
      <c r="CF43" s="134">
        <v>135</v>
      </c>
      <c r="CG43" s="134">
        <v>713</v>
      </c>
      <c r="CH43" s="134">
        <v>848</v>
      </c>
      <c r="CI43" s="134">
        <v>1068</v>
      </c>
      <c r="CJ43" s="134">
        <v>46</v>
      </c>
      <c r="CK43" s="134">
        <v>13</v>
      </c>
      <c r="CL43" s="134">
        <v>820</v>
      </c>
      <c r="CM43" s="134">
        <v>833</v>
      </c>
      <c r="CN43" s="134">
        <v>162</v>
      </c>
      <c r="CO43" s="134">
        <v>2565</v>
      </c>
      <c r="CP43" s="134">
        <v>2727</v>
      </c>
      <c r="CQ43" s="134">
        <v>0</v>
      </c>
      <c r="CR43" s="134">
        <v>0</v>
      </c>
      <c r="CS43" s="134">
        <v>0</v>
      </c>
      <c r="CT43" s="134">
        <v>1886</v>
      </c>
      <c r="CU43" s="134">
        <v>29152</v>
      </c>
      <c r="CV43" s="134">
        <v>31038</v>
      </c>
      <c r="CW43" s="134">
        <v>122</v>
      </c>
      <c r="CX43" s="134">
        <v>1033</v>
      </c>
      <c r="CY43" s="134">
        <v>1155</v>
      </c>
      <c r="CZ43" s="134">
        <v>111</v>
      </c>
      <c r="DA43" s="134">
        <v>7</v>
      </c>
      <c r="DB43" s="134">
        <v>1</v>
      </c>
      <c r="DC43" s="134">
        <v>947</v>
      </c>
      <c r="DD43" s="134">
        <v>36</v>
      </c>
      <c r="DE43" s="134">
        <v>24</v>
      </c>
      <c r="DF43" s="134">
        <v>119</v>
      </c>
      <c r="DG43" s="134">
        <v>1007</v>
      </c>
      <c r="DH43" s="134">
        <v>1126</v>
      </c>
      <c r="DI43" s="134">
        <v>3</v>
      </c>
      <c r="DJ43" s="134">
        <v>0</v>
      </c>
      <c r="DK43" s="134">
        <v>0</v>
      </c>
      <c r="DL43" s="134">
        <v>24</v>
      </c>
      <c r="DM43" s="134">
        <v>2</v>
      </c>
      <c r="DN43" s="134">
        <v>0</v>
      </c>
      <c r="DO43" s="134">
        <v>3</v>
      </c>
      <c r="DP43" s="134">
        <v>26</v>
      </c>
      <c r="DQ43" s="134">
        <v>29</v>
      </c>
      <c r="DR43" s="134">
        <v>0</v>
      </c>
      <c r="DS43" s="134">
        <v>2</v>
      </c>
      <c r="DT43" s="135">
        <v>2</v>
      </c>
      <c r="DV43" s="136"/>
      <c r="DW43" s="137"/>
      <c r="DX43" s="136"/>
      <c r="DY43" s="136"/>
    </row>
    <row r="44" spans="1:129" s="116" customFormat="1">
      <c r="A44" s="133" t="s">
        <v>313</v>
      </c>
      <c r="B44" s="134">
        <v>3120</v>
      </c>
      <c r="C44" s="134">
        <v>1065</v>
      </c>
      <c r="D44" s="134">
        <v>3093</v>
      </c>
      <c r="E44" s="134">
        <v>1925</v>
      </c>
      <c r="F44" s="134">
        <v>1</v>
      </c>
      <c r="G44" s="134">
        <v>36</v>
      </c>
      <c r="H44" s="134">
        <v>37</v>
      </c>
      <c r="I44" s="134">
        <v>1</v>
      </c>
      <c r="J44" s="134">
        <v>1038</v>
      </c>
      <c r="K44" s="134">
        <v>1039</v>
      </c>
      <c r="L44" s="134">
        <v>1</v>
      </c>
      <c r="M44" s="134">
        <v>425</v>
      </c>
      <c r="N44" s="134">
        <v>426</v>
      </c>
      <c r="O44" s="134">
        <v>0</v>
      </c>
      <c r="P44" s="134">
        <v>613</v>
      </c>
      <c r="Q44" s="134">
        <v>613</v>
      </c>
      <c r="R44" s="134">
        <v>0</v>
      </c>
      <c r="S44" s="134">
        <v>24</v>
      </c>
      <c r="T44" s="134">
        <v>24</v>
      </c>
      <c r="U44" s="134">
        <v>0</v>
      </c>
      <c r="V44" s="134">
        <v>129</v>
      </c>
      <c r="W44" s="134">
        <v>129</v>
      </c>
      <c r="X44" s="134">
        <v>115</v>
      </c>
      <c r="Y44" s="134">
        <v>2978</v>
      </c>
      <c r="Z44" s="134">
        <v>3093</v>
      </c>
      <c r="AA44" s="134">
        <v>64</v>
      </c>
      <c r="AB44" s="134">
        <v>1167</v>
      </c>
      <c r="AC44" s="134">
        <v>1231</v>
      </c>
      <c r="AD44" s="134">
        <v>60</v>
      </c>
      <c r="AE44" s="134">
        <v>1076</v>
      </c>
      <c r="AF44" s="134">
        <v>1136</v>
      </c>
      <c r="AG44" s="134">
        <v>3</v>
      </c>
      <c r="AH44" s="134">
        <v>50</v>
      </c>
      <c r="AI44" s="134">
        <v>53</v>
      </c>
      <c r="AJ44" s="134">
        <v>1</v>
      </c>
      <c r="AK44" s="134">
        <v>41</v>
      </c>
      <c r="AL44" s="134">
        <v>42</v>
      </c>
      <c r="AM44" s="134">
        <v>51</v>
      </c>
      <c r="AN44" s="134">
        <v>1811</v>
      </c>
      <c r="AO44" s="134">
        <v>1862</v>
      </c>
      <c r="AP44" s="134">
        <v>5971</v>
      </c>
      <c r="AQ44" s="134">
        <v>38255</v>
      </c>
      <c r="AR44" s="134">
        <v>44226</v>
      </c>
      <c r="AS44" s="134">
        <v>5972</v>
      </c>
      <c r="AT44" s="134">
        <v>38255</v>
      </c>
      <c r="AU44" s="134">
        <v>44227</v>
      </c>
      <c r="AV44" s="134">
        <v>-1</v>
      </c>
      <c r="AW44" s="134">
        <v>0</v>
      </c>
      <c r="AX44" s="134">
        <v>-1</v>
      </c>
      <c r="AY44" s="134">
        <v>338</v>
      </c>
      <c r="AZ44" s="134">
        <v>3170</v>
      </c>
      <c r="BA44" s="134">
        <v>3508</v>
      </c>
      <c r="BB44" s="134">
        <v>144</v>
      </c>
      <c r="BC44" s="134">
        <v>3</v>
      </c>
      <c r="BD44" s="134">
        <v>0</v>
      </c>
      <c r="BE44" s="134">
        <v>1746</v>
      </c>
      <c r="BF44" s="134">
        <v>27</v>
      </c>
      <c r="BG44" s="134">
        <v>5</v>
      </c>
      <c r="BH44" s="134">
        <v>147</v>
      </c>
      <c r="BI44" s="134">
        <v>1778</v>
      </c>
      <c r="BJ44" s="134">
        <v>1925</v>
      </c>
      <c r="BK44" s="134">
        <v>-31</v>
      </c>
      <c r="BL44" s="134">
        <v>31</v>
      </c>
      <c r="BM44" s="134">
        <v>0</v>
      </c>
      <c r="BN44" s="134">
        <v>27</v>
      </c>
      <c r="BO44" s="134">
        <v>125</v>
      </c>
      <c r="BP44" s="134">
        <v>152</v>
      </c>
      <c r="BQ44" s="134">
        <v>47</v>
      </c>
      <c r="BR44" s="134">
        <v>528</v>
      </c>
      <c r="BS44" s="134">
        <v>575</v>
      </c>
      <c r="BT44" s="134">
        <v>148</v>
      </c>
      <c r="BU44" s="134">
        <v>708</v>
      </c>
      <c r="BV44" s="134">
        <v>856</v>
      </c>
      <c r="BW44" s="134">
        <v>6309</v>
      </c>
      <c r="BX44" s="134">
        <v>41425</v>
      </c>
      <c r="BY44" s="134">
        <v>47734</v>
      </c>
      <c r="BZ44" s="134">
        <v>6253</v>
      </c>
      <c r="CA44" s="134">
        <v>40888</v>
      </c>
      <c r="CB44" s="134">
        <v>47141</v>
      </c>
      <c r="CC44" s="134">
        <v>104227</v>
      </c>
      <c r="CD44" s="134">
        <v>38</v>
      </c>
      <c r="CE44" s="134">
        <v>547</v>
      </c>
      <c r="CF44" s="134">
        <v>54</v>
      </c>
      <c r="CG44" s="134">
        <v>412</v>
      </c>
      <c r="CH44" s="134">
        <v>466</v>
      </c>
      <c r="CI44" s="134">
        <v>160</v>
      </c>
      <c r="CJ44" s="134">
        <v>12</v>
      </c>
      <c r="CK44" s="134">
        <v>2</v>
      </c>
      <c r="CL44" s="134">
        <v>125</v>
      </c>
      <c r="CM44" s="134">
        <v>127</v>
      </c>
      <c r="CN44" s="134">
        <v>364</v>
      </c>
      <c r="CO44" s="134">
        <v>3546</v>
      </c>
      <c r="CP44" s="134">
        <v>3910</v>
      </c>
      <c r="CQ44" s="134">
        <v>0</v>
      </c>
      <c r="CR44" s="134">
        <v>4</v>
      </c>
      <c r="CS44" s="134">
        <v>4</v>
      </c>
      <c r="CT44" s="134">
        <v>5945</v>
      </c>
      <c r="CU44" s="134">
        <v>37879</v>
      </c>
      <c r="CV44" s="134">
        <v>43824</v>
      </c>
      <c r="CW44" s="134">
        <v>309</v>
      </c>
      <c r="CX44" s="134">
        <v>1573</v>
      </c>
      <c r="CY44" s="134">
        <v>1882</v>
      </c>
      <c r="CZ44" s="134">
        <v>306</v>
      </c>
      <c r="DA44" s="134">
        <v>2</v>
      </c>
      <c r="DB44" s="134">
        <v>0</v>
      </c>
      <c r="DC44" s="134">
        <v>1540</v>
      </c>
      <c r="DD44" s="134">
        <v>14</v>
      </c>
      <c r="DE44" s="134">
        <v>1</v>
      </c>
      <c r="DF44" s="134">
        <v>308</v>
      </c>
      <c r="DG44" s="134">
        <v>1555</v>
      </c>
      <c r="DH44" s="134">
        <v>1863</v>
      </c>
      <c r="DI44" s="134">
        <v>1</v>
      </c>
      <c r="DJ44" s="134">
        <v>0</v>
      </c>
      <c r="DK44" s="134">
        <v>0</v>
      </c>
      <c r="DL44" s="134">
        <v>17</v>
      </c>
      <c r="DM44" s="134">
        <v>1</v>
      </c>
      <c r="DN44" s="134">
        <v>0</v>
      </c>
      <c r="DO44" s="134">
        <v>1</v>
      </c>
      <c r="DP44" s="134">
        <v>18</v>
      </c>
      <c r="DQ44" s="134">
        <v>19</v>
      </c>
      <c r="DR44" s="134">
        <v>0</v>
      </c>
      <c r="DS44" s="134">
        <v>0</v>
      </c>
      <c r="DT44" s="135">
        <v>0</v>
      </c>
      <c r="DV44" s="136"/>
      <c r="DW44" s="137"/>
      <c r="DX44" s="136"/>
      <c r="DY44" s="136"/>
    </row>
    <row r="45" spans="1:129" s="116" customFormat="1">
      <c r="A45" s="133" t="s">
        <v>314</v>
      </c>
      <c r="B45" s="134">
        <v>775</v>
      </c>
      <c r="C45" s="134">
        <v>275</v>
      </c>
      <c r="D45" s="134">
        <v>788</v>
      </c>
      <c r="E45" s="134">
        <v>409</v>
      </c>
      <c r="F45" s="134">
        <v>2</v>
      </c>
      <c r="G45" s="134">
        <v>17</v>
      </c>
      <c r="H45" s="134">
        <v>19</v>
      </c>
      <c r="I45" s="134">
        <v>0</v>
      </c>
      <c r="J45" s="134">
        <v>254</v>
      </c>
      <c r="K45" s="134">
        <v>254</v>
      </c>
      <c r="L45" s="134">
        <v>0</v>
      </c>
      <c r="M45" s="134">
        <v>71</v>
      </c>
      <c r="N45" s="134">
        <v>71</v>
      </c>
      <c r="O45" s="134">
        <v>0</v>
      </c>
      <c r="P45" s="134">
        <v>183</v>
      </c>
      <c r="Q45" s="134">
        <v>183</v>
      </c>
      <c r="R45" s="134">
        <v>0</v>
      </c>
      <c r="S45" s="134">
        <v>12</v>
      </c>
      <c r="T45" s="134">
        <v>12</v>
      </c>
      <c r="U45" s="134">
        <v>0</v>
      </c>
      <c r="V45" s="134">
        <v>125</v>
      </c>
      <c r="W45" s="134">
        <v>125</v>
      </c>
      <c r="X45" s="134">
        <v>20</v>
      </c>
      <c r="Y45" s="134">
        <v>321</v>
      </c>
      <c r="Z45" s="134">
        <v>341</v>
      </c>
      <c r="AA45" s="134">
        <v>12</v>
      </c>
      <c r="AB45" s="134">
        <v>219</v>
      </c>
      <c r="AC45" s="134">
        <v>231</v>
      </c>
      <c r="AD45" s="134">
        <v>12</v>
      </c>
      <c r="AE45" s="134">
        <v>209</v>
      </c>
      <c r="AF45" s="134">
        <v>221</v>
      </c>
      <c r="AG45" s="134">
        <v>0</v>
      </c>
      <c r="AH45" s="134">
        <v>8</v>
      </c>
      <c r="AI45" s="134">
        <v>8</v>
      </c>
      <c r="AJ45" s="134">
        <v>0</v>
      </c>
      <c r="AK45" s="134">
        <v>2</v>
      </c>
      <c r="AL45" s="134">
        <v>2</v>
      </c>
      <c r="AM45" s="134">
        <v>8</v>
      </c>
      <c r="AN45" s="134">
        <v>102</v>
      </c>
      <c r="AO45" s="134">
        <v>110</v>
      </c>
      <c r="AP45" s="134">
        <v>698</v>
      </c>
      <c r="AQ45" s="134">
        <v>7824</v>
      </c>
      <c r="AR45" s="134">
        <v>8522</v>
      </c>
      <c r="AS45" s="134">
        <v>698</v>
      </c>
      <c r="AT45" s="134">
        <v>7824</v>
      </c>
      <c r="AU45" s="134">
        <v>8522</v>
      </c>
      <c r="AV45" s="134">
        <v>0</v>
      </c>
      <c r="AW45" s="134">
        <v>0</v>
      </c>
      <c r="AX45" s="134">
        <v>0</v>
      </c>
      <c r="AY45" s="134">
        <v>79</v>
      </c>
      <c r="AZ45" s="134">
        <v>782</v>
      </c>
      <c r="BA45" s="134">
        <v>861</v>
      </c>
      <c r="BB45" s="134">
        <v>19</v>
      </c>
      <c r="BC45" s="134">
        <v>0</v>
      </c>
      <c r="BD45" s="134">
        <v>0</v>
      </c>
      <c r="BE45" s="134">
        <v>388</v>
      </c>
      <c r="BF45" s="134">
        <v>0</v>
      </c>
      <c r="BG45" s="134">
        <v>2</v>
      </c>
      <c r="BH45" s="134">
        <v>19</v>
      </c>
      <c r="BI45" s="134">
        <v>390</v>
      </c>
      <c r="BJ45" s="134">
        <v>409</v>
      </c>
      <c r="BK45" s="134">
        <v>-3</v>
      </c>
      <c r="BL45" s="134">
        <v>3</v>
      </c>
      <c r="BM45" s="134">
        <v>0</v>
      </c>
      <c r="BN45" s="134">
        <v>3</v>
      </c>
      <c r="BO45" s="134">
        <v>15</v>
      </c>
      <c r="BP45" s="134">
        <v>18</v>
      </c>
      <c r="BQ45" s="134">
        <v>8</v>
      </c>
      <c r="BR45" s="134">
        <v>123</v>
      </c>
      <c r="BS45" s="134">
        <v>131</v>
      </c>
      <c r="BT45" s="134">
        <v>52</v>
      </c>
      <c r="BU45" s="134">
        <v>251</v>
      </c>
      <c r="BV45" s="134">
        <v>303</v>
      </c>
      <c r="BW45" s="134">
        <v>777</v>
      </c>
      <c r="BX45" s="134">
        <v>8606</v>
      </c>
      <c r="BY45" s="134">
        <v>9383</v>
      </c>
      <c r="BZ45" s="134">
        <v>772</v>
      </c>
      <c r="CA45" s="134">
        <v>8572</v>
      </c>
      <c r="CB45" s="134">
        <v>9344</v>
      </c>
      <c r="CC45" s="134">
        <v>16546</v>
      </c>
      <c r="CD45" s="134">
        <v>0</v>
      </c>
      <c r="CE45" s="134">
        <v>33</v>
      </c>
      <c r="CF45" s="134">
        <v>5</v>
      </c>
      <c r="CG45" s="134">
        <v>25</v>
      </c>
      <c r="CH45" s="134">
        <v>30</v>
      </c>
      <c r="CI45" s="134">
        <v>8</v>
      </c>
      <c r="CJ45" s="134">
        <v>2</v>
      </c>
      <c r="CK45" s="134">
        <v>0</v>
      </c>
      <c r="CL45" s="134">
        <v>9</v>
      </c>
      <c r="CM45" s="134">
        <v>9</v>
      </c>
      <c r="CN45" s="134">
        <v>52</v>
      </c>
      <c r="CO45" s="134">
        <v>845</v>
      </c>
      <c r="CP45" s="134">
        <v>897</v>
      </c>
      <c r="CQ45" s="134">
        <v>0</v>
      </c>
      <c r="CR45" s="134">
        <v>0</v>
      </c>
      <c r="CS45" s="134">
        <v>0</v>
      </c>
      <c r="CT45" s="134">
        <v>725</v>
      </c>
      <c r="CU45" s="134">
        <v>7761</v>
      </c>
      <c r="CV45" s="134">
        <v>8486</v>
      </c>
      <c r="CW45" s="134">
        <v>65</v>
      </c>
      <c r="CX45" s="134">
        <v>406</v>
      </c>
      <c r="CY45" s="134">
        <v>471</v>
      </c>
      <c r="CZ45" s="134">
        <v>63</v>
      </c>
      <c r="DA45" s="134">
        <v>1</v>
      </c>
      <c r="DB45" s="134">
        <v>0</v>
      </c>
      <c r="DC45" s="134">
        <v>363</v>
      </c>
      <c r="DD45" s="134">
        <v>3</v>
      </c>
      <c r="DE45" s="134">
        <v>0</v>
      </c>
      <c r="DF45" s="134">
        <v>64</v>
      </c>
      <c r="DG45" s="134">
        <v>366</v>
      </c>
      <c r="DH45" s="134">
        <v>430</v>
      </c>
      <c r="DI45" s="134">
        <v>1</v>
      </c>
      <c r="DJ45" s="134">
        <v>0</v>
      </c>
      <c r="DK45" s="134">
        <v>0</v>
      </c>
      <c r="DL45" s="134">
        <v>40</v>
      </c>
      <c r="DM45" s="134">
        <v>0</v>
      </c>
      <c r="DN45" s="134">
        <v>0</v>
      </c>
      <c r="DO45" s="134">
        <v>1</v>
      </c>
      <c r="DP45" s="134">
        <v>40</v>
      </c>
      <c r="DQ45" s="134">
        <v>41</v>
      </c>
      <c r="DR45" s="134">
        <v>0</v>
      </c>
      <c r="DS45" s="134">
        <v>0</v>
      </c>
      <c r="DT45" s="135">
        <v>0</v>
      </c>
      <c r="DV45" s="136"/>
      <c r="DW45" s="137"/>
      <c r="DX45" s="136"/>
      <c r="DY45" s="136"/>
    </row>
    <row r="46" spans="1:129" s="116" customFormat="1">
      <c r="A46" s="133" t="s">
        <v>315</v>
      </c>
      <c r="B46" s="134">
        <v>1024</v>
      </c>
      <c r="C46" s="134">
        <v>329</v>
      </c>
      <c r="D46" s="134">
        <v>992</v>
      </c>
      <c r="E46" s="134">
        <v>465</v>
      </c>
      <c r="F46" s="134">
        <v>0</v>
      </c>
      <c r="G46" s="134">
        <v>18</v>
      </c>
      <c r="H46" s="134">
        <v>18</v>
      </c>
      <c r="I46" s="134">
        <v>0</v>
      </c>
      <c r="J46" s="134">
        <v>471</v>
      </c>
      <c r="K46" s="134">
        <v>471</v>
      </c>
      <c r="L46" s="134">
        <v>0</v>
      </c>
      <c r="M46" s="134">
        <v>167</v>
      </c>
      <c r="N46" s="134">
        <v>167</v>
      </c>
      <c r="O46" s="134">
        <v>0</v>
      </c>
      <c r="P46" s="134">
        <v>304</v>
      </c>
      <c r="Q46" s="134">
        <v>304</v>
      </c>
      <c r="R46" s="134">
        <v>0</v>
      </c>
      <c r="S46" s="134">
        <v>45</v>
      </c>
      <c r="T46" s="134">
        <v>45</v>
      </c>
      <c r="U46" s="134">
        <v>0</v>
      </c>
      <c r="V46" s="134">
        <v>56</v>
      </c>
      <c r="W46" s="134">
        <v>56</v>
      </c>
      <c r="X46" s="134">
        <v>6</v>
      </c>
      <c r="Y46" s="134">
        <v>986</v>
      </c>
      <c r="Z46" s="134">
        <v>992</v>
      </c>
      <c r="AA46" s="134">
        <v>2</v>
      </c>
      <c r="AB46" s="134">
        <v>261</v>
      </c>
      <c r="AC46" s="134">
        <v>263</v>
      </c>
      <c r="AD46" s="134">
        <v>2</v>
      </c>
      <c r="AE46" s="134">
        <v>239</v>
      </c>
      <c r="AF46" s="134">
        <v>241</v>
      </c>
      <c r="AG46" s="134">
        <v>0</v>
      </c>
      <c r="AH46" s="134">
        <v>16</v>
      </c>
      <c r="AI46" s="134">
        <v>16</v>
      </c>
      <c r="AJ46" s="134">
        <v>0</v>
      </c>
      <c r="AK46" s="134">
        <v>6</v>
      </c>
      <c r="AL46" s="134">
        <v>6</v>
      </c>
      <c r="AM46" s="134">
        <v>4</v>
      </c>
      <c r="AN46" s="134">
        <v>725</v>
      </c>
      <c r="AO46" s="134">
        <v>729</v>
      </c>
      <c r="AP46" s="134">
        <v>579</v>
      </c>
      <c r="AQ46" s="134">
        <v>11559</v>
      </c>
      <c r="AR46" s="134">
        <v>12138</v>
      </c>
      <c r="AS46" s="134">
        <v>602</v>
      </c>
      <c r="AT46" s="134">
        <v>11595</v>
      </c>
      <c r="AU46" s="134">
        <v>12197</v>
      </c>
      <c r="AV46" s="134">
        <v>-23</v>
      </c>
      <c r="AW46" s="134">
        <v>-36</v>
      </c>
      <c r="AX46" s="134">
        <v>-59</v>
      </c>
      <c r="AY46" s="134">
        <v>43</v>
      </c>
      <c r="AZ46" s="134">
        <v>1056</v>
      </c>
      <c r="BA46" s="134">
        <v>1099</v>
      </c>
      <c r="BB46" s="134">
        <v>3</v>
      </c>
      <c r="BC46" s="134">
        <v>0</v>
      </c>
      <c r="BD46" s="134">
        <v>0</v>
      </c>
      <c r="BE46" s="134">
        <v>445</v>
      </c>
      <c r="BF46" s="134">
        <v>11</v>
      </c>
      <c r="BG46" s="134">
        <v>6</v>
      </c>
      <c r="BH46" s="134">
        <v>3</v>
      </c>
      <c r="BI46" s="134">
        <v>462</v>
      </c>
      <c r="BJ46" s="134">
        <v>465</v>
      </c>
      <c r="BK46" s="134">
        <v>-16</v>
      </c>
      <c r="BL46" s="134">
        <v>16</v>
      </c>
      <c r="BM46" s="134">
        <v>0</v>
      </c>
      <c r="BN46" s="134">
        <v>25</v>
      </c>
      <c r="BO46" s="134">
        <v>25</v>
      </c>
      <c r="BP46" s="134">
        <v>50</v>
      </c>
      <c r="BQ46" s="134">
        <v>6</v>
      </c>
      <c r="BR46" s="134">
        <v>150</v>
      </c>
      <c r="BS46" s="134">
        <v>156</v>
      </c>
      <c r="BT46" s="134">
        <v>25</v>
      </c>
      <c r="BU46" s="134">
        <v>403</v>
      </c>
      <c r="BV46" s="134">
        <v>428</v>
      </c>
      <c r="BW46" s="134">
        <v>622</v>
      </c>
      <c r="BX46" s="134">
        <v>12615</v>
      </c>
      <c r="BY46" s="134">
        <v>13237</v>
      </c>
      <c r="BZ46" s="134">
        <v>603</v>
      </c>
      <c r="CA46" s="134">
        <v>12111</v>
      </c>
      <c r="CB46" s="134">
        <v>12714</v>
      </c>
      <c r="CC46" s="134">
        <v>24647</v>
      </c>
      <c r="CD46" s="134">
        <v>41</v>
      </c>
      <c r="CE46" s="134">
        <v>491</v>
      </c>
      <c r="CF46" s="134">
        <v>19</v>
      </c>
      <c r="CG46" s="134">
        <v>380</v>
      </c>
      <c r="CH46" s="134">
        <v>399</v>
      </c>
      <c r="CI46" s="134">
        <v>155</v>
      </c>
      <c r="CJ46" s="134">
        <v>11</v>
      </c>
      <c r="CK46" s="134">
        <v>0</v>
      </c>
      <c r="CL46" s="134">
        <v>124</v>
      </c>
      <c r="CM46" s="134">
        <v>124</v>
      </c>
      <c r="CN46" s="134">
        <v>34</v>
      </c>
      <c r="CO46" s="134">
        <v>1034</v>
      </c>
      <c r="CP46" s="134">
        <v>1068</v>
      </c>
      <c r="CQ46" s="134">
        <v>0</v>
      </c>
      <c r="CR46" s="134">
        <v>0</v>
      </c>
      <c r="CS46" s="134">
        <v>0</v>
      </c>
      <c r="CT46" s="134">
        <v>588</v>
      </c>
      <c r="CU46" s="134">
        <v>11581</v>
      </c>
      <c r="CV46" s="134">
        <v>12169</v>
      </c>
      <c r="CW46" s="134">
        <v>39</v>
      </c>
      <c r="CX46" s="134">
        <v>487</v>
      </c>
      <c r="CY46" s="134">
        <v>526</v>
      </c>
      <c r="CZ46" s="134">
        <v>36</v>
      </c>
      <c r="DA46" s="134">
        <v>3</v>
      </c>
      <c r="DB46" s="134">
        <v>0</v>
      </c>
      <c r="DC46" s="134">
        <v>444</v>
      </c>
      <c r="DD46" s="134">
        <v>12</v>
      </c>
      <c r="DE46" s="134">
        <v>6</v>
      </c>
      <c r="DF46" s="134">
        <v>39</v>
      </c>
      <c r="DG46" s="134">
        <v>462</v>
      </c>
      <c r="DH46" s="134">
        <v>501</v>
      </c>
      <c r="DI46" s="134">
        <v>0</v>
      </c>
      <c r="DJ46" s="134">
        <v>0</v>
      </c>
      <c r="DK46" s="134">
        <v>0</v>
      </c>
      <c r="DL46" s="134">
        <v>21</v>
      </c>
      <c r="DM46" s="134">
        <v>3</v>
      </c>
      <c r="DN46" s="134">
        <v>1</v>
      </c>
      <c r="DO46" s="134">
        <v>0</v>
      </c>
      <c r="DP46" s="134">
        <v>25</v>
      </c>
      <c r="DQ46" s="134">
        <v>25</v>
      </c>
      <c r="DR46" s="134">
        <v>0</v>
      </c>
      <c r="DS46" s="134">
        <v>0</v>
      </c>
      <c r="DT46" s="135">
        <v>0</v>
      </c>
      <c r="DV46" s="136"/>
      <c r="DW46" s="137"/>
      <c r="DX46" s="136"/>
      <c r="DY46" s="136"/>
    </row>
    <row r="47" spans="1:129" s="116" customFormat="1">
      <c r="A47" s="133" t="s">
        <v>316</v>
      </c>
      <c r="B47" s="134">
        <v>2304</v>
      </c>
      <c r="C47" s="134">
        <v>914</v>
      </c>
      <c r="D47" s="134">
        <v>2068</v>
      </c>
      <c r="E47" s="134">
        <v>1326</v>
      </c>
      <c r="F47" s="134">
        <v>2</v>
      </c>
      <c r="G47" s="134">
        <v>100</v>
      </c>
      <c r="H47" s="134">
        <v>102</v>
      </c>
      <c r="I47" s="134">
        <v>0</v>
      </c>
      <c r="J47" s="134">
        <v>653</v>
      </c>
      <c r="K47" s="134">
        <v>653</v>
      </c>
      <c r="L47" s="134">
        <v>0</v>
      </c>
      <c r="M47" s="134">
        <v>177</v>
      </c>
      <c r="N47" s="134">
        <v>177</v>
      </c>
      <c r="O47" s="134">
        <v>0</v>
      </c>
      <c r="P47" s="134">
        <v>476</v>
      </c>
      <c r="Q47" s="134">
        <v>476</v>
      </c>
      <c r="R47" s="134">
        <v>0</v>
      </c>
      <c r="S47" s="134">
        <v>91</v>
      </c>
      <c r="T47" s="134">
        <v>91</v>
      </c>
      <c r="U47" s="134">
        <v>0</v>
      </c>
      <c r="V47" s="134">
        <v>89</v>
      </c>
      <c r="W47" s="134">
        <v>89</v>
      </c>
      <c r="X47" s="134">
        <v>45</v>
      </c>
      <c r="Y47" s="134">
        <v>629</v>
      </c>
      <c r="Z47" s="134">
        <v>674</v>
      </c>
      <c r="AA47" s="134">
        <v>29</v>
      </c>
      <c r="AB47" s="134">
        <v>324</v>
      </c>
      <c r="AC47" s="134">
        <v>353</v>
      </c>
      <c r="AD47" s="134">
        <v>24</v>
      </c>
      <c r="AE47" s="134">
        <v>281</v>
      </c>
      <c r="AF47" s="134">
        <v>305</v>
      </c>
      <c r="AG47" s="134">
        <v>4</v>
      </c>
      <c r="AH47" s="134">
        <v>34</v>
      </c>
      <c r="AI47" s="134">
        <v>38</v>
      </c>
      <c r="AJ47" s="134">
        <v>1</v>
      </c>
      <c r="AK47" s="134">
        <v>9</v>
      </c>
      <c r="AL47" s="134">
        <v>10</v>
      </c>
      <c r="AM47" s="134">
        <v>16</v>
      </c>
      <c r="AN47" s="134">
        <v>305</v>
      </c>
      <c r="AO47" s="134">
        <v>321</v>
      </c>
      <c r="AP47" s="134">
        <v>1732</v>
      </c>
      <c r="AQ47" s="134">
        <v>14948</v>
      </c>
      <c r="AR47" s="134">
        <v>16680</v>
      </c>
      <c r="AS47" s="134">
        <v>1677</v>
      </c>
      <c r="AT47" s="134">
        <v>15031</v>
      </c>
      <c r="AU47" s="134">
        <v>16708</v>
      </c>
      <c r="AV47" s="134">
        <v>55</v>
      </c>
      <c r="AW47" s="134">
        <v>-83</v>
      </c>
      <c r="AX47" s="134">
        <v>-28</v>
      </c>
      <c r="AY47" s="134">
        <v>145</v>
      </c>
      <c r="AZ47" s="134">
        <v>1921</v>
      </c>
      <c r="BA47" s="134">
        <v>2066</v>
      </c>
      <c r="BB47" s="134">
        <v>53</v>
      </c>
      <c r="BC47" s="134">
        <v>0</v>
      </c>
      <c r="BD47" s="134">
        <v>0</v>
      </c>
      <c r="BE47" s="134">
        <v>1251</v>
      </c>
      <c r="BF47" s="134">
        <v>13</v>
      </c>
      <c r="BG47" s="134">
        <v>9</v>
      </c>
      <c r="BH47" s="134">
        <v>53</v>
      </c>
      <c r="BI47" s="134">
        <v>1273</v>
      </c>
      <c r="BJ47" s="134">
        <v>1326</v>
      </c>
      <c r="BK47" s="134">
        <v>21</v>
      </c>
      <c r="BL47" s="134">
        <v>-21</v>
      </c>
      <c r="BM47" s="134">
        <v>0</v>
      </c>
      <c r="BN47" s="134">
        <v>3</v>
      </c>
      <c r="BO47" s="134">
        <v>26</v>
      </c>
      <c r="BP47" s="134">
        <v>29</v>
      </c>
      <c r="BQ47" s="134">
        <v>7</v>
      </c>
      <c r="BR47" s="134">
        <v>156</v>
      </c>
      <c r="BS47" s="134">
        <v>163</v>
      </c>
      <c r="BT47" s="134">
        <v>61</v>
      </c>
      <c r="BU47" s="134">
        <v>487</v>
      </c>
      <c r="BV47" s="134">
        <v>548</v>
      </c>
      <c r="BW47" s="134">
        <v>1877</v>
      </c>
      <c r="BX47" s="134">
        <v>16869</v>
      </c>
      <c r="BY47" s="134">
        <v>18746</v>
      </c>
      <c r="BZ47" s="134">
        <v>1861</v>
      </c>
      <c r="CA47" s="134">
        <v>16689</v>
      </c>
      <c r="CB47" s="134">
        <v>18550</v>
      </c>
      <c r="CC47" s="134">
        <v>36731</v>
      </c>
      <c r="CD47" s="134">
        <v>16</v>
      </c>
      <c r="CE47" s="134">
        <v>124</v>
      </c>
      <c r="CF47" s="134">
        <v>16</v>
      </c>
      <c r="CG47" s="134">
        <v>121</v>
      </c>
      <c r="CH47" s="134">
        <v>137</v>
      </c>
      <c r="CI47" s="134">
        <v>0</v>
      </c>
      <c r="CJ47" s="134">
        <v>67</v>
      </c>
      <c r="CK47" s="134">
        <v>0</v>
      </c>
      <c r="CL47" s="134">
        <v>59</v>
      </c>
      <c r="CM47" s="134">
        <v>59</v>
      </c>
      <c r="CN47" s="134">
        <v>134</v>
      </c>
      <c r="CO47" s="134">
        <v>1424</v>
      </c>
      <c r="CP47" s="134">
        <v>1558</v>
      </c>
      <c r="CQ47" s="134">
        <v>0</v>
      </c>
      <c r="CR47" s="134">
        <v>0</v>
      </c>
      <c r="CS47" s="134">
        <v>0</v>
      </c>
      <c r="CT47" s="134">
        <v>1743</v>
      </c>
      <c r="CU47" s="134">
        <v>15445</v>
      </c>
      <c r="CV47" s="134">
        <v>17188</v>
      </c>
      <c r="CW47" s="134">
        <v>140</v>
      </c>
      <c r="CX47" s="134">
        <v>891</v>
      </c>
      <c r="CY47" s="134">
        <v>1031</v>
      </c>
      <c r="CZ47" s="134">
        <v>136</v>
      </c>
      <c r="DA47" s="134">
        <v>1</v>
      </c>
      <c r="DB47" s="134">
        <v>0</v>
      </c>
      <c r="DC47" s="134">
        <v>849</v>
      </c>
      <c r="DD47" s="134">
        <v>8</v>
      </c>
      <c r="DE47" s="134">
        <v>2</v>
      </c>
      <c r="DF47" s="134">
        <v>137</v>
      </c>
      <c r="DG47" s="134">
        <v>859</v>
      </c>
      <c r="DH47" s="134">
        <v>996</v>
      </c>
      <c r="DI47" s="134">
        <v>3</v>
      </c>
      <c r="DJ47" s="134">
        <v>0</v>
      </c>
      <c r="DK47" s="134">
        <v>0</v>
      </c>
      <c r="DL47" s="134">
        <v>32</v>
      </c>
      <c r="DM47" s="134">
        <v>0</v>
      </c>
      <c r="DN47" s="134">
        <v>0</v>
      </c>
      <c r="DO47" s="134">
        <v>3</v>
      </c>
      <c r="DP47" s="134">
        <v>32</v>
      </c>
      <c r="DQ47" s="134">
        <v>35</v>
      </c>
      <c r="DR47" s="134">
        <v>0</v>
      </c>
      <c r="DS47" s="134">
        <v>0</v>
      </c>
      <c r="DT47" s="135">
        <v>0</v>
      </c>
      <c r="DV47" s="136"/>
      <c r="DW47" s="137"/>
      <c r="DX47" s="136"/>
      <c r="DY47" s="136"/>
    </row>
    <row r="48" spans="1:129" s="137" customFormat="1">
      <c r="A48" s="133" t="s">
        <v>317</v>
      </c>
      <c r="B48" s="134">
        <v>2769</v>
      </c>
      <c r="C48" s="134">
        <v>686</v>
      </c>
      <c r="D48" s="134">
        <v>2775</v>
      </c>
      <c r="E48" s="134">
        <v>1630</v>
      </c>
      <c r="F48" s="134">
        <v>0</v>
      </c>
      <c r="G48" s="134">
        <v>23</v>
      </c>
      <c r="H48" s="134">
        <v>23</v>
      </c>
      <c r="I48" s="134">
        <v>0</v>
      </c>
      <c r="J48" s="134">
        <v>887</v>
      </c>
      <c r="K48" s="134">
        <v>887</v>
      </c>
      <c r="L48" s="134">
        <v>0</v>
      </c>
      <c r="M48" s="134">
        <v>282</v>
      </c>
      <c r="N48" s="134">
        <v>282</v>
      </c>
      <c r="O48" s="134">
        <v>0</v>
      </c>
      <c r="P48" s="134">
        <v>605</v>
      </c>
      <c r="Q48" s="134">
        <v>605</v>
      </c>
      <c r="R48" s="134">
        <v>0</v>
      </c>
      <c r="S48" s="134">
        <v>34</v>
      </c>
      <c r="T48" s="134">
        <v>34</v>
      </c>
      <c r="U48" s="134">
        <v>0</v>
      </c>
      <c r="V48" s="134">
        <v>258</v>
      </c>
      <c r="W48" s="134">
        <v>258</v>
      </c>
      <c r="X48" s="134">
        <v>27</v>
      </c>
      <c r="Y48" s="134">
        <v>1324</v>
      </c>
      <c r="Z48" s="134">
        <v>1351</v>
      </c>
      <c r="AA48" s="134">
        <v>12</v>
      </c>
      <c r="AB48" s="134">
        <v>463</v>
      </c>
      <c r="AC48" s="134">
        <v>475</v>
      </c>
      <c r="AD48" s="134">
        <v>12</v>
      </c>
      <c r="AE48" s="134">
        <v>441</v>
      </c>
      <c r="AF48" s="134">
        <v>453</v>
      </c>
      <c r="AG48" s="134">
        <v>0</v>
      </c>
      <c r="AH48" s="134">
        <v>17</v>
      </c>
      <c r="AI48" s="134">
        <v>17</v>
      </c>
      <c r="AJ48" s="134">
        <v>0</v>
      </c>
      <c r="AK48" s="134">
        <v>5</v>
      </c>
      <c r="AL48" s="134">
        <v>5</v>
      </c>
      <c r="AM48" s="134">
        <v>15</v>
      </c>
      <c r="AN48" s="134">
        <v>861</v>
      </c>
      <c r="AO48" s="134">
        <v>876</v>
      </c>
      <c r="AP48" s="134">
        <v>3557</v>
      </c>
      <c r="AQ48" s="134">
        <v>39810</v>
      </c>
      <c r="AR48" s="134">
        <v>43367</v>
      </c>
      <c r="AS48" s="134">
        <v>3488</v>
      </c>
      <c r="AT48" s="134">
        <v>39653</v>
      </c>
      <c r="AU48" s="134">
        <v>43141</v>
      </c>
      <c r="AV48" s="134">
        <v>69</v>
      </c>
      <c r="AW48" s="134">
        <v>157</v>
      </c>
      <c r="AX48" s="134">
        <v>226</v>
      </c>
      <c r="AY48" s="134">
        <v>122</v>
      </c>
      <c r="AZ48" s="134">
        <v>3002</v>
      </c>
      <c r="BA48" s="134">
        <v>3124</v>
      </c>
      <c r="BB48" s="134">
        <v>109</v>
      </c>
      <c r="BC48" s="134">
        <v>3</v>
      </c>
      <c r="BD48" s="134">
        <v>0</v>
      </c>
      <c r="BE48" s="134">
        <v>1451</v>
      </c>
      <c r="BF48" s="134">
        <v>27</v>
      </c>
      <c r="BG48" s="134">
        <v>40</v>
      </c>
      <c r="BH48" s="134">
        <v>112</v>
      </c>
      <c r="BI48" s="134">
        <v>1518</v>
      </c>
      <c r="BJ48" s="134">
        <v>1630</v>
      </c>
      <c r="BK48" s="134">
        <v>-108</v>
      </c>
      <c r="BL48" s="134">
        <v>108</v>
      </c>
      <c r="BM48" s="134">
        <v>0</v>
      </c>
      <c r="BN48" s="134">
        <v>6</v>
      </c>
      <c r="BO48" s="134">
        <v>55</v>
      </c>
      <c r="BP48" s="134">
        <v>61</v>
      </c>
      <c r="BQ48" s="134">
        <v>6</v>
      </c>
      <c r="BR48" s="134">
        <v>81</v>
      </c>
      <c r="BS48" s="134">
        <v>87</v>
      </c>
      <c r="BT48" s="134">
        <v>106</v>
      </c>
      <c r="BU48" s="134">
        <v>1240</v>
      </c>
      <c r="BV48" s="134">
        <v>1346</v>
      </c>
      <c r="BW48" s="134">
        <v>3679</v>
      </c>
      <c r="BX48" s="134">
        <v>42812</v>
      </c>
      <c r="BY48" s="134">
        <v>46491</v>
      </c>
      <c r="BZ48" s="134">
        <v>3579</v>
      </c>
      <c r="CA48" s="134">
        <v>41554</v>
      </c>
      <c r="CB48" s="134">
        <v>45133</v>
      </c>
      <c r="CC48" s="134">
        <v>87727</v>
      </c>
      <c r="CD48" s="134">
        <v>90</v>
      </c>
      <c r="CE48" s="134">
        <v>953</v>
      </c>
      <c r="CF48" s="134">
        <v>96</v>
      </c>
      <c r="CG48" s="134">
        <v>709</v>
      </c>
      <c r="CH48" s="134">
        <v>805</v>
      </c>
      <c r="CI48" s="134">
        <v>742</v>
      </c>
      <c r="CJ48" s="134">
        <v>17</v>
      </c>
      <c r="CK48" s="134">
        <v>4</v>
      </c>
      <c r="CL48" s="134">
        <v>549</v>
      </c>
      <c r="CM48" s="134">
        <v>553</v>
      </c>
      <c r="CN48" s="134">
        <v>213</v>
      </c>
      <c r="CO48" s="134">
        <v>3526</v>
      </c>
      <c r="CP48" s="134">
        <v>3739</v>
      </c>
      <c r="CQ48" s="134">
        <v>0</v>
      </c>
      <c r="CR48" s="134">
        <v>0</v>
      </c>
      <c r="CS48" s="134">
        <v>0</v>
      </c>
      <c r="CT48" s="134">
        <v>3466</v>
      </c>
      <c r="CU48" s="134">
        <v>39286</v>
      </c>
      <c r="CV48" s="134">
        <v>42752</v>
      </c>
      <c r="CW48" s="134">
        <v>270</v>
      </c>
      <c r="CX48" s="134">
        <v>2332</v>
      </c>
      <c r="CY48" s="134">
        <v>2602</v>
      </c>
      <c r="CZ48" s="134">
        <v>243</v>
      </c>
      <c r="DA48" s="134">
        <v>8</v>
      </c>
      <c r="DB48" s="134">
        <v>2</v>
      </c>
      <c r="DC48" s="134">
        <v>1953</v>
      </c>
      <c r="DD48" s="134">
        <v>47</v>
      </c>
      <c r="DE48" s="134">
        <v>13</v>
      </c>
      <c r="DF48" s="134">
        <v>253</v>
      </c>
      <c r="DG48" s="134">
        <v>2013</v>
      </c>
      <c r="DH48" s="134">
        <v>2266</v>
      </c>
      <c r="DI48" s="134">
        <v>17</v>
      </c>
      <c r="DJ48" s="134">
        <v>0</v>
      </c>
      <c r="DK48" s="134">
        <v>0</v>
      </c>
      <c r="DL48" s="134">
        <v>306</v>
      </c>
      <c r="DM48" s="134">
        <v>6</v>
      </c>
      <c r="DN48" s="134">
        <v>7</v>
      </c>
      <c r="DO48" s="134">
        <v>17</v>
      </c>
      <c r="DP48" s="134">
        <v>319</v>
      </c>
      <c r="DQ48" s="134">
        <v>336</v>
      </c>
      <c r="DR48" s="134">
        <v>0</v>
      </c>
      <c r="DS48" s="134">
        <v>1</v>
      </c>
      <c r="DT48" s="135">
        <v>1</v>
      </c>
      <c r="DU48" s="116"/>
      <c r="DV48" s="136"/>
      <c r="DX48" s="136"/>
      <c r="DY48" s="136"/>
    </row>
    <row r="49" spans="1:129" s="137" customFormat="1">
      <c r="A49" s="133" t="s">
        <v>318</v>
      </c>
      <c r="B49" s="134">
        <v>1139</v>
      </c>
      <c r="C49" s="134">
        <v>507</v>
      </c>
      <c r="D49" s="134">
        <v>1167</v>
      </c>
      <c r="E49" s="134">
        <v>681</v>
      </c>
      <c r="F49" s="134">
        <v>1</v>
      </c>
      <c r="G49" s="134">
        <v>35</v>
      </c>
      <c r="H49" s="134">
        <v>36</v>
      </c>
      <c r="I49" s="134">
        <v>0</v>
      </c>
      <c r="J49" s="134">
        <v>429</v>
      </c>
      <c r="K49" s="134">
        <v>429</v>
      </c>
      <c r="L49" s="134">
        <v>0</v>
      </c>
      <c r="M49" s="134">
        <v>100</v>
      </c>
      <c r="N49" s="134">
        <v>100</v>
      </c>
      <c r="O49" s="134">
        <v>0</v>
      </c>
      <c r="P49" s="134">
        <v>329</v>
      </c>
      <c r="Q49" s="134">
        <v>329</v>
      </c>
      <c r="R49" s="134">
        <v>0</v>
      </c>
      <c r="S49" s="134">
        <v>63</v>
      </c>
      <c r="T49" s="134">
        <v>63</v>
      </c>
      <c r="U49" s="134">
        <v>0</v>
      </c>
      <c r="V49" s="134">
        <v>57</v>
      </c>
      <c r="W49" s="134">
        <v>57</v>
      </c>
      <c r="X49" s="134">
        <v>6</v>
      </c>
      <c r="Y49" s="134">
        <v>664</v>
      </c>
      <c r="Z49" s="134">
        <v>670</v>
      </c>
      <c r="AA49" s="134">
        <v>4</v>
      </c>
      <c r="AB49" s="134">
        <v>224</v>
      </c>
      <c r="AC49" s="134">
        <v>228</v>
      </c>
      <c r="AD49" s="134">
        <v>2</v>
      </c>
      <c r="AE49" s="134">
        <v>209</v>
      </c>
      <c r="AF49" s="134">
        <v>211</v>
      </c>
      <c r="AG49" s="134">
        <v>2</v>
      </c>
      <c r="AH49" s="134">
        <v>14</v>
      </c>
      <c r="AI49" s="134">
        <v>16</v>
      </c>
      <c r="AJ49" s="134">
        <v>0</v>
      </c>
      <c r="AK49" s="134">
        <v>1</v>
      </c>
      <c r="AL49" s="134">
        <v>1</v>
      </c>
      <c r="AM49" s="134">
        <v>2</v>
      </c>
      <c r="AN49" s="134">
        <v>440</v>
      </c>
      <c r="AO49" s="134">
        <v>442</v>
      </c>
      <c r="AP49" s="134">
        <v>890</v>
      </c>
      <c r="AQ49" s="134">
        <v>11750</v>
      </c>
      <c r="AR49" s="134">
        <v>12640</v>
      </c>
      <c r="AS49" s="134">
        <v>876</v>
      </c>
      <c r="AT49" s="134">
        <v>11559</v>
      </c>
      <c r="AU49" s="134">
        <v>12435</v>
      </c>
      <c r="AV49" s="134">
        <v>14</v>
      </c>
      <c r="AW49" s="134">
        <v>191</v>
      </c>
      <c r="AX49" s="134">
        <v>205</v>
      </c>
      <c r="AY49" s="134">
        <v>50</v>
      </c>
      <c r="AZ49" s="134">
        <v>1419</v>
      </c>
      <c r="BA49" s="134">
        <v>1469</v>
      </c>
      <c r="BB49" s="134">
        <v>16</v>
      </c>
      <c r="BC49" s="134">
        <v>0</v>
      </c>
      <c r="BD49" s="134">
        <v>0</v>
      </c>
      <c r="BE49" s="134">
        <v>659</v>
      </c>
      <c r="BF49" s="134">
        <v>5</v>
      </c>
      <c r="BG49" s="134">
        <v>1</v>
      </c>
      <c r="BH49" s="134">
        <v>16</v>
      </c>
      <c r="BI49" s="134">
        <v>665</v>
      </c>
      <c r="BJ49" s="134">
        <v>681</v>
      </c>
      <c r="BK49" s="134">
        <v>-20</v>
      </c>
      <c r="BL49" s="134">
        <v>20</v>
      </c>
      <c r="BM49" s="134">
        <v>0</v>
      </c>
      <c r="BN49" s="134">
        <v>0</v>
      </c>
      <c r="BO49" s="134">
        <v>10</v>
      </c>
      <c r="BP49" s="134">
        <v>10</v>
      </c>
      <c r="BQ49" s="134">
        <v>0</v>
      </c>
      <c r="BR49" s="134">
        <v>0</v>
      </c>
      <c r="BS49" s="134">
        <v>0</v>
      </c>
      <c r="BT49" s="134">
        <v>54</v>
      </c>
      <c r="BU49" s="134">
        <v>724</v>
      </c>
      <c r="BV49" s="134">
        <v>778</v>
      </c>
      <c r="BW49" s="134">
        <v>940</v>
      </c>
      <c r="BX49" s="134">
        <v>13169</v>
      </c>
      <c r="BY49" s="134">
        <v>14109</v>
      </c>
      <c r="BZ49" s="134">
        <v>937</v>
      </c>
      <c r="CA49" s="134">
        <v>13112</v>
      </c>
      <c r="CB49" s="134">
        <v>14049</v>
      </c>
      <c r="CC49" s="134">
        <v>24809</v>
      </c>
      <c r="CD49" s="134">
        <v>3</v>
      </c>
      <c r="CE49" s="134">
        <v>57</v>
      </c>
      <c r="CF49" s="134">
        <v>3</v>
      </c>
      <c r="CG49" s="134">
        <v>47</v>
      </c>
      <c r="CH49" s="134">
        <v>50</v>
      </c>
      <c r="CI49" s="134">
        <v>0</v>
      </c>
      <c r="CJ49" s="134">
        <v>11</v>
      </c>
      <c r="CK49" s="134">
        <v>0</v>
      </c>
      <c r="CL49" s="134">
        <v>10</v>
      </c>
      <c r="CM49" s="134">
        <v>10</v>
      </c>
      <c r="CN49" s="134">
        <v>57</v>
      </c>
      <c r="CO49" s="134">
        <v>1242</v>
      </c>
      <c r="CP49" s="134">
        <v>1299</v>
      </c>
      <c r="CQ49" s="134">
        <v>0</v>
      </c>
      <c r="CR49" s="134">
        <v>0</v>
      </c>
      <c r="CS49" s="134">
        <v>0</v>
      </c>
      <c r="CT49" s="134">
        <v>883</v>
      </c>
      <c r="CU49" s="134">
        <v>11927</v>
      </c>
      <c r="CV49" s="134">
        <v>12810</v>
      </c>
      <c r="CW49" s="134">
        <v>92</v>
      </c>
      <c r="CX49" s="134">
        <v>662</v>
      </c>
      <c r="CY49" s="134">
        <v>754</v>
      </c>
      <c r="CZ49" s="134">
        <v>89</v>
      </c>
      <c r="DA49" s="134">
        <v>0</v>
      </c>
      <c r="DB49" s="134">
        <v>0</v>
      </c>
      <c r="DC49" s="134">
        <v>608</v>
      </c>
      <c r="DD49" s="134">
        <v>4</v>
      </c>
      <c r="DE49" s="134">
        <v>1</v>
      </c>
      <c r="DF49" s="134">
        <v>89</v>
      </c>
      <c r="DG49" s="134">
        <v>613</v>
      </c>
      <c r="DH49" s="134">
        <v>702</v>
      </c>
      <c r="DI49" s="134">
        <v>3</v>
      </c>
      <c r="DJ49" s="134">
        <v>0</v>
      </c>
      <c r="DK49" s="134">
        <v>0</v>
      </c>
      <c r="DL49" s="134">
        <v>49</v>
      </c>
      <c r="DM49" s="134">
        <v>0</v>
      </c>
      <c r="DN49" s="134">
        <v>0</v>
      </c>
      <c r="DO49" s="134">
        <v>3</v>
      </c>
      <c r="DP49" s="134">
        <v>49</v>
      </c>
      <c r="DQ49" s="134">
        <v>52</v>
      </c>
      <c r="DR49" s="134">
        <v>0</v>
      </c>
      <c r="DS49" s="134">
        <v>0</v>
      </c>
      <c r="DT49" s="135">
        <v>0</v>
      </c>
      <c r="DU49" s="116"/>
      <c r="DV49" s="136"/>
      <c r="DX49" s="136"/>
      <c r="DY49" s="136"/>
    </row>
    <row r="50" spans="1:129" s="137" customFormat="1">
      <c r="A50" s="133" t="s">
        <v>319</v>
      </c>
      <c r="B50" s="134">
        <v>1032</v>
      </c>
      <c r="C50" s="134">
        <v>225</v>
      </c>
      <c r="D50" s="134">
        <v>994</v>
      </c>
      <c r="E50" s="134">
        <v>570</v>
      </c>
      <c r="F50" s="134">
        <v>3</v>
      </c>
      <c r="G50" s="134">
        <v>29</v>
      </c>
      <c r="H50" s="134">
        <v>32</v>
      </c>
      <c r="I50" s="134">
        <v>0</v>
      </c>
      <c r="J50" s="134">
        <v>397</v>
      </c>
      <c r="K50" s="134">
        <v>397</v>
      </c>
      <c r="L50" s="134">
        <v>0</v>
      </c>
      <c r="M50" s="134">
        <v>67</v>
      </c>
      <c r="N50" s="134">
        <v>67</v>
      </c>
      <c r="O50" s="134">
        <v>0</v>
      </c>
      <c r="P50" s="134">
        <v>330</v>
      </c>
      <c r="Q50" s="134">
        <v>330</v>
      </c>
      <c r="R50" s="134">
        <v>0</v>
      </c>
      <c r="S50" s="134">
        <v>11</v>
      </c>
      <c r="T50" s="134">
        <v>11</v>
      </c>
      <c r="U50" s="134">
        <v>0</v>
      </c>
      <c r="V50" s="134">
        <v>27</v>
      </c>
      <c r="W50" s="134">
        <v>27</v>
      </c>
      <c r="X50" s="134">
        <v>22</v>
      </c>
      <c r="Y50" s="134">
        <v>972</v>
      </c>
      <c r="Z50" s="134">
        <v>994</v>
      </c>
      <c r="AA50" s="134">
        <v>10</v>
      </c>
      <c r="AB50" s="134">
        <v>414</v>
      </c>
      <c r="AC50" s="134">
        <v>424</v>
      </c>
      <c r="AD50" s="134">
        <v>9</v>
      </c>
      <c r="AE50" s="134">
        <v>395</v>
      </c>
      <c r="AF50" s="134">
        <v>404</v>
      </c>
      <c r="AG50" s="134">
        <v>0</v>
      </c>
      <c r="AH50" s="134">
        <v>14</v>
      </c>
      <c r="AI50" s="134">
        <v>14</v>
      </c>
      <c r="AJ50" s="134">
        <v>1</v>
      </c>
      <c r="AK50" s="134">
        <v>5</v>
      </c>
      <c r="AL50" s="134">
        <v>6</v>
      </c>
      <c r="AM50" s="134">
        <v>12</v>
      </c>
      <c r="AN50" s="134">
        <v>558</v>
      </c>
      <c r="AO50" s="134">
        <v>570</v>
      </c>
      <c r="AP50" s="134">
        <v>1054</v>
      </c>
      <c r="AQ50" s="134">
        <v>10313</v>
      </c>
      <c r="AR50" s="134">
        <v>11367</v>
      </c>
      <c r="AS50" s="134">
        <v>1054</v>
      </c>
      <c r="AT50" s="134">
        <v>10313</v>
      </c>
      <c r="AU50" s="134">
        <v>11367</v>
      </c>
      <c r="AV50" s="134">
        <v>0</v>
      </c>
      <c r="AW50" s="134">
        <v>0</v>
      </c>
      <c r="AX50" s="134">
        <v>0</v>
      </c>
      <c r="AY50" s="134">
        <v>79</v>
      </c>
      <c r="AZ50" s="134">
        <v>1012</v>
      </c>
      <c r="BA50" s="134">
        <v>1091</v>
      </c>
      <c r="BB50" s="134">
        <v>31</v>
      </c>
      <c r="BC50" s="134">
        <v>0</v>
      </c>
      <c r="BD50" s="134">
        <v>0</v>
      </c>
      <c r="BE50" s="134">
        <v>537</v>
      </c>
      <c r="BF50" s="134">
        <v>1</v>
      </c>
      <c r="BG50" s="134">
        <v>1</v>
      </c>
      <c r="BH50" s="134">
        <v>31</v>
      </c>
      <c r="BI50" s="134">
        <v>539</v>
      </c>
      <c r="BJ50" s="134">
        <v>570</v>
      </c>
      <c r="BK50" s="134">
        <v>2</v>
      </c>
      <c r="BL50" s="134">
        <v>-2</v>
      </c>
      <c r="BM50" s="134">
        <v>0</v>
      </c>
      <c r="BN50" s="134">
        <v>10</v>
      </c>
      <c r="BO50" s="134">
        <v>56</v>
      </c>
      <c r="BP50" s="134">
        <v>66</v>
      </c>
      <c r="BQ50" s="134">
        <v>9</v>
      </c>
      <c r="BR50" s="134">
        <v>190</v>
      </c>
      <c r="BS50" s="134">
        <v>199</v>
      </c>
      <c r="BT50" s="134">
        <v>27</v>
      </c>
      <c r="BU50" s="134">
        <v>229</v>
      </c>
      <c r="BV50" s="134">
        <v>256</v>
      </c>
      <c r="BW50" s="134">
        <v>1133</v>
      </c>
      <c r="BX50" s="134">
        <v>11325</v>
      </c>
      <c r="BY50" s="134">
        <v>12458</v>
      </c>
      <c r="BZ50" s="134">
        <v>1130</v>
      </c>
      <c r="CA50" s="134">
        <v>11291</v>
      </c>
      <c r="CB50" s="134">
        <v>12421</v>
      </c>
      <c r="CC50" s="134">
        <v>23136</v>
      </c>
      <c r="CD50" s="134">
        <v>2</v>
      </c>
      <c r="CE50" s="134">
        <v>21</v>
      </c>
      <c r="CF50" s="134">
        <v>3</v>
      </c>
      <c r="CG50" s="134">
        <v>19</v>
      </c>
      <c r="CH50" s="134">
        <v>22</v>
      </c>
      <c r="CI50" s="134">
        <v>16</v>
      </c>
      <c r="CJ50" s="134">
        <v>3</v>
      </c>
      <c r="CK50" s="134">
        <v>0</v>
      </c>
      <c r="CL50" s="134">
        <v>15</v>
      </c>
      <c r="CM50" s="134">
        <v>15</v>
      </c>
      <c r="CN50" s="134">
        <v>70</v>
      </c>
      <c r="CO50" s="134">
        <v>1000</v>
      </c>
      <c r="CP50" s="134">
        <v>1070</v>
      </c>
      <c r="CQ50" s="134">
        <v>0</v>
      </c>
      <c r="CR50" s="134">
        <v>9</v>
      </c>
      <c r="CS50" s="134">
        <v>9</v>
      </c>
      <c r="CT50" s="134">
        <v>1063</v>
      </c>
      <c r="CU50" s="134">
        <v>10325</v>
      </c>
      <c r="CV50" s="134">
        <v>11388</v>
      </c>
      <c r="CW50" s="134">
        <v>47</v>
      </c>
      <c r="CX50" s="134">
        <v>370</v>
      </c>
      <c r="CY50" s="134">
        <v>417</v>
      </c>
      <c r="CZ50" s="134">
        <v>46</v>
      </c>
      <c r="DA50" s="134">
        <v>0</v>
      </c>
      <c r="DB50" s="134">
        <v>0</v>
      </c>
      <c r="DC50" s="134">
        <v>362</v>
      </c>
      <c r="DD50" s="134">
        <v>0</v>
      </c>
      <c r="DE50" s="134">
        <v>0</v>
      </c>
      <c r="DF50" s="134">
        <v>46</v>
      </c>
      <c r="DG50" s="134">
        <v>362</v>
      </c>
      <c r="DH50" s="134">
        <v>408</v>
      </c>
      <c r="DI50" s="134">
        <v>1</v>
      </c>
      <c r="DJ50" s="134">
        <v>0</v>
      </c>
      <c r="DK50" s="134">
        <v>0</v>
      </c>
      <c r="DL50" s="134">
        <v>8</v>
      </c>
      <c r="DM50" s="134">
        <v>0</v>
      </c>
      <c r="DN50" s="134">
        <v>0</v>
      </c>
      <c r="DO50" s="134">
        <v>1</v>
      </c>
      <c r="DP50" s="134">
        <v>8</v>
      </c>
      <c r="DQ50" s="134">
        <v>9</v>
      </c>
      <c r="DR50" s="134">
        <v>0</v>
      </c>
      <c r="DS50" s="134">
        <v>0</v>
      </c>
      <c r="DT50" s="135">
        <v>0</v>
      </c>
      <c r="DU50" s="116"/>
      <c r="DV50" s="136"/>
      <c r="DX50" s="136"/>
      <c r="DY50" s="136"/>
    </row>
    <row r="51" spans="1:129" s="137" customFormat="1">
      <c r="A51" s="133" t="s">
        <v>320</v>
      </c>
      <c r="B51" s="134">
        <v>7</v>
      </c>
      <c r="C51" s="134">
        <v>0</v>
      </c>
      <c r="D51" s="134">
        <v>10</v>
      </c>
      <c r="E51" s="134">
        <v>8</v>
      </c>
      <c r="F51" s="134">
        <v>0</v>
      </c>
      <c r="G51" s="134">
        <v>0</v>
      </c>
      <c r="H51" s="134">
        <v>0</v>
      </c>
      <c r="I51" s="134">
        <v>0</v>
      </c>
      <c r="J51" s="134">
        <v>2</v>
      </c>
      <c r="K51" s="134">
        <v>2</v>
      </c>
      <c r="L51" s="134">
        <v>0</v>
      </c>
      <c r="M51" s="134">
        <v>2</v>
      </c>
      <c r="N51" s="134">
        <v>2</v>
      </c>
      <c r="O51" s="134">
        <v>0</v>
      </c>
      <c r="P51" s="134">
        <v>0</v>
      </c>
      <c r="Q51" s="134">
        <v>0</v>
      </c>
      <c r="R51" s="134">
        <v>0</v>
      </c>
      <c r="S51" s="134">
        <v>0</v>
      </c>
      <c r="T51" s="134">
        <v>0</v>
      </c>
      <c r="U51" s="134">
        <v>0</v>
      </c>
      <c r="V51" s="134">
        <v>0</v>
      </c>
      <c r="W51" s="134">
        <v>0</v>
      </c>
      <c r="X51" s="134">
        <v>1</v>
      </c>
      <c r="Y51" s="134">
        <v>9</v>
      </c>
      <c r="Z51" s="134">
        <v>10</v>
      </c>
      <c r="AA51" s="134">
        <v>1</v>
      </c>
      <c r="AB51" s="134">
        <v>3</v>
      </c>
      <c r="AC51" s="134">
        <v>4</v>
      </c>
      <c r="AD51" s="134">
        <v>0</v>
      </c>
      <c r="AE51" s="134">
        <v>3</v>
      </c>
      <c r="AF51" s="134">
        <v>3</v>
      </c>
      <c r="AG51" s="134">
        <v>0</v>
      </c>
      <c r="AH51" s="134">
        <v>0</v>
      </c>
      <c r="AI51" s="134">
        <v>0</v>
      </c>
      <c r="AJ51" s="134">
        <v>1</v>
      </c>
      <c r="AK51" s="134">
        <v>0</v>
      </c>
      <c r="AL51" s="134">
        <v>1</v>
      </c>
      <c r="AM51" s="134">
        <v>0</v>
      </c>
      <c r="AN51" s="134">
        <v>6</v>
      </c>
      <c r="AO51" s="134">
        <v>6</v>
      </c>
      <c r="AP51" s="134">
        <v>8</v>
      </c>
      <c r="AQ51" s="134">
        <v>141</v>
      </c>
      <c r="AR51" s="134">
        <v>149</v>
      </c>
      <c r="AS51" s="134">
        <v>8</v>
      </c>
      <c r="AT51" s="134">
        <v>141</v>
      </c>
      <c r="AU51" s="134">
        <v>149</v>
      </c>
      <c r="AV51" s="134">
        <v>0</v>
      </c>
      <c r="AW51" s="134">
        <v>0</v>
      </c>
      <c r="AX51" s="134">
        <v>0</v>
      </c>
      <c r="AY51" s="134">
        <v>2</v>
      </c>
      <c r="AZ51" s="134">
        <v>10</v>
      </c>
      <c r="BA51" s="134">
        <v>12</v>
      </c>
      <c r="BB51" s="134">
        <v>1</v>
      </c>
      <c r="BC51" s="134">
        <v>0</v>
      </c>
      <c r="BD51" s="134">
        <v>0</v>
      </c>
      <c r="BE51" s="134">
        <v>7</v>
      </c>
      <c r="BF51" s="134">
        <v>0</v>
      </c>
      <c r="BG51" s="134">
        <v>0</v>
      </c>
      <c r="BH51" s="134">
        <v>1</v>
      </c>
      <c r="BI51" s="134">
        <v>7</v>
      </c>
      <c r="BJ51" s="134">
        <v>8</v>
      </c>
      <c r="BK51" s="134">
        <v>1</v>
      </c>
      <c r="BL51" s="134">
        <v>-1</v>
      </c>
      <c r="BM51" s="134">
        <v>0</v>
      </c>
      <c r="BN51" s="134">
        <v>0</v>
      </c>
      <c r="BO51" s="134">
        <v>1</v>
      </c>
      <c r="BP51" s="134">
        <v>1</v>
      </c>
      <c r="BQ51" s="134">
        <v>0</v>
      </c>
      <c r="BR51" s="134">
        <v>0</v>
      </c>
      <c r="BS51" s="134">
        <v>0</v>
      </c>
      <c r="BT51" s="134">
        <v>0</v>
      </c>
      <c r="BU51" s="134">
        <v>3</v>
      </c>
      <c r="BV51" s="134">
        <v>3</v>
      </c>
      <c r="BW51" s="134">
        <v>10</v>
      </c>
      <c r="BX51" s="134">
        <v>151</v>
      </c>
      <c r="BY51" s="134">
        <v>161</v>
      </c>
      <c r="BZ51" s="134">
        <v>10</v>
      </c>
      <c r="CA51" s="134">
        <v>151</v>
      </c>
      <c r="CB51" s="134">
        <v>161</v>
      </c>
      <c r="CC51" s="134">
        <v>279</v>
      </c>
      <c r="CD51" s="134">
        <v>0</v>
      </c>
      <c r="CE51" s="134">
        <v>0</v>
      </c>
      <c r="CF51" s="134">
        <v>0</v>
      </c>
      <c r="CG51" s="134">
        <v>0</v>
      </c>
      <c r="CH51" s="134">
        <v>0</v>
      </c>
      <c r="CI51" s="134">
        <v>0</v>
      </c>
      <c r="CJ51" s="134">
        <v>0</v>
      </c>
      <c r="CK51" s="134">
        <v>0</v>
      </c>
      <c r="CL51" s="134">
        <v>0</v>
      </c>
      <c r="CM51" s="134">
        <v>0</v>
      </c>
      <c r="CN51" s="134">
        <v>1</v>
      </c>
      <c r="CO51" s="134">
        <v>15</v>
      </c>
      <c r="CP51" s="134">
        <v>16</v>
      </c>
      <c r="CQ51" s="134">
        <v>0</v>
      </c>
      <c r="CR51" s="134">
        <v>0</v>
      </c>
      <c r="CS51" s="134">
        <v>0</v>
      </c>
      <c r="CT51" s="134">
        <v>9</v>
      </c>
      <c r="CU51" s="134">
        <v>136</v>
      </c>
      <c r="CV51" s="134">
        <v>145</v>
      </c>
      <c r="CW51" s="134">
        <v>0</v>
      </c>
      <c r="CX51" s="134">
        <v>3</v>
      </c>
      <c r="CY51" s="134">
        <v>3</v>
      </c>
      <c r="CZ51" s="134">
        <v>0</v>
      </c>
      <c r="DA51" s="134">
        <v>0</v>
      </c>
      <c r="DB51" s="134">
        <v>0</v>
      </c>
      <c r="DC51" s="134">
        <v>3</v>
      </c>
      <c r="DD51" s="134">
        <v>0</v>
      </c>
      <c r="DE51" s="134">
        <v>0</v>
      </c>
      <c r="DF51" s="134">
        <v>0</v>
      </c>
      <c r="DG51" s="134">
        <v>3</v>
      </c>
      <c r="DH51" s="134">
        <v>3</v>
      </c>
      <c r="DI51" s="134">
        <v>0</v>
      </c>
      <c r="DJ51" s="134">
        <v>0</v>
      </c>
      <c r="DK51" s="134">
        <v>0</v>
      </c>
      <c r="DL51" s="134">
        <v>0</v>
      </c>
      <c r="DM51" s="134">
        <v>0</v>
      </c>
      <c r="DN51" s="134">
        <v>0</v>
      </c>
      <c r="DO51" s="134">
        <v>0</v>
      </c>
      <c r="DP51" s="134">
        <v>0</v>
      </c>
      <c r="DQ51" s="134">
        <v>0</v>
      </c>
      <c r="DR51" s="134">
        <v>0</v>
      </c>
      <c r="DS51" s="134">
        <v>0</v>
      </c>
      <c r="DT51" s="135">
        <v>0</v>
      </c>
      <c r="DU51" s="116"/>
      <c r="DV51" s="136"/>
      <c r="DX51" s="136"/>
      <c r="DY51" s="136"/>
    </row>
    <row r="52" spans="1:129" s="137" customFormat="1">
      <c r="A52" s="133" t="s">
        <v>321</v>
      </c>
      <c r="B52" s="134">
        <v>291</v>
      </c>
      <c r="C52" s="134">
        <v>98</v>
      </c>
      <c r="D52" s="134">
        <v>267</v>
      </c>
      <c r="E52" s="134">
        <v>129</v>
      </c>
      <c r="F52" s="134">
        <v>1</v>
      </c>
      <c r="G52" s="134">
        <v>3</v>
      </c>
      <c r="H52" s="134">
        <v>4</v>
      </c>
      <c r="I52" s="134">
        <v>1</v>
      </c>
      <c r="J52" s="134">
        <v>123</v>
      </c>
      <c r="K52" s="134">
        <v>124</v>
      </c>
      <c r="L52" s="134">
        <v>1</v>
      </c>
      <c r="M52" s="134">
        <v>28</v>
      </c>
      <c r="N52" s="134">
        <v>29</v>
      </c>
      <c r="O52" s="134">
        <v>0</v>
      </c>
      <c r="P52" s="134">
        <v>95</v>
      </c>
      <c r="Q52" s="134">
        <v>95</v>
      </c>
      <c r="R52" s="134">
        <v>1</v>
      </c>
      <c r="S52" s="134">
        <v>2</v>
      </c>
      <c r="T52" s="134">
        <v>3</v>
      </c>
      <c r="U52" s="134">
        <v>0</v>
      </c>
      <c r="V52" s="134">
        <v>14</v>
      </c>
      <c r="W52" s="134">
        <v>14</v>
      </c>
      <c r="X52" s="134">
        <v>8</v>
      </c>
      <c r="Y52" s="134">
        <v>259</v>
      </c>
      <c r="Z52" s="134">
        <v>267</v>
      </c>
      <c r="AA52" s="134">
        <v>3</v>
      </c>
      <c r="AB52" s="134">
        <v>93</v>
      </c>
      <c r="AC52" s="134">
        <v>96</v>
      </c>
      <c r="AD52" s="134">
        <v>1</v>
      </c>
      <c r="AE52" s="134">
        <v>82</v>
      </c>
      <c r="AF52" s="134">
        <v>83</v>
      </c>
      <c r="AG52" s="134">
        <v>1</v>
      </c>
      <c r="AH52" s="134">
        <v>7</v>
      </c>
      <c r="AI52" s="134">
        <v>8</v>
      </c>
      <c r="AJ52" s="134">
        <v>1</v>
      </c>
      <c r="AK52" s="134">
        <v>4</v>
      </c>
      <c r="AL52" s="134">
        <v>5</v>
      </c>
      <c r="AM52" s="134">
        <v>5</v>
      </c>
      <c r="AN52" s="134">
        <v>166</v>
      </c>
      <c r="AO52" s="134">
        <v>171</v>
      </c>
      <c r="AP52" s="134">
        <v>317</v>
      </c>
      <c r="AQ52" s="134">
        <v>2519</v>
      </c>
      <c r="AR52" s="134">
        <v>2836</v>
      </c>
      <c r="AS52" s="134">
        <v>317</v>
      </c>
      <c r="AT52" s="134">
        <v>2519</v>
      </c>
      <c r="AU52" s="134">
        <v>2836</v>
      </c>
      <c r="AV52" s="134">
        <v>0</v>
      </c>
      <c r="AW52" s="134">
        <v>0</v>
      </c>
      <c r="AX52" s="134">
        <v>0</v>
      </c>
      <c r="AY52" s="134">
        <v>32</v>
      </c>
      <c r="AZ52" s="134">
        <v>239</v>
      </c>
      <c r="BA52" s="134">
        <v>271</v>
      </c>
      <c r="BB52" s="134">
        <v>8</v>
      </c>
      <c r="BC52" s="134">
        <v>0</v>
      </c>
      <c r="BD52" s="134">
        <v>0</v>
      </c>
      <c r="BE52" s="134">
        <v>121</v>
      </c>
      <c r="BF52" s="134">
        <v>0</v>
      </c>
      <c r="BG52" s="134">
        <v>0</v>
      </c>
      <c r="BH52" s="134">
        <v>8</v>
      </c>
      <c r="BI52" s="134">
        <v>121</v>
      </c>
      <c r="BJ52" s="134">
        <v>129</v>
      </c>
      <c r="BK52" s="134">
        <v>2</v>
      </c>
      <c r="BL52" s="134">
        <v>-2</v>
      </c>
      <c r="BM52" s="134">
        <v>0</v>
      </c>
      <c r="BN52" s="134">
        <v>2</v>
      </c>
      <c r="BO52" s="134">
        <v>2</v>
      </c>
      <c r="BP52" s="134">
        <v>4</v>
      </c>
      <c r="BQ52" s="134">
        <v>1</v>
      </c>
      <c r="BR52" s="134">
        <v>22</v>
      </c>
      <c r="BS52" s="134">
        <v>23</v>
      </c>
      <c r="BT52" s="134">
        <v>19</v>
      </c>
      <c r="BU52" s="134">
        <v>96</v>
      </c>
      <c r="BV52" s="134">
        <v>115</v>
      </c>
      <c r="BW52" s="134">
        <v>349</v>
      </c>
      <c r="BX52" s="134">
        <v>2758</v>
      </c>
      <c r="BY52" s="134">
        <v>3107</v>
      </c>
      <c r="BZ52" s="134">
        <v>349</v>
      </c>
      <c r="CA52" s="134">
        <v>2751</v>
      </c>
      <c r="CB52" s="134">
        <v>3100</v>
      </c>
      <c r="CC52" s="134">
        <v>6310</v>
      </c>
      <c r="CD52" s="134">
        <v>3</v>
      </c>
      <c r="CE52" s="134">
        <v>3</v>
      </c>
      <c r="CF52" s="134">
        <v>0</v>
      </c>
      <c r="CG52" s="134">
        <v>5</v>
      </c>
      <c r="CH52" s="134">
        <v>5</v>
      </c>
      <c r="CI52" s="134">
        <v>3</v>
      </c>
      <c r="CJ52" s="134">
        <v>0</v>
      </c>
      <c r="CK52" s="134">
        <v>0</v>
      </c>
      <c r="CL52" s="134">
        <v>2</v>
      </c>
      <c r="CM52" s="134">
        <v>2</v>
      </c>
      <c r="CN52" s="134">
        <v>35</v>
      </c>
      <c r="CO52" s="134">
        <v>236</v>
      </c>
      <c r="CP52" s="134">
        <v>271</v>
      </c>
      <c r="CQ52" s="134">
        <v>0</v>
      </c>
      <c r="CR52" s="134">
        <v>3</v>
      </c>
      <c r="CS52" s="134">
        <v>3</v>
      </c>
      <c r="CT52" s="134">
        <v>314</v>
      </c>
      <c r="CU52" s="134">
        <v>2522</v>
      </c>
      <c r="CV52" s="134">
        <v>2836</v>
      </c>
      <c r="CW52" s="134">
        <v>24</v>
      </c>
      <c r="CX52" s="134">
        <v>86</v>
      </c>
      <c r="CY52" s="134">
        <v>110</v>
      </c>
      <c r="CZ52" s="134">
        <v>24</v>
      </c>
      <c r="DA52" s="134">
        <v>0</v>
      </c>
      <c r="DB52" s="134">
        <v>0</v>
      </c>
      <c r="DC52" s="134">
        <v>85</v>
      </c>
      <c r="DD52" s="134">
        <v>0</v>
      </c>
      <c r="DE52" s="134">
        <v>0</v>
      </c>
      <c r="DF52" s="134">
        <v>24</v>
      </c>
      <c r="DG52" s="134">
        <v>85</v>
      </c>
      <c r="DH52" s="134">
        <v>109</v>
      </c>
      <c r="DI52" s="134">
        <v>0</v>
      </c>
      <c r="DJ52" s="134">
        <v>0</v>
      </c>
      <c r="DK52" s="134">
        <v>0</v>
      </c>
      <c r="DL52" s="134">
        <v>1</v>
      </c>
      <c r="DM52" s="134">
        <v>0</v>
      </c>
      <c r="DN52" s="134">
        <v>0</v>
      </c>
      <c r="DO52" s="134">
        <v>0</v>
      </c>
      <c r="DP52" s="134">
        <v>1</v>
      </c>
      <c r="DQ52" s="134">
        <v>1</v>
      </c>
      <c r="DR52" s="134">
        <v>0</v>
      </c>
      <c r="DS52" s="134">
        <v>0</v>
      </c>
      <c r="DT52" s="135">
        <v>0</v>
      </c>
      <c r="DU52" s="116"/>
      <c r="DV52" s="136"/>
      <c r="DX52" s="136"/>
      <c r="DY52" s="136"/>
    </row>
    <row r="53" spans="1:129" s="137" customFormat="1">
      <c r="A53" s="133" t="s">
        <v>322</v>
      </c>
      <c r="B53" s="134">
        <v>1490</v>
      </c>
      <c r="C53" s="134">
        <v>527</v>
      </c>
      <c r="D53" s="134">
        <v>1409</v>
      </c>
      <c r="E53" s="134">
        <v>821</v>
      </c>
      <c r="F53" s="134">
        <v>2</v>
      </c>
      <c r="G53" s="134">
        <v>12</v>
      </c>
      <c r="H53" s="134">
        <v>14</v>
      </c>
      <c r="I53" s="134">
        <v>0</v>
      </c>
      <c r="J53" s="134">
        <v>500</v>
      </c>
      <c r="K53" s="134">
        <v>500</v>
      </c>
      <c r="L53" s="134">
        <v>0</v>
      </c>
      <c r="M53" s="134">
        <v>141</v>
      </c>
      <c r="N53" s="134">
        <v>141</v>
      </c>
      <c r="O53" s="134">
        <v>0</v>
      </c>
      <c r="P53" s="134">
        <v>359</v>
      </c>
      <c r="Q53" s="134">
        <v>359</v>
      </c>
      <c r="R53" s="134">
        <v>0</v>
      </c>
      <c r="S53" s="134">
        <v>62</v>
      </c>
      <c r="T53" s="134">
        <v>62</v>
      </c>
      <c r="U53" s="134">
        <v>0</v>
      </c>
      <c r="V53" s="134">
        <v>88</v>
      </c>
      <c r="W53" s="134">
        <v>88</v>
      </c>
      <c r="X53" s="134">
        <v>13</v>
      </c>
      <c r="Y53" s="134">
        <v>773</v>
      </c>
      <c r="Z53" s="134">
        <v>786</v>
      </c>
      <c r="AA53" s="134">
        <v>7</v>
      </c>
      <c r="AB53" s="134">
        <v>440</v>
      </c>
      <c r="AC53" s="134">
        <v>447</v>
      </c>
      <c r="AD53" s="134">
        <v>7</v>
      </c>
      <c r="AE53" s="134">
        <v>424</v>
      </c>
      <c r="AF53" s="134">
        <v>431</v>
      </c>
      <c r="AG53" s="134">
        <v>0</v>
      </c>
      <c r="AH53" s="134">
        <v>13</v>
      </c>
      <c r="AI53" s="134">
        <v>13</v>
      </c>
      <c r="AJ53" s="134">
        <v>0</v>
      </c>
      <c r="AK53" s="134">
        <v>3</v>
      </c>
      <c r="AL53" s="134">
        <v>3</v>
      </c>
      <c r="AM53" s="134">
        <v>6</v>
      </c>
      <c r="AN53" s="134">
        <v>333</v>
      </c>
      <c r="AO53" s="134">
        <v>339</v>
      </c>
      <c r="AP53" s="134">
        <v>2039</v>
      </c>
      <c r="AQ53" s="134">
        <v>17859</v>
      </c>
      <c r="AR53" s="134">
        <v>19898</v>
      </c>
      <c r="AS53" s="134">
        <v>2113</v>
      </c>
      <c r="AT53" s="134">
        <v>17545</v>
      </c>
      <c r="AU53" s="134">
        <v>19658</v>
      </c>
      <c r="AV53" s="134">
        <v>-74</v>
      </c>
      <c r="AW53" s="134">
        <v>314</v>
      </c>
      <c r="AX53" s="134">
        <v>240</v>
      </c>
      <c r="AY53" s="134">
        <v>185</v>
      </c>
      <c r="AZ53" s="134">
        <v>1631</v>
      </c>
      <c r="BA53" s="134">
        <v>1816</v>
      </c>
      <c r="BB53" s="134">
        <v>43</v>
      </c>
      <c r="BC53" s="134">
        <v>0</v>
      </c>
      <c r="BD53" s="134">
        <v>0</v>
      </c>
      <c r="BE53" s="134">
        <v>768</v>
      </c>
      <c r="BF53" s="134">
        <v>4</v>
      </c>
      <c r="BG53" s="134">
        <v>6</v>
      </c>
      <c r="BH53" s="134">
        <v>43</v>
      </c>
      <c r="BI53" s="134">
        <v>778</v>
      </c>
      <c r="BJ53" s="134">
        <v>821</v>
      </c>
      <c r="BK53" s="134">
        <v>43</v>
      </c>
      <c r="BL53" s="134">
        <v>-43</v>
      </c>
      <c r="BM53" s="134">
        <v>0</v>
      </c>
      <c r="BN53" s="134">
        <v>7</v>
      </c>
      <c r="BO53" s="134">
        <v>56</v>
      </c>
      <c r="BP53" s="134">
        <v>63</v>
      </c>
      <c r="BQ53" s="134">
        <v>5</v>
      </c>
      <c r="BR53" s="134">
        <v>117</v>
      </c>
      <c r="BS53" s="134">
        <v>122</v>
      </c>
      <c r="BT53" s="134">
        <v>87</v>
      </c>
      <c r="BU53" s="134">
        <v>723</v>
      </c>
      <c r="BV53" s="134">
        <v>810</v>
      </c>
      <c r="BW53" s="134">
        <v>2224</v>
      </c>
      <c r="BX53" s="134">
        <v>19490</v>
      </c>
      <c r="BY53" s="134">
        <v>21714</v>
      </c>
      <c r="BZ53" s="134">
        <v>2204</v>
      </c>
      <c r="CA53" s="134">
        <v>19275</v>
      </c>
      <c r="CB53" s="134">
        <v>21479</v>
      </c>
      <c r="CC53" s="134">
        <v>38706</v>
      </c>
      <c r="CD53" s="134">
        <v>189</v>
      </c>
      <c r="CE53" s="134">
        <v>161</v>
      </c>
      <c r="CF53" s="134">
        <v>19</v>
      </c>
      <c r="CG53" s="134">
        <v>138</v>
      </c>
      <c r="CH53" s="134">
        <v>157</v>
      </c>
      <c r="CI53" s="134">
        <v>100</v>
      </c>
      <c r="CJ53" s="134">
        <v>73</v>
      </c>
      <c r="CK53" s="134">
        <v>1</v>
      </c>
      <c r="CL53" s="134">
        <v>77</v>
      </c>
      <c r="CM53" s="134">
        <v>78</v>
      </c>
      <c r="CN53" s="134">
        <v>136</v>
      </c>
      <c r="CO53" s="134">
        <v>1812</v>
      </c>
      <c r="CP53" s="134">
        <v>1948</v>
      </c>
      <c r="CQ53" s="134">
        <v>0</v>
      </c>
      <c r="CR53" s="134">
        <v>0</v>
      </c>
      <c r="CS53" s="134">
        <v>0</v>
      </c>
      <c r="CT53" s="134">
        <v>2088</v>
      </c>
      <c r="CU53" s="134">
        <v>17678</v>
      </c>
      <c r="CV53" s="134">
        <v>19766</v>
      </c>
      <c r="CW53" s="134">
        <v>156</v>
      </c>
      <c r="CX53" s="134">
        <v>880</v>
      </c>
      <c r="CY53" s="134">
        <v>1036</v>
      </c>
      <c r="CZ53" s="134">
        <v>150</v>
      </c>
      <c r="DA53" s="134">
        <v>2</v>
      </c>
      <c r="DB53" s="134">
        <v>0</v>
      </c>
      <c r="DC53" s="134">
        <v>838</v>
      </c>
      <c r="DD53" s="134">
        <v>7</v>
      </c>
      <c r="DE53" s="134">
        <v>3</v>
      </c>
      <c r="DF53" s="134">
        <v>152</v>
      </c>
      <c r="DG53" s="134">
        <v>848</v>
      </c>
      <c r="DH53" s="134">
        <v>1000</v>
      </c>
      <c r="DI53" s="134">
        <v>4</v>
      </c>
      <c r="DJ53" s="134">
        <v>0</v>
      </c>
      <c r="DK53" s="134">
        <v>0</v>
      </c>
      <c r="DL53" s="134">
        <v>31</v>
      </c>
      <c r="DM53" s="134">
        <v>1</v>
      </c>
      <c r="DN53" s="134">
        <v>0</v>
      </c>
      <c r="DO53" s="134">
        <v>4</v>
      </c>
      <c r="DP53" s="134">
        <v>32</v>
      </c>
      <c r="DQ53" s="134">
        <v>36</v>
      </c>
      <c r="DR53" s="134">
        <v>0</v>
      </c>
      <c r="DS53" s="134">
        <v>0</v>
      </c>
      <c r="DT53" s="135">
        <v>0</v>
      </c>
      <c r="DU53" s="116"/>
      <c r="DV53" s="136"/>
      <c r="DX53" s="136"/>
      <c r="DY53" s="136"/>
    </row>
    <row r="54" spans="1:129" s="137" customFormat="1">
      <c r="A54" s="133" t="s">
        <v>323</v>
      </c>
      <c r="B54" s="134">
        <v>1056</v>
      </c>
      <c r="C54" s="134">
        <v>366</v>
      </c>
      <c r="D54" s="134">
        <v>1235</v>
      </c>
      <c r="E54" s="134">
        <v>491</v>
      </c>
      <c r="F54" s="134">
        <v>1</v>
      </c>
      <c r="G54" s="134">
        <v>33</v>
      </c>
      <c r="H54" s="134">
        <v>34</v>
      </c>
      <c r="I54" s="134">
        <v>2</v>
      </c>
      <c r="J54" s="134">
        <v>641</v>
      </c>
      <c r="K54" s="134">
        <v>643</v>
      </c>
      <c r="L54" s="134">
        <v>0</v>
      </c>
      <c r="M54" s="134">
        <v>127</v>
      </c>
      <c r="N54" s="134">
        <v>127</v>
      </c>
      <c r="O54" s="134">
        <v>2</v>
      </c>
      <c r="P54" s="134">
        <v>514</v>
      </c>
      <c r="Q54" s="134">
        <v>516</v>
      </c>
      <c r="R54" s="134">
        <v>0</v>
      </c>
      <c r="S54" s="134">
        <v>203</v>
      </c>
      <c r="T54" s="134">
        <v>203</v>
      </c>
      <c r="U54" s="134">
        <v>0</v>
      </c>
      <c r="V54" s="134">
        <v>101</v>
      </c>
      <c r="W54" s="134">
        <v>101</v>
      </c>
      <c r="X54" s="134">
        <v>11</v>
      </c>
      <c r="Y54" s="134">
        <v>1224</v>
      </c>
      <c r="Z54" s="134">
        <v>1235</v>
      </c>
      <c r="AA54" s="134">
        <v>5</v>
      </c>
      <c r="AB54" s="134">
        <v>366</v>
      </c>
      <c r="AC54" s="134">
        <v>371</v>
      </c>
      <c r="AD54" s="134">
        <v>5</v>
      </c>
      <c r="AE54" s="134">
        <v>189</v>
      </c>
      <c r="AF54" s="134">
        <v>194</v>
      </c>
      <c r="AG54" s="134">
        <v>0</v>
      </c>
      <c r="AH54" s="134">
        <v>84</v>
      </c>
      <c r="AI54" s="134">
        <v>84</v>
      </c>
      <c r="AJ54" s="134">
        <v>0</v>
      </c>
      <c r="AK54" s="134">
        <v>93</v>
      </c>
      <c r="AL54" s="134">
        <v>93</v>
      </c>
      <c r="AM54" s="134">
        <v>6</v>
      </c>
      <c r="AN54" s="134">
        <v>858</v>
      </c>
      <c r="AO54" s="134">
        <v>864</v>
      </c>
      <c r="AP54" s="134">
        <v>1149</v>
      </c>
      <c r="AQ54" s="134">
        <v>14929</v>
      </c>
      <c r="AR54" s="134">
        <v>16078</v>
      </c>
      <c r="AS54" s="134">
        <v>1121</v>
      </c>
      <c r="AT54" s="134">
        <v>14392</v>
      </c>
      <c r="AU54" s="134">
        <v>15513</v>
      </c>
      <c r="AV54" s="134">
        <v>28</v>
      </c>
      <c r="AW54" s="134">
        <v>537</v>
      </c>
      <c r="AX54" s="134">
        <v>565</v>
      </c>
      <c r="AY54" s="134">
        <v>49</v>
      </c>
      <c r="AZ54" s="134">
        <v>822</v>
      </c>
      <c r="BA54" s="134">
        <v>871</v>
      </c>
      <c r="BB54" s="134">
        <v>25</v>
      </c>
      <c r="BC54" s="134">
        <v>1</v>
      </c>
      <c r="BD54" s="134">
        <v>0</v>
      </c>
      <c r="BE54" s="134">
        <v>456</v>
      </c>
      <c r="BF54" s="134">
        <v>7</v>
      </c>
      <c r="BG54" s="134">
        <v>2</v>
      </c>
      <c r="BH54" s="134">
        <v>26</v>
      </c>
      <c r="BI54" s="134">
        <v>465</v>
      </c>
      <c r="BJ54" s="134">
        <v>491</v>
      </c>
      <c r="BK54" s="134">
        <v>6</v>
      </c>
      <c r="BL54" s="134">
        <v>-6</v>
      </c>
      <c r="BM54" s="134">
        <v>0</v>
      </c>
      <c r="BN54" s="134">
        <v>2</v>
      </c>
      <c r="BO54" s="134">
        <v>26</v>
      </c>
      <c r="BP54" s="134">
        <v>28</v>
      </c>
      <c r="BQ54" s="134">
        <v>9</v>
      </c>
      <c r="BR54" s="134">
        <v>136</v>
      </c>
      <c r="BS54" s="134">
        <v>145</v>
      </c>
      <c r="BT54" s="134">
        <v>6</v>
      </c>
      <c r="BU54" s="134">
        <v>201</v>
      </c>
      <c r="BV54" s="134">
        <v>207</v>
      </c>
      <c r="BW54" s="134">
        <v>1198</v>
      </c>
      <c r="BX54" s="134">
        <v>15751</v>
      </c>
      <c r="BY54" s="134">
        <v>16949</v>
      </c>
      <c r="BZ54" s="134">
        <v>1169</v>
      </c>
      <c r="CA54" s="134">
        <v>15481</v>
      </c>
      <c r="CB54" s="134">
        <v>16650</v>
      </c>
      <c r="CC54" s="134">
        <v>29829</v>
      </c>
      <c r="CD54" s="134">
        <v>15</v>
      </c>
      <c r="CE54" s="134">
        <v>277</v>
      </c>
      <c r="CF54" s="134">
        <v>29</v>
      </c>
      <c r="CG54" s="134">
        <v>215</v>
      </c>
      <c r="CH54" s="134">
        <v>244</v>
      </c>
      <c r="CI54" s="134">
        <v>68</v>
      </c>
      <c r="CJ54" s="134">
        <v>3</v>
      </c>
      <c r="CK54" s="134">
        <v>0</v>
      </c>
      <c r="CL54" s="134">
        <v>55</v>
      </c>
      <c r="CM54" s="134">
        <v>55</v>
      </c>
      <c r="CN54" s="134">
        <v>69</v>
      </c>
      <c r="CO54" s="134">
        <v>1457</v>
      </c>
      <c r="CP54" s="134">
        <v>1526</v>
      </c>
      <c r="CQ54" s="134">
        <v>0</v>
      </c>
      <c r="CR54" s="134">
        <v>0</v>
      </c>
      <c r="CS54" s="134">
        <v>0</v>
      </c>
      <c r="CT54" s="134">
        <v>1129</v>
      </c>
      <c r="CU54" s="134">
        <v>14294</v>
      </c>
      <c r="CV54" s="134">
        <v>15423</v>
      </c>
      <c r="CW54" s="134">
        <v>77</v>
      </c>
      <c r="CX54" s="134">
        <v>675</v>
      </c>
      <c r="CY54" s="134">
        <v>752</v>
      </c>
      <c r="CZ54" s="134">
        <v>67</v>
      </c>
      <c r="DA54" s="134">
        <v>5</v>
      </c>
      <c r="DB54" s="134">
        <v>0</v>
      </c>
      <c r="DC54" s="134">
        <v>633</v>
      </c>
      <c r="DD54" s="134">
        <v>8</v>
      </c>
      <c r="DE54" s="134">
        <v>2</v>
      </c>
      <c r="DF54" s="134">
        <v>72</v>
      </c>
      <c r="DG54" s="134">
        <v>643</v>
      </c>
      <c r="DH54" s="134">
        <v>715</v>
      </c>
      <c r="DI54" s="134">
        <v>5</v>
      </c>
      <c r="DJ54" s="134">
        <v>0</v>
      </c>
      <c r="DK54" s="134">
        <v>0</v>
      </c>
      <c r="DL54" s="134">
        <v>32</v>
      </c>
      <c r="DM54" s="134">
        <v>0</v>
      </c>
      <c r="DN54" s="134">
        <v>0</v>
      </c>
      <c r="DO54" s="134">
        <v>5</v>
      </c>
      <c r="DP54" s="134">
        <v>32</v>
      </c>
      <c r="DQ54" s="134">
        <v>37</v>
      </c>
      <c r="DR54" s="134">
        <v>1</v>
      </c>
      <c r="DS54" s="134">
        <v>0</v>
      </c>
      <c r="DT54" s="135">
        <v>1</v>
      </c>
      <c r="DU54" s="116"/>
      <c r="DV54" s="136"/>
      <c r="DX54" s="136"/>
      <c r="DY54" s="136"/>
    </row>
    <row r="55" spans="1:129" s="137" customFormat="1">
      <c r="A55" s="133" t="s">
        <v>324</v>
      </c>
      <c r="B55" s="134">
        <v>2844</v>
      </c>
      <c r="C55" s="134">
        <v>698</v>
      </c>
      <c r="D55" s="134">
        <v>2841</v>
      </c>
      <c r="E55" s="134">
        <v>1828</v>
      </c>
      <c r="F55" s="134">
        <v>4</v>
      </c>
      <c r="G55" s="134">
        <v>62</v>
      </c>
      <c r="H55" s="134">
        <v>66</v>
      </c>
      <c r="I55" s="134">
        <v>0</v>
      </c>
      <c r="J55" s="134">
        <v>909</v>
      </c>
      <c r="K55" s="134">
        <v>909</v>
      </c>
      <c r="L55" s="134">
        <v>0</v>
      </c>
      <c r="M55" s="134">
        <v>393</v>
      </c>
      <c r="N55" s="134">
        <v>393</v>
      </c>
      <c r="O55" s="134">
        <v>0</v>
      </c>
      <c r="P55" s="134">
        <v>516</v>
      </c>
      <c r="Q55" s="134">
        <v>516</v>
      </c>
      <c r="R55" s="134">
        <v>0</v>
      </c>
      <c r="S55" s="134">
        <v>20</v>
      </c>
      <c r="T55" s="134">
        <v>20</v>
      </c>
      <c r="U55" s="134">
        <v>0</v>
      </c>
      <c r="V55" s="134">
        <v>104</v>
      </c>
      <c r="W55" s="134">
        <v>104</v>
      </c>
      <c r="X55" s="134">
        <v>62</v>
      </c>
      <c r="Y55" s="134">
        <v>2779</v>
      </c>
      <c r="Z55" s="134">
        <v>2841</v>
      </c>
      <c r="AA55" s="134">
        <v>36</v>
      </c>
      <c r="AB55" s="134">
        <v>1218</v>
      </c>
      <c r="AC55" s="134">
        <v>1254</v>
      </c>
      <c r="AD55" s="134">
        <v>33</v>
      </c>
      <c r="AE55" s="134">
        <v>1151</v>
      </c>
      <c r="AF55" s="134">
        <v>1184</v>
      </c>
      <c r="AG55" s="134">
        <v>1</v>
      </c>
      <c r="AH55" s="134">
        <v>35</v>
      </c>
      <c r="AI55" s="134">
        <v>36</v>
      </c>
      <c r="AJ55" s="134">
        <v>2</v>
      </c>
      <c r="AK55" s="134">
        <v>32</v>
      </c>
      <c r="AL55" s="134">
        <v>34</v>
      </c>
      <c r="AM55" s="134">
        <v>26</v>
      </c>
      <c r="AN55" s="134">
        <v>1561</v>
      </c>
      <c r="AO55" s="134">
        <v>1587</v>
      </c>
      <c r="AP55" s="134">
        <v>4759</v>
      </c>
      <c r="AQ55" s="134">
        <v>31606</v>
      </c>
      <c r="AR55" s="134">
        <v>36365</v>
      </c>
      <c r="AS55" s="134">
        <v>4759</v>
      </c>
      <c r="AT55" s="134">
        <v>31606</v>
      </c>
      <c r="AU55" s="134">
        <v>36365</v>
      </c>
      <c r="AV55" s="134">
        <v>0</v>
      </c>
      <c r="AW55" s="134">
        <v>0</v>
      </c>
      <c r="AX55" s="134">
        <v>0</v>
      </c>
      <c r="AY55" s="134">
        <v>146</v>
      </c>
      <c r="AZ55" s="134">
        <v>2907</v>
      </c>
      <c r="BA55" s="134">
        <v>3053</v>
      </c>
      <c r="BB55" s="134">
        <v>78</v>
      </c>
      <c r="BC55" s="134">
        <v>0</v>
      </c>
      <c r="BD55" s="134">
        <v>0</v>
      </c>
      <c r="BE55" s="134">
        <v>1735</v>
      </c>
      <c r="BF55" s="134">
        <v>10</v>
      </c>
      <c r="BG55" s="134">
        <v>5</v>
      </c>
      <c r="BH55" s="134">
        <v>78</v>
      </c>
      <c r="BI55" s="134">
        <v>1750</v>
      </c>
      <c r="BJ55" s="134">
        <v>1828</v>
      </c>
      <c r="BK55" s="134">
        <v>-71</v>
      </c>
      <c r="BL55" s="134">
        <v>71</v>
      </c>
      <c r="BM55" s="134">
        <v>0</v>
      </c>
      <c r="BN55" s="134">
        <v>40</v>
      </c>
      <c r="BO55" s="134">
        <v>92</v>
      </c>
      <c r="BP55" s="134">
        <v>132</v>
      </c>
      <c r="BQ55" s="134">
        <v>32</v>
      </c>
      <c r="BR55" s="134">
        <v>465</v>
      </c>
      <c r="BS55" s="134">
        <v>497</v>
      </c>
      <c r="BT55" s="134">
        <v>67</v>
      </c>
      <c r="BU55" s="134">
        <v>529</v>
      </c>
      <c r="BV55" s="134">
        <v>596</v>
      </c>
      <c r="BW55" s="134">
        <v>4905</v>
      </c>
      <c r="BX55" s="134">
        <v>34513</v>
      </c>
      <c r="BY55" s="134">
        <v>39418</v>
      </c>
      <c r="BZ55" s="134">
        <v>4873</v>
      </c>
      <c r="CA55" s="134">
        <v>34313</v>
      </c>
      <c r="CB55" s="134">
        <v>39186</v>
      </c>
      <c r="CC55" s="134">
        <v>81330</v>
      </c>
      <c r="CD55" s="134">
        <v>16</v>
      </c>
      <c r="CE55" s="134">
        <v>219</v>
      </c>
      <c r="CF55" s="134">
        <v>31</v>
      </c>
      <c r="CG55" s="134">
        <v>165</v>
      </c>
      <c r="CH55" s="134">
        <v>196</v>
      </c>
      <c r="CI55" s="134">
        <v>34</v>
      </c>
      <c r="CJ55" s="134">
        <v>8</v>
      </c>
      <c r="CK55" s="134">
        <v>1</v>
      </c>
      <c r="CL55" s="134">
        <v>35</v>
      </c>
      <c r="CM55" s="134">
        <v>36</v>
      </c>
      <c r="CN55" s="134">
        <v>223</v>
      </c>
      <c r="CO55" s="134">
        <v>2807</v>
      </c>
      <c r="CP55" s="134">
        <v>3030</v>
      </c>
      <c r="CQ55" s="134">
        <v>0</v>
      </c>
      <c r="CR55" s="134">
        <v>1</v>
      </c>
      <c r="CS55" s="134">
        <v>1</v>
      </c>
      <c r="CT55" s="134">
        <v>4682</v>
      </c>
      <c r="CU55" s="134">
        <v>31706</v>
      </c>
      <c r="CV55" s="134">
        <v>36388</v>
      </c>
      <c r="CW55" s="134">
        <v>299</v>
      </c>
      <c r="CX55" s="134">
        <v>1307</v>
      </c>
      <c r="CY55" s="134">
        <v>1606</v>
      </c>
      <c r="CZ55" s="134">
        <v>298</v>
      </c>
      <c r="DA55" s="134">
        <v>1</v>
      </c>
      <c r="DB55" s="134">
        <v>0</v>
      </c>
      <c r="DC55" s="134">
        <v>1284</v>
      </c>
      <c r="DD55" s="134">
        <v>8</v>
      </c>
      <c r="DE55" s="134">
        <v>1</v>
      </c>
      <c r="DF55" s="134">
        <v>299</v>
      </c>
      <c r="DG55" s="134">
        <v>1293</v>
      </c>
      <c r="DH55" s="134">
        <v>1592</v>
      </c>
      <c r="DI55" s="134">
        <v>0</v>
      </c>
      <c r="DJ55" s="134">
        <v>0</v>
      </c>
      <c r="DK55" s="134">
        <v>0</v>
      </c>
      <c r="DL55" s="134">
        <v>14</v>
      </c>
      <c r="DM55" s="134">
        <v>0</v>
      </c>
      <c r="DN55" s="134">
        <v>0</v>
      </c>
      <c r="DO55" s="134">
        <v>0</v>
      </c>
      <c r="DP55" s="134">
        <v>14</v>
      </c>
      <c r="DQ55" s="134">
        <v>14</v>
      </c>
      <c r="DR55" s="134">
        <v>0</v>
      </c>
      <c r="DS55" s="134">
        <v>0</v>
      </c>
      <c r="DT55" s="135">
        <v>0</v>
      </c>
      <c r="DU55" s="116"/>
      <c r="DV55" s="136"/>
      <c r="DX55" s="136"/>
      <c r="DY55" s="136"/>
    </row>
    <row r="56" spans="1:129" s="137" customFormat="1">
      <c r="A56" s="133" t="s">
        <v>325</v>
      </c>
      <c r="B56" s="134">
        <v>485</v>
      </c>
      <c r="C56" s="134">
        <v>152</v>
      </c>
      <c r="D56" s="134">
        <v>425</v>
      </c>
      <c r="E56" s="134">
        <v>234</v>
      </c>
      <c r="F56" s="134">
        <v>0</v>
      </c>
      <c r="G56" s="134">
        <v>10</v>
      </c>
      <c r="H56" s="134">
        <v>10</v>
      </c>
      <c r="I56" s="134">
        <v>0</v>
      </c>
      <c r="J56" s="134">
        <v>183</v>
      </c>
      <c r="K56" s="134">
        <v>183</v>
      </c>
      <c r="L56" s="134">
        <v>0</v>
      </c>
      <c r="M56" s="134">
        <v>36</v>
      </c>
      <c r="N56" s="134">
        <v>36</v>
      </c>
      <c r="O56" s="134">
        <v>0</v>
      </c>
      <c r="P56" s="134">
        <v>147</v>
      </c>
      <c r="Q56" s="134">
        <v>147</v>
      </c>
      <c r="R56" s="134">
        <v>0</v>
      </c>
      <c r="S56" s="134">
        <v>1</v>
      </c>
      <c r="T56" s="134">
        <v>1</v>
      </c>
      <c r="U56" s="134">
        <v>0</v>
      </c>
      <c r="V56" s="134">
        <v>8</v>
      </c>
      <c r="W56" s="134">
        <v>8</v>
      </c>
      <c r="X56" s="134">
        <v>8</v>
      </c>
      <c r="Y56" s="134">
        <v>417</v>
      </c>
      <c r="Z56" s="134">
        <v>425</v>
      </c>
      <c r="AA56" s="134">
        <v>5</v>
      </c>
      <c r="AB56" s="134">
        <v>174</v>
      </c>
      <c r="AC56" s="134">
        <v>179</v>
      </c>
      <c r="AD56" s="134">
        <v>4</v>
      </c>
      <c r="AE56" s="134">
        <v>162</v>
      </c>
      <c r="AF56" s="134">
        <v>166</v>
      </c>
      <c r="AG56" s="134">
        <v>0</v>
      </c>
      <c r="AH56" s="134">
        <v>8</v>
      </c>
      <c r="AI56" s="134">
        <v>8</v>
      </c>
      <c r="AJ56" s="134">
        <v>1</v>
      </c>
      <c r="AK56" s="134">
        <v>4</v>
      </c>
      <c r="AL56" s="134">
        <v>5</v>
      </c>
      <c r="AM56" s="134">
        <v>3</v>
      </c>
      <c r="AN56" s="134">
        <v>243</v>
      </c>
      <c r="AO56" s="134">
        <v>246</v>
      </c>
      <c r="AP56" s="134">
        <v>612</v>
      </c>
      <c r="AQ56" s="134">
        <v>4278</v>
      </c>
      <c r="AR56" s="134">
        <v>4890</v>
      </c>
      <c r="AS56" s="134">
        <v>612</v>
      </c>
      <c r="AT56" s="134">
        <v>4278</v>
      </c>
      <c r="AU56" s="134">
        <v>4890</v>
      </c>
      <c r="AV56" s="134">
        <v>0</v>
      </c>
      <c r="AW56" s="134">
        <v>0</v>
      </c>
      <c r="AX56" s="134">
        <v>0</v>
      </c>
      <c r="AY56" s="134">
        <v>50</v>
      </c>
      <c r="AZ56" s="134">
        <v>429</v>
      </c>
      <c r="BA56" s="134">
        <v>479</v>
      </c>
      <c r="BB56" s="134">
        <v>8</v>
      </c>
      <c r="BC56" s="134">
        <v>1</v>
      </c>
      <c r="BD56" s="134">
        <v>0</v>
      </c>
      <c r="BE56" s="134">
        <v>222</v>
      </c>
      <c r="BF56" s="134">
        <v>2</v>
      </c>
      <c r="BG56" s="134">
        <v>1</v>
      </c>
      <c r="BH56" s="134">
        <v>9</v>
      </c>
      <c r="BI56" s="134">
        <v>225</v>
      </c>
      <c r="BJ56" s="134">
        <v>234</v>
      </c>
      <c r="BK56" s="134">
        <v>9</v>
      </c>
      <c r="BL56" s="134">
        <v>-9</v>
      </c>
      <c r="BM56" s="134">
        <v>0</v>
      </c>
      <c r="BN56" s="134">
        <v>5</v>
      </c>
      <c r="BO56" s="134">
        <v>34</v>
      </c>
      <c r="BP56" s="134">
        <v>39</v>
      </c>
      <c r="BQ56" s="134">
        <v>5</v>
      </c>
      <c r="BR56" s="134">
        <v>59</v>
      </c>
      <c r="BS56" s="134">
        <v>64</v>
      </c>
      <c r="BT56" s="134">
        <v>22</v>
      </c>
      <c r="BU56" s="134">
        <v>120</v>
      </c>
      <c r="BV56" s="134">
        <v>142</v>
      </c>
      <c r="BW56" s="134">
        <v>662</v>
      </c>
      <c r="BX56" s="134">
        <v>4707</v>
      </c>
      <c r="BY56" s="134">
        <v>5369</v>
      </c>
      <c r="BZ56" s="134">
        <v>647</v>
      </c>
      <c r="CA56" s="134">
        <v>4644</v>
      </c>
      <c r="CB56" s="134">
        <v>5291</v>
      </c>
      <c r="CC56" s="134">
        <v>12106</v>
      </c>
      <c r="CD56" s="134">
        <v>4</v>
      </c>
      <c r="CE56" s="134">
        <v>72</v>
      </c>
      <c r="CF56" s="134">
        <v>14</v>
      </c>
      <c r="CG56" s="134">
        <v>49</v>
      </c>
      <c r="CH56" s="134">
        <v>63</v>
      </c>
      <c r="CI56" s="134">
        <v>16</v>
      </c>
      <c r="CJ56" s="134">
        <v>4</v>
      </c>
      <c r="CK56" s="134">
        <v>1</v>
      </c>
      <c r="CL56" s="134">
        <v>14</v>
      </c>
      <c r="CM56" s="134">
        <v>15</v>
      </c>
      <c r="CN56" s="134">
        <v>38</v>
      </c>
      <c r="CO56" s="134">
        <v>423</v>
      </c>
      <c r="CP56" s="134">
        <v>461</v>
      </c>
      <c r="CQ56" s="134">
        <v>0</v>
      </c>
      <c r="CR56" s="134">
        <v>0</v>
      </c>
      <c r="CS56" s="134">
        <v>0</v>
      </c>
      <c r="CT56" s="134">
        <v>624</v>
      </c>
      <c r="CU56" s="134">
        <v>4284</v>
      </c>
      <c r="CV56" s="134">
        <v>4908</v>
      </c>
      <c r="CW56" s="134">
        <v>32</v>
      </c>
      <c r="CX56" s="134">
        <v>205</v>
      </c>
      <c r="CY56" s="134">
        <v>237</v>
      </c>
      <c r="CZ56" s="134">
        <v>31</v>
      </c>
      <c r="DA56" s="134">
        <v>1</v>
      </c>
      <c r="DB56" s="134">
        <v>0</v>
      </c>
      <c r="DC56" s="134">
        <v>198</v>
      </c>
      <c r="DD56" s="134">
        <v>1</v>
      </c>
      <c r="DE56" s="134">
        <v>0</v>
      </c>
      <c r="DF56" s="134">
        <v>32</v>
      </c>
      <c r="DG56" s="134">
        <v>199</v>
      </c>
      <c r="DH56" s="134">
        <v>231</v>
      </c>
      <c r="DI56" s="134">
        <v>0</v>
      </c>
      <c r="DJ56" s="134">
        <v>0</v>
      </c>
      <c r="DK56" s="134">
        <v>0</v>
      </c>
      <c r="DL56" s="134">
        <v>6</v>
      </c>
      <c r="DM56" s="134">
        <v>0</v>
      </c>
      <c r="DN56" s="134">
        <v>0</v>
      </c>
      <c r="DO56" s="134">
        <v>0</v>
      </c>
      <c r="DP56" s="134">
        <v>6</v>
      </c>
      <c r="DQ56" s="134">
        <v>6</v>
      </c>
      <c r="DR56" s="134">
        <v>0</v>
      </c>
      <c r="DS56" s="134">
        <v>0</v>
      </c>
      <c r="DT56" s="135">
        <v>0</v>
      </c>
      <c r="DU56" s="116"/>
      <c r="DV56" s="136"/>
      <c r="DX56" s="136"/>
      <c r="DY56" s="136"/>
    </row>
    <row r="57" spans="1:129" s="137" customFormat="1">
      <c r="A57" s="133" t="s">
        <v>326</v>
      </c>
      <c r="B57" s="134">
        <v>376</v>
      </c>
      <c r="C57" s="134">
        <v>46</v>
      </c>
      <c r="D57" s="134">
        <v>316</v>
      </c>
      <c r="E57" s="134">
        <v>194</v>
      </c>
      <c r="F57" s="134">
        <v>0</v>
      </c>
      <c r="G57" s="134">
        <v>16</v>
      </c>
      <c r="H57" s="134">
        <v>16</v>
      </c>
      <c r="I57" s="134">
        <v>0</v>
      </c>
      <c r="J57" s="134">
        <v>102</v>
      </c>
      <c r="K57" s="134">
        <v>102</v>
      </c>
      <c r="L57" s="134">
        <v>0</v>
      </c>
      <c r="M57" s="134">
        <v>16</v>
      </c>
      <c r="N57" s="134">
        <v>16</v>
      </c>
      <c r="O57" s="134">
        <v>0</v>
      </c>
      <c r="P57" s="134">
        <v>86</v>
      </c>
      <c r="Q57" s="134">
        <v>86</v>
      </c>
      <c r="R57" s="134">
        <v>0</v>
      </c>
      <c r="S57" s="134">
        <v>1</v>
      </c>
      <c r="T57" s="134">
        <v>1</v>
      </c>
      <c r="U57" s="134">
        <v>0</v>
      </c>
      <c r="V57" s="134">
        <v>20</v>
      </c>
      <c r="W57" s="134">
        <v>20</v>
      </c>
      <c r="X57" s="134">
        <v>7</v>
      </c>
      <c r="Y57" s="134">
        <v>309</v>
      </c>
      <c r="Z57" s="134">
        <v>316</v>
      </c>
      <c r="AA57" s="134">
        <v>4</v>
      </c>
      <c r="AB57" s="134">
        <v>130</v>
      </c>
      <c r="AC57" s="134">
        <v>134</v>
      </c>
      <c r="AD57" s="134">
        <v>4</v>
      </c>
      <c r="AE57" s="134">
        <v>126</v>
      </c>
      <c r="AF57" s="134">
        <v>130</v>
      </c>
      <c r="AG57" s="134">
        <v>0</v>
      </c>
      <c r="AH57" s="134">
        <v>3</v>
      </c>
      <c r="AI57" s="134">
        <v>3</v>
      </c>
      <c r="AJ57" s="134">
        <v>0</v>
      </c>
      <c r="AK57" s="134">
        <v>1</v>
      </c>
      <c r="AL57" s="134">
        <v>1</v>
      </c>
      <c r="AM57" s="134">
        <v>3</v>
      </c>
      <c r="AN57" s="134">
        <v>179</v>
      </c>
      <c r="AO57" s="134">
        <v>182</v>
      </c>
      <c r="AP57" s="134">
        <v>419</v>
      </c>
      <c r="AQ57" s="134">
        <v>3438</v>
      </c>
      <c r="AR57" s="134">
        <v>3857</v>
      </c>
      <c r="AS57" s="134">
        <v>419</v>
      </c>
      <c r="AT57" s="134">
        <v>3438</v>
      </c>
      <c r="AU57" s="134">
        <v>3857</v>
      </c>
      <c r="AV57" s="134">
        <v>0</v>
      </c>
      <c r="AW57" s="134">
        <v>0</v>
      </c>
      <c r="AX57" s="134">
        <v>0</v>
      </c>
      <c r="AY57" s="134">
        <v>15</v>
      </c>
      <c r="AZ57" s="134">
        <v>352</v>
      </c>
      <c r="BA57" s="134">
        <v>367</v>
      </c>
      <c r="BB57" s="134">
        <v>6</v>
      </c>
      <c r="BC57" s="134">
        <v>0</v>
      </c>
      <c r="BD57" s="134">
        <v>0</v>
      </c>
      <c r="BE57" s="134">
        <v>186</v>
      </c>
      <c r="BF57" s="134">
        <v>2</v>
      </c>
      <c r="BG57" s="134">
        <v>0</v>
      </c>
      <c r="BH57" s="134">
        <v>6</v>
      </c>
      <c r="BI57" s="134">
        <v>188</v>
      </c>
      <c r="BJ57" s="134">
        <v>194</v>
      </c>
      <c r="BK57" s="134">
        <v>1</v>
      </c>
      <c r="BL57" s="134">
        <v>-1</v>
      </c>
      <c r="BM57" s="134">
        <v>0</v>
      </c>
      <c r="BN57" s="134">
        <v>2</v>
      </c>
      <c r="BO57" s="134">
        <v>18</v>
      </c>
      <c r="BP57" s="134">
        <v>20</v>
      </c>
      <c r="BQ57" s="134">
        <v>1</v>
      </c>
      <c r="BR57" s="134">
        <v>38</v>
      </c>
      <c r="BS57" s="134">
        <v>39</v>
      </c>
      <c r="BT57" s="134">
        <v>5</v>
      </c>
      <c r="BU57" s="134">
        <v>109</v>
      </c>
      <c r="BV57" s="134">
        <v>114</v>
      </c>
      <c r="BW57" s="134">
        <v>434</v>
      </c>
      <c r="BX57" s="134">
        <v>3790</v>
      </c>
      <c r="BY57" s="134">
        <v>4224</v>
      </c>
      <c r="BZ57" s="134">
        <v>434</v>
      </c>
      <c r="CA57" s="134">
        <v>3783</v>
      </c>
      <c r="CB57" s="134">
        <v>4217</v>
      </c>
      <c r="CC57" s="134">
        <v>9019</v>
      </c>
      <c r="CD57" s="134">
        <v>0</v>
      </c>
      <c r="CE57" s="134">
        <v>5</v>
      </c>
      <c r="CF57" s="134">
        <v>0</v>
      </c>
      <c r="CG57" s="134">
        <v>5</v>
      </c>
      <c r="CH57" s="134">
        <v>5</v>
      </c>
      <c r="CI57" s="134">
        <v>2</v>
      </c>
      <c r="CJ57" s="134">
        <v>0</v>
      </c>
      <c r="CK57" s="134">
        <v>0</v>
      </c>
      <c r="CL57" s="134">
        <v>2</v>
      </c>
      <c r="CM57" s="134">
        <v>2</v>
      </c>
      <c r="CN57" s="134">
        <v>22</v>
      </c>
      <c r="CO57" s="134">
        <v>371</v>
      </c>
      <c r="CP57" s="134">
        <v>393</v>
      </c>
      <c r="CQ57" s="134">
        <v>0</v>
      </c>
      <c r="CR57" s="134">
        <v>8</v>
      </c>
      <c r="CS57" s="134">
        <v>8</v>
      </c>
      <c r="CT57" s="134">
        <v>412</v>
      </c>
      <c r="CU57" s="134">
        <v>3419</v>
      </c>
      <c r="CV57" s="134">
        <v>3831</v>
      </c>
      <c r="CW57" s="134">
        <v>21</v>
      </c>
      <c r="CX57" s="134">
        <v>109</v>
      </c>
      <c r="CY57" s="134">
        <v>130</v>
      </c>
      <c r="CZ57" s="134">
        <v>21</v>
      </c>
      <c r="DA57" s="134">
        <v>0</v>
      </c>
      <c r="DB57" s="134">
        <v>0</v>
      </c>
      <c r="DC57" s="134">
        <v>106</v>
      </c>
      <c r="DD57" s="134">
        <v>0</v>
      </c>
      <c r="DE57" s="134">
        <v>0</v>
      </c>
      <c r="DF57" s="134">
        <v>21</v>
      </c>
      <c r="DG57" s="134">
        <v>106</v>
      </c>
      <c r="DH57" s="134">
        <v>127</v>
      </c>
      <c r="DI57" s="134">
        <v>0</v>
      </c>
      <c r="DJ57" s="134">
        <v>0</v>
      </c>
      <c r="DK57" s="134">
        <v>0</v>
      </c>
      <c r="DL57" s="134">
        <v>3</v>
      </c>
      <c r="DM57" s="134">
        <v>0</v>
      </c>
      <c r="DN57" s="134">
        <v>0</v>
      </c>
      <c r="DO57" s="134">
        <v>0</v>
      </c>
      <c r="DP57" s="134">
        <v>3</v>
      </c>
      <c r="DQ57" s="134">
        <v>3</v>
      </c>
      <c r="DR57" s="134">
        <v>0</v>
      </c>
      <c r="DS57" s="134">
        <v>0</v>
      </c>
      <c r="DT57" s="135">
        <v>0</v>
      </c>
      <c r="DU57" s="116"/>
      <c r="DV57" s="136"/>
      <c r="DX57" s="136"/>
      <c r="DY57" s="136"/>
    </row>
    <row r="58" spans="1:129" s="137" customFormat="1">
      <c r="A58" s="133" t="s">
        <v>327</v>
      </c>
      <c r="B58" s="134">
        <v>97</v>
      </c>
      <c r="C58" s="134">
        <v>11</v>
      </c>
      <c r="D58" s="134">
        <v>83</v>
      </c>
      <c r="E58" s="134">
        <v>52</v>
      </c>
      <c r="F58" s="134">
        <v>0</v>
      </c>
      <c r="G58" s="134">
        <v>0</v>
      </c>
      <c r="H58" s="134">
        <v>0</v>
      </c>
      <c r="I58" s="134">
        <v>0</v>
      </c>
      <c r="J58" s="134">
        <v>29</v>
      </c>
      <c r="K58" s="134">
        <v>29</v>
      </c>
      <c r="L58" s="134">
        <v>0</v>
      </c>
      <c r="M58" s="134">
        <v>2</v>
      </c>
      <c r="N58" s="134">
        <v>2</v>
      </c>
      <c r="O58" s="134">
        <v>0</v>
      </c>
      <c r="P58" s="134">
        <v>27</v>
      </c>
      <c r="Q58" s="134">
        <v>27</v>
      </c>
      <c r="R58" s="134">
        <v>0</v>
      </c>
      <c r="S58" s="134">
        <v>0</v>
      </c>
      <c r="T58" s="134">
        <v>0</v>
      </c>
      <c r="U58" s="134">
        <v>0</v>
      </c>
      <c r="V58" s="134">
        <v>2</v>
      </c>
      <c r="W58" s="134">
        <v>2</v>
      </c>
      <c r="X58" s="134">
        <v>1</v>
      </c>
      <c r="Y58" s="134">
        <v>82</v>
      </c>
      <c r="Z58" s="134">
        <v>83</v>
      </c>
      <c r="AA58" s="134">
        <v>1</v>
      </c>
      <c r="AB58" s="134">
        <v>40</v>
      </c>
      <c r="AC58" s="134">
        <v>41</v>
      </c>
      <c r="AD58" s="134">
        <v>1</v>
      </c>
      <c r="AE58" s="134">
        <v>31</v>
      </c>
      <c r="AF58" s="134">
        <v>32</v>
      </c>
      <c r="AG58" s="134">
        <v>0</v>
      </c>
      <c r="AH58" s="134">
        <v>4</v>
      </c>
      <c r="AI58" s="134">
        <v>4</v>
      </c>
      <c r="AJ58" s="134">
        <v>0</v>
      </c>
      <c r="AK58" s="134">
        <v>5</v>
      </c>
      <c r="AL58" s="134">
        <v>5</v>
      </c>
      <c r="AM58" s="134">
        <v>0</v>
      </c>
      <c r="AN58" s="134">
        <v>42</v>
      </c>
      <c r="AO58" s="134">
        <v>42</v>
      </c>
      <c r="AP58" s="134">
        <v>68</v>
      </c>
      <c r="AQ58" s="134">
        <v>823</v>
      </c>
      <c r="AR58" s="134">
        <v>891</v>
      </c>
      <c r="AS58" s="134">
        <v>68</v>
      </c>
      <c r="AT58" s="134">
        <v>823</v>
      </c>
      <c r="AU58" s="134">
        <v>891</v>
      </c>
      <c r="AV58" s="134">
        <v>0</v>
      </c>
      <c r="AW58" s="134">
        <v>0</v>
      </c>
      <c r="AX58" s="134">
        <v>0</v>
      </c>
      <c r="AY58" s="134">
        <v>6</v>
      </c>
      <c r="AZ58" s="134">
        <v>100</v>
      </c>
      <c r="BA58" s="134">
        <v>106</v>
      </c>
      <c r="BB58" s="134">
        <v>1</v>
      </c>
      <c r="BC58" s="134">
        <v>0</v>
      </c>
      <c r="BD58" s="134">
        <v>0</v>
      </c>
      <c r="BE58" s="134">
        <v>51</v>
      </c>
      <c r="BF58" s="134">
        <v>0</v>
      </c>
      <c r="BG58" s="134">
        <v>0</v>
      </c>
      <c r="BH58" s="134">
        <v>1</v>
      </c>
      <c r="BI58" s="134">
        <v>51</v>
      </c>
      <c r="BJ58" s="134">
        <v>52</v>
      </c>
      <c r="BK58" s="134">
        <v>1</v>
      </c>
      <c r="BL58" s="134">
        <v>-1</v>
      </c>
      <c r="BM58" s="134">
        <v>0</v>
      </c>
      <c r="BN58" s="134">
        <v>2</v>
      </c>
      <c r="BO58" s="134">
        <v>7</v>
      </c>
      <c r="BP58" s="134">
        <v>9</v>
      </c>
      <c r="BQ58" s="134">
        <v>1</v>
      </c>
      <c r="BR58" s="134">
        <v>17</v>
      </c>
      <c r="BS58" s="134">
        <v>18</v>
      </c>
      <c r="BT58" s="134">
        <v>1</v>
      </c>
      <c r="BU58" s="134">
        <v>26</v>
      </c>
      <c r="BV58" s="134">
        <v>27</v>
      </c>
      <c r="BW58" s="134">
        <v>74</v>
      </c>
      <c r="BX58" s="134">
        <v>923</v>
      </c>
      <c r="BY58" s="134">
        <v>997</v>
      </c>
      <c r="BZ58" s="134">
        <v>74</v>
      </c>
      <c r="CA58" s="134">
        <v>922</v>
      </c>
      <c r="CB58" s="134">
        <v>996</v>
      </c>
      <c r="CC58" s="134">
        <v>1711</v>
      </c>
      <c r="CD58" s="134">
        <v>0</v>
      </c>
      <c r="CE58" s="134">
        <v>1</v>
      </c>
      <c r="CF58" s="134">
        <v>0</v>
      </c>
      <c r="CG58" s="134">
        <v>1</v>
      </c>
      <c r="CH58" s="134">
        <v>1</v>
      </c>
      <c r="CI58" s="134">
        <v>0</v>
      </c>
      <c r="CJ58" s="134">
        <v>0</v>
      </c>
      <c r="CK58" s="134">
        <v>0</v>
      </c>
      <c r="CL58" s="134">
        <v>0</v>
      </c>
      <c r="CM58" s="134">
        <v>0</v>
      </c>
      <c r="CN58" s="134">
        <v>5</v>
      </c>
      <c r="CO58" s="134">
        <v>106</v>
      </c>
      <c r="CP58" s="134">
        <v>111</v>
      </c>
      <c r="CQ58" s="134">
        <v>0</v>
      </c>
      <c r="CR58" s="134">
        <v>0</v>
      </c>
      <c r="CS58" s="134">
        <v>0</v>
      </c>
      <c r="CT58" s="134">
        <v>69</v>
      </c>
      <c r="CU58" s="134">
        <v>817</v>
      </c>
      <c r="CV58" s="134">
        <v>886</v>
      </c>
      <c r="CW58" s="134">
        <v>2</v>
      </c>
      <c r="CX58" s="134">
        <v>36</v>
      </c>
      <c r="CY58" s="134">
        <v>38</v>
      </c>
      <c r="CZ58" s="134">
        <v>2</v>
      </c>
      <c r="DA58" s="134">
        <v>0</v>
      </c>
      <c r="DB58" s="134">
        <v>0</v>
      </c>
      <c r="DC58" s="134">
        <v>36</v>
      </c>
      <c r="DD58" s="134">
        <v>0</v>
      </c>
      <c r="DE58" s="134">
        <v>0</v>
      </c>
      <c r="DF58" s="134">
        <v>2</v>
      </c>
      <c r="DG58" s="134">
        <v>36</v>
      </c>
      <c r="DH58" s="134">
        <v>38</v>
      </c>
      <c r="DI58" s="134">
        <v>0</v>
      </c>
      <c r="DJ58" s="134">
        <v>0</v>
      </c>
      <c r="DK58" s="134">
        <v>0</v>
      </c>
      <c r="DL58" s="134">
        <v>0</v>
      </c>
      <c r="DM58" s="134">
        <v>0</v>
      </c>
      <c r="DN58" s="134">
        <v>0</v>
      </c>
      <c r="DO58" s="134">
        <v>0</v>
      </c>
      <c r="DP58" s="134">
        <v>0</v>
      </c>
      <c r="DQ58" s="134">
        <v>0</v>
      </c>
      <c r="DR58" s="134">
        <v>0</v>
      </c>
      <c r="DS58" s="134">
        <v>0</v>
      </c>
      <c r="DT58" s="135">
        <v>0</v>
      </c>
      <c r="DU58" s="116"/>
      <c r="DV58" s="136"/>
      <c r="DX58" s="136"/>
      <c r="DY58" s="136"/>
    </row>
    <row r="59" spans="1:129" s="137" customFormat="1">
      <c r="A59" s="133" t="s">
        <v>328</v>
      </c>
      <c r="B59" s="134">
        <v>2769</v>
      </c>
      <c r="C59" s="134">
        <v>196</v>
      </c>
      <c r="D59" s="134">
        <v>2515</v>
      </c>
      <c r="E59" s="134">
        <v>2009</v>
      </c>
      <c r="F59" s="134">
        <v>13</v>
      </c>
      <c r="G59" s="134">
        <v>223</v>
      </c>
      <c r="H59" s="134">
        <v>236</v>
      </c>
      <c r="I59" s="134">
        <v>1</v>
      </c>
      <c r="J59" s="134">
        <v>427</v>
      </c>
      <c r="K59" s="134">
        <v>428</v>
      </c>
      <c r="L59" s="134">
        <v>0</v>
      </c>
      <c r="M59" s="134">
        <v>208</v>
      </c>
      <c r="N59" s="134">
        <v>208</v>
      </c>
      <c r="O59" s="134">
        <v>1</v>
      </c>
      <c r="P59" s="134">
        <v>219</v>
      </c>
      <c r="Q59" s="134">
        <v>220</v>
      </c>
      <c r="R59" s="134">
        <v>0</v>
      </c>
      <c r="S59" s="134">
        <v>78</v>
      </c>
      <c r="T59" s="134">
        <v>78</v>
      </c>
      <c r="U59" s="134">
        <v>0</v>
      </c>
      <c r="V59" s="134">
        <v>78</v>
      </c>
      <c r="W59" s="134">
        <v>78</v>
      </c>
      <c r="X59" s="134">
        <v>38</v>
      </c>
      <c r="Y59" s="134">
        <v>1102</v>
      </c>
      <c r="Z59" s="134">
        <v>1140</v>
      </c>
      <c r="AA59" s="134">
        <v>18</v>
      </c>
      <c r="AB59" s="134">
        <v>287</v>
      </c>
      <c r="AC59" s="134">
        <v>305</v>
      </c>
      <c r="AD59" s="134">
        <v>12</v>
      </c>
      <c r="AE59" s="134">
        <v>245</v>
      </c>
      <c r="AF59" s="134">
        <v>257</v>
      </c>
      <c r="AG59" s="134">
        <v>3</v>
      </c>
      <c r="AH59" s="134">
        <v>40</v>
      </c>
      <c r="AI59" s="134">
        <v>43</v>
      </c>
      <c r="AJ59" s="134">
        <v>3</v>
      </c>
      <c r="AK59" s="134">
        <v>2</v>
      </c>
      <c r="AL59" s="134">
        <v>5</v>
      </c>
      <c r="AM59" s="134">
        <v>20</v>
      </c>
      <c r="AN59" s="134">
        <v>815</v>
      </c>
      <c r="AO59" s="134">
        <v>835</v>
      </c>
      <c r="AP59" s="134">
        <v>6960</v>
      </c>
      <c r="AQ59" s="134">
        <v>43941</v>
      </c>
      <c r="AR59" s="134">
        <v>50901</v>
      </c>
      <c r="AS59" s="134">
        <v>7037</v>
      </c>
      <c r="AT59" s="134">
        <v>44820</v>
      </c>
      <c r="AU59" s="134">
        <v>51857</v>
      </c>
      <c r="AV59" s="134">
        <v>-77</v>
      </c>
      <c r="AW59" s="134">
        <v>-879</v>
      </c>
      <c r="AX59" s="134">
        <v>-956</v>
      </c>
      <c r="AY59" s="134">
        <v>396</v>
      </c>
      <c r="AZ59" s="134">
        <v>3830</v>
      </c>
      <c r="BA59" s="134">
        <v>4226</v>
      </c>
      <c r="BB59" s="134">
        <v>140</v>
      </c>
      <c r="BC59" s="134">
        <v>2</v>
      </c>
      <c r="BD59" s="134">
        <v>0</v>
      </c>
      <c r="BE59" s="134">
        <v>1822</v>
      </c>
      <c r="BF59" s="134">
        <v>36</v>
      </c>
      <c r="BG59" s="134">
        <v>9</v>
      </c>
      <c r="BH59" s="134">
        <v>142</v>
      </c>
      <c r="BI59" s="134">
        <v>1867</v>
      </c>
      <c r="BJ59" s="134">
        <v>2009</v>
      </c>
      <c r="BK59" s="134">
        <v>-5</v>
      </c>
      <c r="BL59" s="134">
        <v>5</v>
      </c>
      <c r="BM59" s="134">
        <v>0</v>
      </c>
      <c r="BN59" s="134">
        <v>7</v>
      </c>
      <c r="BO59" s="134">
        <v>56</v>
      </c>
      <c r="BP59" s="134">
        <v>63</v>
      </c>
      <c r="BQ59" s="134">
        <v>46</v>
      </c>
      <c r="BR59" s="134">
        <v>545</v>
      </c>
      <c r="BS59" s="134">
        <v>591</v>
      </c>
      <c r="BT59" s="134">
        <v>206</v>
      </c>
      <c r="BU59" s="134">
        <v>1357</v>
      </c>
      <c r="BV59" s="134">
        <v>1563</v>
      </c>
      <c r="BW59" s="134">
        <v>7356</v>
      </c>
      <c r="BX59" s="134">
        <v>47771</v>
      </c>
      <c r="BY59" s="134">
        <v>55127</v>
      </c>
      <c r="BZ59" s="134">
        <v>7289</v>
      </c>
      <c r="CA59" s="134">
        <v>46882</v>
      </c>
      <c r="CB59" s="134">
        <v>54171</v>
      </c>
      <c r="CC59" s="134">
        <v>118651</v>
      </c>
      <c r="CD59" s="134">
        <v>97</v>
      </c>
      <c r="CE59" s="134">
        <v>870</v>
      </c>
      <c r="CF59" s="134">
        <v>67</v>
      </c>
      <c r="CG59" s="134">
        <v>690</v>
      </c>
      <c r="CH59" s="134">
        <v>757</v>
      </c>
      <c r="CI59" s="134">
        <v>244</v>
      </c>
      <c r="CJ59" s="134">
        <v>2</v>
      </c>
      <c r="CK59" s="134">
        <v>0</v>
      </c>
      <c r="CL59" s="134">
        <v>199</v>
      </c>
      <c r="CM59" s="134">
        <v>199</v>
      </c>
      <c r="CN59" s="134">
        <v>369</v>
      </c>
      <c r="CO59" s="134">
        <v>3894</v>
      </c>
      <c r="CP59" s="134">
        <v>4263</v>
      </c>
      <c r="CQ59" s="134">
        <v>0</v>
      </c>
      <c r="CR59" s="134">
        <v>0</v>
      </c>
      <c r="CS59" s="134">
        <v>0</v>
      </c>
      <c r="CT59" s="134">
        <v>6987</v>
      </c>
      <c r="CU59" s="134">
        <v>43877</v>
      </c>
      <c r="CV59" s="134">
        <v>50864</v>
      </c>
      <c r="CW59" s="134">
        <v>468</v>
      </c>
      <c r="CX59" s="134">
        <v>2338</v>
      </c>
      <c r="CY59" s="134">
        <v>2806</v>
      </c>
      <c r="CZ59" s="134">
        <v>460</v>
      </c>
      <c r="DA59" s="134">
        <v>5</v>
      </c>
      <c r="DB59" s="134">
        <v>0</v>
      </c>
      <c r="DC59" s="134">
        <v>2161</v>
      </c>
      <c r="DD59" s="134">
        <v>37</v>
      </c>
      <c r="DE59" s="134">
        <v>4</v>
      </c>
      <c r="DF59" s="134">
        <v>465</v>
      </c>
      <c r="DG59" s="134">
        <v>2202</v>
      </c>
      <c r="DH59" s="134">
        <v>2667</v>
      </c>
      <c r="DI59" s="134">
        <v>3</v>
      </c>
      <c r="DJ59" s="134">
        <v>0</v>
      </c>
      <c r="DK59" s="134">
        <v>0</v>
      </c>
      <c r="DL59" s="134">
        <v>126</v>
      </c>
      <c r="DM59" s="134">
        <v>10</v>
      </c>
      <c r="DN59" s="134">
        <v>0</v>
      </c>
      <c r="DO59" s="134">
        <v>3</v>
      </c>
      <c r="DP59" s="134">
        <v>136</v>
      </c>
      <c r="DQ59" s="134">
        <v>139</v>
      </c>
      <c r="DR59" s="134">
        <v>0</v>
      </c>
      <c r="DS59" s="134">
        <v>0</v>
      </c>
      <c r="DT59" s="135">
        <v>0</v>
      </c>
      <c r="DU59" s="116"/>
      <c r="DV59" s="136"/>
      <c r="DX59" s="136"/>
      <c r="DY59" s="136"/>
    </row>
    <row r="60" spans="1:129" s="137" customFormat="1">
      <c r="A60" s="133" t="s">
        <v>329</v>
      </c>
      <c r="B60" s="134">
        <v>237</v>
      </c>
      <c r="C60" s="134">
        <v>3</v>
      </c>
      <c r="D60" s="134">
        <v>216</v>
      </c>
      <c r="E60" s="134">
        <v>122</v>
      </c>
      <c r="F60" s="134">
        <v>0</v>
      </c>
      <c r="G60" s="134">
        <v>2</v>
      </c>
      <c r="H60" s="134">
        <v>2</v>
      </c>
      <c r="I60" s="134">
        <v>0</v>
      </c>
      <c r="J60" s="134">
        <v>73</v>
      </c>
      <c r="K60" s="134">
        <v>73</v>
      </c>
      <c r="L60" s="134">
        <v>0</v>
      </c>
      <c r="M60" s="134">
        <v>13</v>
      </c>
      <c r="N60" s="134">
        <v>13</v>
      </c>
      <c r="O60" s="134">
        <v>0</v>
      </c>
      <c r="P60" s="134">
        <v>60</v>
      </c>
      <c r="Q60" s="134">
        <v>60</v>
      </c>
      <c r="R60" s="134">
        <v>0</v>
      </c>
      <c r="S60" s="134">
        <v>0</v>
      </c>
      <c r="T60" s="134">
        <v>0</v>
      </c>
      <c r="U60" s="134">
        <v>0</v>
      </c>
      <c r="V60" s="134">
        <v>21</v>
      </c>
      <c r="W60" s="134">
        <v>21</v>
      </c>
      <c r="X60" s="134">
        <v>2</v>
      </c>
      <c r="Y60" s="134">
        <v>214</v>
      </c>
      <c r="Z60" s="134">
        <v>216</v>
      </c>
      <c r="AA60" s="134">
        <v>2</v>
      </c>
      <c r="AB60" s="134">
        <v>87</v>
      </c>
      <c r="AC60" s="134">
        <v>89</v>
      </c>
      <c r="AD60" s="134">
        <v>2</v>
      </c>
      <c r="AE60" s="134">
        <v>85</v>
      </c>
      <c r="AF60" s="134">
        <v>87</v>
      </c>
      <c r="AG60" s="134">
        <v>0</v>
      </c>
      <c r="AH60" s="134">
        <v>1</v>
      </c>
      <c r="AI60" s="134">
        <v>1</v>
      </c>
      <c r="AJ60" s="134">
        <v>0</v>
      </c>
      <c r="AK60" s="134">
        <v>1</v>
      </c>
      <c r="AL60" s="134">
        <v>1</v>
      </c>
      <c r="AM60" s="134">
        <v>0</v>
      </c>
      <c r="AN60" s="134">
        <v>127</v>
      </c>
      <c r="AO60" s="134">
        <v>127</v>
      </c>
      <c r="AP60" s="134">
        <v>220</v>
      </c>
      <c r="AQ60" s="134">
        <v>2310</v>
      </c>
      <c r="AR60" s="134">
        <v>2530</v>
      </c>
      <c r="AS60" s="134">
        <v>221</v>
      </c>
      <c r="AT60" s="134">
        <v>2310</v>
      </c>
      <c r="AU60" s="134">
        <v>2531</v>
      </c>
      <c r="AV60" s="134">
        <v>-1</v>
      </c>
      <c r="AW60" s="134">
        <v>0</v>
      </c>
      <c r="AX60" s="134">
        <v>-1</v>
      </c>
      <c r="AY60" s="134">
        <v>29</v>
      </c>
      <c r="AZ60" s="134">
        <v>192</v>
      </c>
      <c r="BA60" s="134">
        <v>221</v>
      </c>
      <c r="BB60" s="134">
        <v>4</v>
      </c>
      <c r="BC60" s="134">
        <v>0</v>
      </c>
      <c r="BD60" s="134">
        <v>0</v>
      </c>
      <c r="BE60" s="134">
        <v>118</v>
      </c>
      <c r="BF60" s="134">
        <v>0</v>
      </c>
      <c r="BG60" s="134">
        <v>0</v>
      </c>
      <c r="BH60" s="134">
        <v>4</v>
      </c>
      <c r="BI60" s="134">
        <v>118</v>
      </c>
      <c r="BJ60" s="134">
        <v>122</v>
      </c>
      <c r="BK60" s="134">
        <v>9</v>
      </c>
      <c r="BL60" s="134">
        <v>-9</v>
      </c>
      <c r="BM60" s="134">
        <v>0</v>
      </c>
      <c r="BN60" s="134">
        <v>2</v>
      </c>
      <c r="BO60" s="134">
        <v>12</v>
      </c>
      <c r="BP60" s="134">
        <v>14</v>
      </c>
      <c r="BQ60" s="134">
        <v>6</v>
      </c>
      <c r="BR60" s="134">
        <v>36</v>
      </c>
      <c r="BS60" s="134">
        <v>42</v>
      </c>
      <c r="BT60" s="134">
        <v>8</v>
      </c>
      <c r="BU60" s="134">
        <v>35</v>
      </c>
      <c r="BV60" s="134">
        <v>43</v>
      </c>
      <c r="BW60" s="134">
        <v>249</v>
      </c>
      <c r="BX60" s="134">
        <v>2502</v>
      </c>
      <c r="BY60" s="134">
        <v>2751</v>
      </c>
      <c r="BZ60" s="134">
        <v>249</v>
      </c>
      <c r="CA60" s="134">
        <v>2497</v>
      </c>
      <c r="CB60" s="134">
        <v>2746</v>
      </c>
      <c r="CC60" s="134">
        <v>4830</v>
      </c>
      <c r="CD60" s="134">
        <v>0</v>
      </c>
      <c r="CE60" s="134">
        <v>3</v>
      </c>
      <c r="CF60" s="134">
        <v>0</v>
      </c>
      <c r="CG60" s="134">
        <v>2</v>
      </c>
      <c r="CH60" s="134">
        <v>2</v>
      </c>
      <c r="CI60" s="134">
        <v>4</v>
      </c>
      <c r="CJ60" s="134">
        <v>0</v>
      </c>
      <c r="CK60" s="134">
        <v>0</v>
      </c>
      <c r="CL60" s="134">
        <v>3</v>
      </c>
      <c r="CM60" s="134">
        <v>3</v>
      </c>
      <c r="CN60" s="134">
        <v>12</v>
      </c>
      <c r="CO60" s="134">
        <v>209</v>
      </c>
      <c r="CP60" s="134">
        <v>221</v>
      </c>
      <c r="CQ60" s="134">
        <v>11</v>
      </c>
      <c r="CR60" s="134">
        <v>174</v>
      </c>
      <c r="CS60" s="134">
        <v>185</v>
      </c>
      <c r="CT60" s="134">
        <v>237</v>
      </c>
      <c r="CU60" s="134">
        <v>2293</v>
      </c>
      <c r="CV60" s="134">
        <v>2530</v>
      </c>
      <c r="CW60" s="134">
        <v>19</v>
      </c>
      <c r="CX60" s="134">
        <v>71</v>
      </c>
      <c r="CY60" s="134">
        <v>90</v>
      </c>
      <c r="CZ60" s="134">
        <v>19</v>
      </c>
      <c r="DA60" s="134">
        <v>0</v>
      </c>
      <c r="DB60" s="134">
        <v>0</v>
      </c>
      <c r="DC60" s="134">
        <v>71</v>
      </c>
      <c r="DD60" s="134">
        <v>0</v>
      </c>
      <c r="DE60" s="134">
        <v>0</v>
      </c>
      <c r="DF60" s="134">
        <v>19</v>
      </c>
      <c r="DG60" s="134">
        <v>71</v>
      </c>
      <c r="DH60" s="134">
        <v>90</v>
      </c>
      <c r="DI60" s="134">
        <v>0</v>
      </c>
      <c r="DJ60" s="134">
        <v>0</v>
      </c>
      <c r="DK60" s="134">
        <v>0</v>
      </c>
      <c r="DL60" s="134">
        <v>0</v>
      </c>
      <c r="DM60" s="134">
        <v>0</v>
      </c>
      <c r="DN60" s="134">
        <v>0</v>
      </c>
      <c r="DO60" s="134">
        <v>0</v>
      </c>
      <c r="DP60" s="134">
        <v>0</v>
      </c>
      <c r="DQ60" s="134">
        <v>0</v>
      </c>
      <c r="DR60" s="134">
        <v>0</v>
      </c>
      <c r="DS60" s="134">
        <v>0</v>
      </c>
      <c r="DT60" s="135">
        <v>0</v>
      </c>
      <c r="DU60" s="116"/>
      <c r="DV60" s="136"/>
      <c r="DX60" s="136"/>
      <c r="DY60" s="136"/>
    </row>
    <row r="61" spans="1:129" s="137" customFormat="1">
      <c r="A61" s="133" t="s">
        <v>330</v>
      </c>
      <c r="B61" s="134">
        <v>2899</v>
      </c>
      <c r="C61" s="134">
        <v>483</v>
      </c>
      <c r="D61" s="134">
        <v>1816</v>
      </c>
      <c r="E61" s="134">
        <v>1178</v>
      </c>
      <c r="F61" s="134">
        <v>1</v>
      </c>
      <c r="G61" s="134">
        <v>26</v>
      </c>
      <c r="H61" s="134">
        <v>27</v>
      </c>
      <c r="I61" s="134">
        <v>1</v>
      </c>
      <c r="J61" s="134">
        <v>552</v>
      </c>
      <c r="K61" s="134">
        <v>553</v>
      </c>
      <c r="L61" s="134">
        <v>0</v>
      </c>
      <c r="M61" s="134">
        <v>207</v>
      </c>
      <c r="N61" s="134">
        <v>207</v>
      </c>
      <c r="O61" s="134">
        <v>1</v>
      </c>
      <c r="P61" s="134">
        <v>345</v>
      </c>
      <c r="Q61" s="134">
        <v>346</v>
      </c>
      <c r="R61" s="134">
        <v>0</v>
      </c>
      <c r="S61" s="134">
        <v>46</v>
      </c>
      <c r="T61" s="134">
        <v>46</v>
      </c>
      <c r="U61" s="134">
        <v>0</v>
      </c>
      <c r="V61" s="134">
        <v>85</v>
      </c>
      <c r="W61" s="134">
        <v>85</v>
      </c>
      <c r="X61" s="134">
        <v>24</v>
      </c>
      <c r="Y61" s="134">
        <v>1481</v>
      </c>
      <c r="Z61" s="134">
        <v>1505</v>
      </c>
      <c r="AA61" s="134">
        <v>14</v>
      </c>
      <c r="AB61" s="134">
        <v>786</v>
      </c>
      <c r="AC61" s="134">
        <v>800</v>
      </c>
      <c r="AD61" s="134">
        <v>14</v>
      </c>
      <c r="AE61" s="134">
        <v>762</v>
      </c>
      <c r="AF61" s="134">
        <v>776</v>
      </c>
      <c r="AG61" s="134">
        <v>0</v>
      </c>
      <c r="AH61" s="134">
        <v>8</v>
      </c>
      <c r="AI61" s="134">
        <v>8</v>
      </c>
      <c r="AJ61" s="134">
        <v>0</v>
      </c>
      <c r="AK61" s="134">
        <v>16</v>
      </c>
      <c r="AL61" s="134">
        <v>16</v>
      </c>
      <c r="AM61" s="134">
        <v>10</v>
      </c>
      <c r="AN61" s="134">
        <v>695</v>
      </c>
      <c r="AO61" s="134">
        <v>705</v>
      </c>
      <c r="AP61" s="134">
        <v>2518</v>
      </c>
      <c r="AQ61" s="134">
        <v>29855</v>
      </c>
      <c r="AR61" s="134">
        <v>32373</v>
      </c>
      <c r="AS61" s="134">
        <v>2510</v>
      </c>
      <c r="AT61" s="134">
        <v>29491</v>
      </c>
      <c r="AU61" s="134">
        <v>32001</v>
      </c>
      <c r="AV61" s="134">
        <v>8</v>
      </c>
      <c r="AW61" s="134">
        <v>364</v>
      </c>
      <c r="AX61" s="134">
        <v>372</v>
      </c>
      <c r="AY61" s="134">
        <v>130</v>
      </c>
      <c r="AZ61" s="134">
        <v>2430</v>
      </c>
      <c r="BA61" s="134">
        <v>2560</v>
      </c>
      <c r="BB61" s="134">
        <v>56</v>
      </c>
      <c r="BC61" s="134">
        <v>0</v>
      </c>
      <c r="BD61" s="134">
        <v>0</v>
      </c>
      <c r="BE61" s="134">
        <v>1099</v>
      </c>
      <c r="BF61" s="134">
        <v>17</v>
      </c>
      <c r="BG61" s="134">
        <v>6</v>
      </c>
      <c r="BH61" s="134">
        <v>56</v>
      </c>
      <c r="BI61" s="134">
        <v>1122</v>
      </c>
      <c r="BJ61" s="134">
        <v>1178</v>
      </c>
      <c r="BK61" s="134">
        <v>-16</v>
      </c>
      <c r="BL61" s="134">
        <v>16</v>
      </c>
      <c r="BM61" s="134">
        <v>0</v>
      </c>
      <c r="BN61" s="134">
        <v>3</v>
      </c>
      <c r="BO61" s="134">
        <v>39</v>
      </c>
      <c r="BP61" s="134">
        <v>42</v>
      </c>
      <c r="BQ61" s="134">
        <v>14</v>
      </c>
      <c r="BR61" s="134">
        <v>377</v>
      </c>
      <c r="BS61" s="134">
        <v>391</v>
      </c>
      <c r="BT61" s="134">
        <v>73</v>
      </c>
      <c r="BU61" s="134">
        <v>876</v>
      </c>
      <c r="BV61" s="134">
        <v>949</v>
      </c>
      <c r="BW61" s="134">
        <v>2648</v>
      </c>
      <c r="BX61" s="134">
        <v>32285</v>
      </c>
      <c r="BY61" s="134">
        <v>34933</v>
      </c>
      <c r="BZ61" s="134">
        <v>2625</v>
      </c>
      <c r="CA61" s="134">
        <v>31748</v>
      </c>
      <c r="CB61" s="134">
        <v>34373</v>
      </c>
      <c r="CC61" s="134">
        <v>69929</v>
      </c>
      <c r="CD61" s="134">
        <v>47</v>
      </c>
      <c r="CE61" s="134">
        <v>573</v>
      </c>
      <c r="CF61" s="134">
        <v>23</v>
      </c>
      <c r="CG61" s="134">
        <v>314</v>
      </c>
      <c r="CH61" s="134">
        <v>337</v>
      </c>
      <c r="CI61" s="134">
        <v>283</v>
      </c>
      <c r="CJ61" s="134">
        <v>3</v>
      </c>
      <c r="CK61" s="134">
        <v>0</v>
      </c>
      <c r="CL61" s="134">
        <v>223</v>
      </c>
      <c r="CM61" s="134">
        <v>223</v>
      </c>
      <c r="CN61" s="134">
        <v>130</v>
      </c>
      <c r="CO61" s="134">
        <v>2869</v>
      </c>
      <c r="CP61" s="134">
        <v>2999</v>
      </c>
      <c r="CQ61" s="134">
        <v>0</v>
      </c>
      <c r="CR61" s="134">
        <v>0</v>
      </c>
      <c r="CS61" s="134">
        <v>0</v>
      </c>
      <c r="CT61" s="134">
        <v>2518</v>
      </c>
      <c r="CU61" s="134">
        <v>29416</v>
      </c>
      <c r="CV61" s="134">
        <v>31934</v>
      </c>
      <c r="CW61" s="134">
        <v>183</v>
      </c>
      <c r="CX61" s="134">
        <v>1229</v>
      </c>
      <c r="CY61" s="134">
        <v>1412</v>
      </c>
      <c r="CZ61" s="134">
        <v>173</v>
      </c>
      <c r="DA61" s="134">
        <v>1</v>
      </c>
      <c r="DB61" s="134">
        <v>0</v>
      </c>
      <c r="DC61" s="134">
        <v>1153</v>
      </c>
      <c r="DD61" s="134">
        <v>12</v>
      </c>
      <c r="DE61" s="134">
        <v>4</v>
      </c>
      <c r="DF61" s="134">
        <v>174</v>
      </c>
      <c r="DG61" s="134">
        <v>1169</v>
      </c>
      <c r="DH61" s="134">
        <v>1343</v>
      </c>
      <c r="DI61" s="134">
        <v>9</v>
      </c>
      <c r="DJ61" s="134">
        <v>0</v>
      </c>
      <c r="DK61" s="134">
        <v>0</v>
      </c>
      <c r="DL61" s="134">
        <v>59</v>
      </c>
      <c r="DM61" s="134">
        <v>1</v>
      </c>
      <c r="DN61" s="134">
        <v>0</v>
      </c>
      <c r="DO61" s="134">
        <v>9</v>
      </c>
      <c r="DP61" s="134">
        <v>60</v>
      </c>
      <c r="DQ61" s="134">
        <v>69</v>
      </c>
      <c r="DR61" s="134">
        <v>1</v>
      </c>
      <c r="DS61" s="134">
        <v>0</v>
      </c>
      <c r="DT61" s="135">
        <v>1</v>
      </c>
      <c r="DU61" s="116"/>
      <c r="DV61" s="136"/>
      <c r="DX61" s="136"/>
      <c r="DY61" s="136"/>
    </row>
    <row r="62" spans="1:129" s="137" customFormat="1">
      <c r="A62" s="133" t="s">
        <v>331</v>
      </c>
      <c r="B62" s="134">
        <v>1005</v>
      </c>
      <c r="C62" s="134">
        <v>314</v>
      </c>
      <c r="D62" s="134">
        <v>1190</v>
      </c>
      <c r="E62" s="134">
        <v>659</v>
      </c>
      <c r="F62" s="134">
        <v>3</v>
      </c>
      <c r="G62" s="134">
        <v>148</v>
      </c>
      <c r="H62" s="134">
        <v>151</v>
      </c>
      <c r="I62" s="134">
        <v>0</v>
      </c>
      <c r="J62" s="134">
        <v>487</v>
      </c>
      <c r="K62" s="134">
        <v>487</v>
      </c>
      <c r="L62" s="134">
        <v>0</v>
      </c>
      <c r="M62" s="134">
        <v>89</v>
      </c>
      <c r="N62" s="134">
        <v>89</v>
      </c>
      <c r="O62" s="134">
        <v>0</v>
      </c>
      <c r="P62" s="134">
        <v>398</v>
      </c>
      <c r="Q62" s="134">
        <v>398</v>
      </c>
      <c r="R62" s="134">
        <v>0</v>
      </c>
      <c r="S62" s="134">
        <v>128</v>
      </c>
      <c r="T62" s="134">
        <v>128</v>
      </c>
      <c r="U62" s="134">
        <v>0</v>
      </c>
      <c r="V62" s="134">
        <v>44</v>
      </c>
      <c r="W62" s="134">
        <v>44</v>
      </c>
      <c r="X62" s="134">
        <v>7</v>
      </c>
      <c r="Y62" s="134">
        <v>172</v>
      </c>
      <c r="Z62" s="134">
        <v>179</v>
      </c>
      <c r="AA62" s="134">
        <v>7</v>
      </c>
      <c r="AB62" s="134">
        <v>172</v>
      </c>
      <c r="AC62" s="134">
        <v>179</v>
      </c>
      <c r="AD62" s="134">
        <v>7</v>
      </c>
      <c r="AE62" s="134">
        <v>166</v>
      </c>
      <c r="AF62" s="134">
        <v>173</v>
      </c>
      <c r="AG62" s="134">
        <v>0</v>
      </c>
      <c r="AH62" s="134">
        <v>3</v>
      </c>
      <c r="AI62" s="134">
        <v>3</v>
      </c>
      <c r="AJ62" s="134">
        <v>0</v>
      </c>
      <c r="AK62" s="134">
        <v>3</v>
      </c>
      <c r="AL62" s="134">
        <v>3</v>
      </c>
      <c r="AM62" s="134">
        <v>0</v>
      </c>
      <c r="AN62" s="134">
        <v>0</v>
      </c>
      <c r="AO62" s="134">
        <v>0</v>
      </c>
      <c r="AP62" s="134">
        <v>728</v>
      </c>
      <c r="AQ62" s="134">
        <v>8253</v>
      </c>
      <c r="AR62" s="134">
        <v>8981</v>
      </c>
      <c r="AS62" s="134">
        <v>735</v>
      </c>
      <c r="AT62" s="134">
        <v>8228</v>
      </c>
      <c r="AU62" s="134">
        <v>8963</v>
      </c>
      <c r="AV62" s="134">
        <v>-7</v>
      </c>
      <c r="AW62" s="134">
        <v>25</v>
      </c>
      <c r="AX62" s="134">
        <v>18</v>
      </c>
      <c r="AY62" s="134">
        <v>42</v>
      </c>
      <c r="AZ62" s="134">
        <v>1052</v>
      </c>
      <c r="BA62" s="134">
        <v>1094</v>
      </c>
      <c r="BB62" s="134">
        <v>19</v>
      </c>
      <c r="BC62" s="134">
        <v>1</v>
      </c>
      <c r="BD62" s="134">
        <v>0</v>
      </c>
      <c r="BE62" s="134">
        <v>629</v>
      </c>
      <c r="BF62" s="134">
        <v>5</v>
      </c>
      <c r="BG62" s="134">
        <v>5</v>
      </c>
      <c r="BH62" s="134">
        <v>20</v>
      </c>
      <c r="BI62" s="134">
        <v>639</v>
      </c>
      <c r="BJ62" s="134">
        <v>659</v>
      </c>
      <c r="BK62" s="134">
        <v>-14</v>
      </c>
      <c r="BL62" s="134">
        <v>14</v>
      </c>
      <c r="BM62" s="134">
        <v>0</v>
      </c>
      <c r="BN62" s="134">
        <v>1</v>
      </c>
      <c r="BO62" s="134">
        <v>24</v>
      </c>
      <c r="BP62" s="134">
        <v>25</v>
      </c>
      <c r="BQ62" s="134">
        <v>8</v>
      </c>
      <c r="BR62" s="134">
        <v>77</v>
      </c>
      <c r="BS62" s="134">
        <v>85</v>
      </c>
      <c r="BT62" s="134">
        <v>27</v>
      </c>
      <c r="BU62" s="134">
        <v>298</v>
      </c>
      <c r="BV62" s="134">
        <v>325</v>
      </c>
      <c r="BW62" s="134">
        <v>770</v>
      </c>
      <c r="BX62" s="134">
        <v>9305</v>
      </c>
      <c r="BY62" s="134">
        <v>10075</v>
      </c>
      <c r="BZ62" s="134">
        <v>721</v>
      </c>
      <c r="CA62" s="134">
        <v>9117</v>
      </c>
      <c r="CB62" s="134">
        <v>9838</v>
      </c>
      <c r="CC62" s="134">
        <v>18241</v>
      </c>
      <c r="CD62" s="134">
        <v>12</v>
      </c>
      <c r="CE62" s="134">
        <v>289</v>
      </c>
      <c r="CF62" s="134">
        <v>49</v>
      </c>
      <c r="CG62" s="134">
        <v>135</v>
      </c>
      <c r="CH62" s="134">
        <v>184</v>
      </c>
      <c r="CI62" s="134">
        <v>74</v>
      </c>
      <c r="CJ62" s="134">
        <v>0</v>
      </c>
      <c r="CK62" s="134">
        <v>0</v>
      </c>
      <c r="CL62" s="134">
        <v>53</v>
      </c>
      <c r="CM62" s="134">
        <v>53</v>
      </c>
      <c r="CN62" s="134">
        <v>47</v>
      </c>
      <c r="CO62" s="134">
        <v>859</v>
      </c>
      <c r="CP62" s="134">
        <v>906</v>
      </c>
      <c r="CQ62" s="134">
        <v>0</v>
      </c>
      <c r="CR62" s="134">
        <v>0</v>
      </c>
      <c r="CS62" s="134">
        <v>0</v>
      </c>
      <c r="CT62" s="134">
        <v>723</v>
      </c>
      <c r="CU62" s="134">
        <v>8446</v>
      </c>
      <c r="CV62" s="134">
        <v>9169</v>
      </c>
      <c r="CW62" s="134">
        <v>46</v>
      </c>
      <c r="CX62" s="134">
        <v>401</v>
      </c>
      <c r="CY62" s="134">
        <v>447</v>
      </c>
      <c r="CZ62" s="134">
        <v>41</v>
      </c>
      <c r="DA62" s="134">
        <v>3</v>
      </c>
      <c r="DB62" s="134">
        <v>0</v>
      </c>
      <c r="DC62" s="134">
        <v>311</v>
      </c>
      <c r="DD62" s="134">
        <v>5</v>
      </c>
      <c r="DE62" s="134">
        <v>3</v>
      </c>
      <c r="DF62" s="134">
        <v>44</v>
      </c>
      <c r="DG62" s="134">
        <v>319</v>
      </c>
      <c r="DH62" s="134">
        <v>363</v>
      </c>
      <c r="DI62" s="134">
        <v>2</v>
      </c>
      <c r="DJ62" s="134">
        <v>0</v>
      </c>
      <c r="DK62" s="134">
        <v>0</v>
      </c>
      <c r="DL62" s="134">
        <v>81</v>
      </c>
      <c r="DM62" s="134">
        <v>1</v>
      </c>
      <c r="DN62" s="134">
        <v>0</v>
      </c>
      <c r="DO62" s="134">
        <v>2</v>
      </c>
      <c r="DP62" s="134">
        <v>82</v>
      </c>
      <c r="DQ62" s="134">
        <v>84</v>
      </c>
      <c r="DR62" s="134">
        <v>0</v>
      </c>
      <c r="DS62" s="134">
        <v>0</v>
      </c>
      <c r="DT62" s="135">
        <v>0</v>
      </c>
      <c r="DU62" s="116"/>
      <c r="DV62" s="136"/>
      <c r="DX62" s="136"/>
      <c r="DY62" s="136"/>
    </row>
    <row r="63" spans="1:129" s="137" customFormat="1" ht="18" customHeight="1" thickBot="1">
      <c r="A63" s="138" t="s">
        <v>332</v>
      </c>
      <c r="B63" s="139">
        <v>451</v>
      </c>
      <c r="C63" s="139">
        <v>72</v>
      </c>
      <c r="D63" s="139">
        <v>446</v>
      </c>
      <c r="E63" s="139">
        <v>320</v>
      </c>
      <c r="F63" s="139">
        <v>0</v>
      </c>
      <c r="G63" s="139">
        <v>5</v>
      </c>
      <c r="H63" s="139">
        <v>5</v>
      </c>
      <c r="I63" s="139">
        <v>0</v>
      </c>
      <c r="J63" s="139">
        <v>115</v>
      </c>
      <c r="K63" s="139">
        <v>115</v>
      </c>
      <c r="L63" s="139">
        <v>0</v>
      </c>
      <c r="M63" s="139">
        <v>47</v>
      </c>
      <c r="N63" s="139">
        <v>47</v>
      </c>
      <c r="O63" s="139">
        <v>0</v>
      </c>
      <c r="P63" s="139">
        <v>68</v>
      </c>
      <c r="Q63" s="139">
        <v>68</v>
      </c>
      <c r="R63" s="139">
        <v>0</v>
      </c>
      <c r="S63" s="139">
        <v>3</v>
      </c>
      <c r="T63" s="139">
        <v>3</v>
      </c>
      <c r="U63" s="139">
        <v>0</v>
      </c>
      <c r="V63" s="139">
        <v>11</v>
      </c>
      <c r="W63" s="139">
        <v>11</v>
      </c>
      <c r="X63" s="139">
        <v>8</v>
      </c>
      <c r="Y63" s="139">
        <v>438</v>
      </c>
      <c r="Z63" s="139">
        <v>446</v>
      </c>
      <c r="AA63" s="139">
        <v>5</v>
      </c>
      <c r="AB63" s="139">
        <v>237</v>
      </c>
      <c r="AC63" s="139">
        <v>242</v>
      </c>
      <c r="AD63" s="139">
        <v>4</v>
      </c>
      <c r="AE63" s="139">
        <v>230</v>
      </c>
      <c r="AF63" s="139">
        <v>234</v>
      </c>
      <c r="AG63" s="139">
        <v>1</v>
      </c>
      <c r="AH63" s="139">
        <v>4</v>
      </c>
      <c r="AI63" s="139">
        <v>5</v>
      </c>
      <c r="AJ63" s="139">
        <v>0</v>
      </c>
      <c r="AK63" s="139">
        <v>3</v>
      </c>
      <c r="AL63" s="139">
        <v>3</v>
      </c>
      <c r="AM63" s="139">
        <v>3</v>
      </c>
      <c r="AN63" s="139">
        <v>201</v>
      </c>
      <c r="AO63" s="139">
        <v>204</v>
      </c>
      <c r="AP63" s="139">
        <v>737</v>
      </c>
      <c r="AQ63" s="139">
        <v>4822</v>
      </c>
      <c r="AR63" s="139">
        <v>5559</v>
      </c>
      <c r="AS63" s="139">
        <v>737</v>
      </c>
      <c r="AT63" s="139">
        <v>4822</v>
      </c>
      <c r="AU63" s="139">
        <v>5559</v>
      </c>
      <c r="AV63" s="139">
        <v>0</v>
      </c>
      <c r="AW63" s="139">
        <v>0</v>
      </c>
      <c r="AX63" s="139">
        <v>0</v>
      </c>
      <c r="AY63" s="139">
        <v>39</v>
      </c>
      <c r="AZ63" s="139">
        <v>508</v>
      </c>
      <c r="BA63" s="139">
        <v>547</v>
      </c>
      <c r="BB63" s="139">
        <v>8</v>
      </c>
      <c r="BC63" s="139">
        <v>0</v>
      </c>
      <c r="BD63" s="139">
        <v>0</v>
      </c>
      <c r="BE63" s="139">
        <v>312</v>
      </c>
      <c r="BF63" s="139">
        <v>0</v>
      </c>
      <c r="BG63" s="139">
        <v>0</v>
      </c>
      <c r="BH63" s="139">
        <v>8</v>
      </c>
      <c r="BI63" s="139">
        <v>312</v>
      </c>
      <c r="BJ63" s="139">
        <v>320</v>
      </c>
      <c r="BK63" s="139">
        <v>5</v>
      </c>
      <c r="BL63" s="139">
        <v>-5</v>
      </c>
      <c r="BM63" s="139">
        <v>0</v>
      </c>
      <c r="BN63" s="139">
        <v>8</v>
      </c>
      <c r="BO63" s="139">
        <v>37</v>
      </c>
      <c r="BP63" s="139">
        <v>45</v>
      </c>
      <c r="BQ63" s="139">
        <v>2</v>
      </c>
      <c r="BR63" s="139">
        <v>69</v>
      </c>
      <c r="BS63" s="139">
        <v>71</v>
      </c>
      <c r="BT63" s="139">
        <v>16</v>
      </c>
      <c r="BU63" s="139">
        <v>95</v>
      </c>
      <c r="BV63" s="139">
        <v>111</v>
      </c>
      <c r="BW63" s="139">
        <v>776</v>
      </c>
      <c r="BX63" s="139">
        <v>5330</v>
      </c>
      <c r="BY63" s="139">
        <v>6106</v>
      </c>
      <c r="BZ63" s="139">
        <v>771</v>
      </c>
      <c r="CA63" s="139">
        <v>5298</v>
      </c>
      <c r="CB63" s="139">
        <v>6069</v>
      </c>
      <c r="CC63" s="139">
        <v>13005</v>
      </c>
      <c r="CD63" s="139">
        <v>2</v>
      </c>
      <c r="CE63" s="139">
        <v>50</v>
      </c>
      <c r="CF63" s="139">
        <v>5</v>
      </c>
      <c r="CG63" s="139">
        <v>26</v>
      </c>
      <c r="CH63" s="139">
        <v>31</v>
      </c>
      <c r="CI63" s="139">
        <v>6</v>
      </c>
      <c r="CJ63" s="139">
        <v>0</v>
      </c>
      <c r="CK63" s="139">
        <v>0</v>
      </c>
      <c r="CL63" s="139">
        <v>6</v>
      </c>
      <c r="CM63" s="139">
        <v>6</v>
      </c>
      <c r="CN63" s="139">
        <v>34</v>
      </c>
      <c r="CO63" s="139">
        <v>517</v>
      </c>
      <c r="CP63" s="139">
        <v>551</v>
      </c>
      <c r="CQ63" s="139">
        <v>0</v>
      </c>
      <c r="CR63" s="139">
        <v>13</v>
      </c>
      <c r="CS63" s="139">
        <v>13</v>
      </c>
      <c r="CT63" s="139">
        <v>742</v>
      </c>
      <c r="CU63" s="139">
        <v>4813</v>
      </c>
      <c r="CV63" s="139">
        <v>5555</v>
      </c>
      <c r="CW63" s="139">
        <v>46</v>
      </c>
      <c r="CX63" s="139">
        <v>204</v>
      </c>
      <c r="CY63" s="139">
        <v>250</v>
      </c>
      <c r="CZ63" s="139">
        <v>46</v>
      </c>
      <c r="DA63" s="139">
        <v>0</v>
      </c>
      <c r="DB63" s="139">
        <v>0</v>
      </c>
      <c r="DC63" s="139">
        <v>198</v>
      </c>
      <c r="DD63" s="139">
        <v>1</v>
      </c>
      <c r="DE63" s="139">
        <v>0</v>
      </c>
      <c r="DF63" s="139">
        <v>46</v>
      </c>
      <c r="DG63" s="139">
        <v>199</v>
      </c>
      <c r="DH63" s="139">
        <v>245</v>
      </c>
      <c r="DI63" s="139">
        <v>0</v>
      </c>
      <c r="DJ63" s="139">
        <v>0</v>
      </c>
      <c r="DK63" s="139">
        <v>0</v>
      </c>
      <c r="DL63" s="139">
        <v>5</v>
      </c>
      <c r="DM63" s="139">
        <v>0</v>
      </c>
      <c r="DN63" s="139">
        <v>0</v>
      </c>
      <c r="DO63" s="139">
        <v>0</v>
      </c>
      <c r="DP63" s="139">
        <v>5</v>
      </c>
      <c r="DQ63" s="139">
        <v>5</v>
      </c>
      <c r="DR63" s="139">
        <v>0</v>
      </c>
      <c r="DS63" s="139">
        <v>0</v>
      </c>
      <c r="DT63" s="140">
        <v>0</v>
      </c>
      <c r="DU63" s="116"/>
      <c r="DV63" s="141" t="s">
        <v>333</v>
      </c>
      <c r="DX63" s="136"/>
      <c r="DY63" s="136"/>
    </row>
    <row r="64" spans="1:129" s="137" customFormat="1" ht="15.75" thickTop="1">
      <c r="A64" s="142" t="s">
        <v>334</v>
      </c>
      <c r="B64" s="143">
        <f>SUBTOTAL(109,Nov17Data[Cell 1])</f>
        <v>150695</v>
      </c>
      <c r="C64" s="143">
        <f>SUBTOTAL(109,Nov17Data[Cell 2])</f>
        <v>48107</v>
      </c>
      <c r="D64" s="143">
        <f>SUBTOTAL(109,Nov17Data[Cell 3])</f>
        <v>147884</v>
      </c>
      <c r="E64" s="143">
        <f>SUBTOTAL(109,Nov17Data[Cell 4])</f>
        <v>91626</v>
      </c>
      <c r="F64" s="143">
        <f>SUBTOTAL(109,Nov17Data[Cell 5])</f>
        <v>147</v>
      </c>
      <c r="G64" s="143">
        <f>SUBTOTAL(109,Nov17Data[Cell 6])</f>
        <v>2097</v>
      </c>
      <c r="H64" s="143">
        <f>SUBTOTAL(109,Nov17Data[Cell 7])</f>
        <v>2244</v>
      </c>
      <c r="I64" s="143">
        <f>SUBTOTAL(109,Nov17Data[Cell 8])</f>
        <v>170</v>
      </c>
      <c r="J64" s="143">
        <f>SUBTOTAL(109,Nov17Data[Cell 9])</f>
        <v>50252</v>
      </c>
      <c r="K64" s="143">
        <f>SUBTOTAL(109,Nov17Data[Cell 10])</f>
        <v>50422</v>
      </c>
      <c r="L64" s="143">
        <f>SUBTOTAL(109,Nov17Data[Cell 11])</f>
        <v>97</v>
      </c>
      <c r="M64" s="143">
        <f>SUBTOTAL(109,Nov17Data[Cell 12])</f>
        <v>19926</v>
      </c>
      <c r="N64" s="143">
        <f>SUBTOTAL(109,Nov17Data[Cell 13])</f>
        <v>20023</v>
      </c>
      <c r="O64" s="143">
        <f>SUBTOTAL(109,Nov17Data[Cell 14])</f>
        <v>73</v>
      </c>
      <c r="P64" s="143">
        <f>SUBTOTAL(109,Nov17Data[Cell 15])</f>
        <v>30326</v>
      </c>
      <c r="Q64" s="143">
        <f>SUBTOTAL(109,Nov17Data[Cell 16])</f>
        <v>30399</v>
      </c>
      <c r="R64" s="143">
        <f>SUBTOTAL(109,Nov17Data[Cell 17])</f>
        <v>11</v>
      </c>
      <c r="S64" s="143">
        <f>SUBTOTAL(109,Nov17Data[Cell 18])</f>
        <v>2757</v>
      </c>
      <c r="T64" s="143">
        <f>SUBTOTAL(109,Nov17Data[Cell 19])</f>
        <v>2768</v>
      </c>
      <c r="U64" s="143">
        <f>SUBTOTAL(109,Nov17Data[Cell 20])</f>
        <v>43</v>
      </c>
      <c r="V64" s="143">
        <f>SUBTOTAL(109,Nov17Data[Cell 21])</f>
        <v>5793</v>
      </c>
      <c r="W64" s="143">
        <f>SUBTOTAL(109,Nov17Data[Cell 22])</f>
        <v>5836</v>
      </c>
      <c r="X64" s="143">
        <f>SUBTOTAL(109,Nov17Data[Cell 23])</f>
        <v>4156</v>
      </c>
      <c r="Y64" s="143">
        <f>SUBTOTAL(109,Nov17Data[Cell 24])</f>
        <v>125966</v>
      </c>
      <c r="Z64" s="143">
        <f>SUBTOTAL(109,Nov17Data[Cell 25])</f>
        <v>130122</v>
      </c>
      <c r="AA64" s="143">
        <f>SUBTOTAL(109,Nov17Data[Cell 26])</f>
        <v>2588</v>
      </c>
      <c r="AB64" s="143">
        <f>SUBTOTAL(109,Nov17Data[Cell 27])</f>
        <v>50169</v>
      </c>
      <c r="AC64" s="143">
        <f>SUBTOTAL(109,Nov17Data[Cell 28])</f>
        <v>52757</v>
      </c>
      <c r="AD64" s="143">
        <f>SUBTOTAL(109,Nov17Data[Cell 29])</f>
        <v>2274</v>
      </c>
      <c r="AE64" s="143">
        <f>SUBTOTAL(109,Nov17Data[Cell 30])</f>
        <v>46595</v>
      </c>
      <c r="AF64" s="143">
        <f>SUBTOTAL(109,Nov17Data[Cell 31])</f>
        <v>48869</v>
      </c>
      <c r="AG64" s="143">
        <f>SUBTOTAL(109,Nov17Data[Cell 32])</f>
        <v>139</v>
      </c>
      <c r="AH64" s="143">
        <f>SUBTOTAL(109,Nov17Data[Cell 33])</f>
        <v>1906</v>
      </c>
      <c r="AI64" s="143">
        <f>SUBTOTAL(109,Nov17Data[Cell 34])</f>
        <v>2045</v>
      </c>
      <c r="AJ64" s="143">
        <f>SUBTOTAL(109,Nov17Data[Cell 35])</f>
        <v>175</v>
      </c>
      <c r="AK64" s="143">
        <f>SUBTOTAL(109,Nov17Data[Cell 36])</f>
        <v>1668</v>
      </c>
      <c r="AL64" s="143">
        <f>SUBTOTAL(109,Nov17Data[Cell 37])</f>
        <v>1843</v>
      </c>
      <c r="AM64" s="143">
        <f>SUBTOTAL(109,Nov17Data[Cell 38])</f>
        <v>1568</v>
      </c>
      <c r="AN64" s="143">
        <f>SUBTOTAL(109,Nov17Data[Cell 39])</f>
        <v>75797</v>
      </c>
      <c r="AO64" s="143">
        <f>SUBTOTAL(109,Nov17Data[Cell 40])</f>
        <v>77365</v>
      </c>
      <c r="AP64" s="143">
        <f>SUBTOTAL(109,Nov17Data[Cell 41])</f>
        <v>221109</v>
      </c>
      <c r="AQ64" s="143">
        <f>SUBTOTAL(109,Nov17Data[Cell 42])</f>
        <v>1578952</v>
      </c>
      <c r="AR64" s="143">
        <f>SUBTOTAL(109,Nov17Data[Cell 43])</f>
        <v>1800061</v>
      </c>
      <c r="AS64" s="143">
        <f>SUBTOTAL(109,Nov17Data[Cell 44])</f>
        <v>221690</v>
      </c>
      <c r="AT64" s="143">
        <f>SUBTOTAL(109,Nov17Data[Cell 45])</f>
        <v>1588789</v>
      </c>
      <c r="AU64" s="143">
        <f>SUBTOTAL(109,Nov17Data[Cell 46])</f>
        <v>1810479</v>
      </c>
      <c r="AV64" s="143">
        <f>SUBTOTAL(109,Nov17Data[Cell 47])</f>
        <v>-581</v>
      </c>
      <c r="AW64" s="143">
        <f>SUBTOTAL(109,Nov17Data[Cell 48])</f>
        <v>-9837</v>
      </c>
      <c r="AX64" s="143">
        <f>SUBTOTAL(109,Nov17Data[Cell 49])</f>
        <v>-10418</v>
      </c>
      <c r="AY64" s="143">
        <f>SUBTOTAL(109,Nov17Data[Cell 50])</f>
        <v>10902</v>
      </c>
      <c r="AZ64" s="143">
        <f>SUBTOTAL(109,Nov17Data[Cell 51])</f>
        <v>146245</v>
      </c>
      <c r="BA64" s="143">
        <f>SUBTOTAL(109,Nov17Data[Cell 52])</f>
        <v>157147</v>
      </c>
      <c r="BB64" s="143">
        <f>SUBTOTAL(109,Nov17Data[Cell 53])</f>
        <v>5337</v>
      </c>
      <c r="BC64" s="143">
        <f>SUBTOTAL(109,Nov17Data[Cell 54])</f>
        <v>104</v>
      </c>
      <c r="BD64" s="143">
        <f>SUBTOTAL(109,Nov17Data[Cell 55])</f>
        <v>12</v>
      </c>
      <c r="BE64" s="143">
        <f>SUBTOTAL(109,Nov17Data[Cell 56])</f>
        <v>84585</v>
      </c>
      <c r="BF64" s="143">
        <f>SUBTOTAL(109,Nov17Data[Cell 57])</f>
        <v>974</v>
      </c>
      <c r="BG64" s="143">
        <f>SUBTOTAL(109,Nov17Data[Cell 58])</f>
        <v>614</v>
      </c>
      <c r="BH64" s="143">
        <f>SUBTOTAL(109,Nov17Data[Cell 59])</f>
        <v>5453</v>
      </c>
      <c r="BI64" s="143">
        <f>SUBTOTAL(109,Nov17Data[Cell 60])</f>
        <v>86173</v>
      </c>
      <c r="BJ64" s="143">
        <f>SUBTOTAL(109,Nov17Data[Cell 61])</f>
        <v>91626</v>
      </c>
      <c r="BK64" s="143">
        <f>SUBTOTAL(109,Nov17Data[Cell 62])</f>
        <v>-2548</v>
      </c>
      <c r="BL64" s="143">
        <f>SUBTOTAL(109,Nov17Data[Cell 63])</f>
        <v>2548</v>
      </c>
      <c r="BM64" s="143">
        <f>SUBTOTAL(109,Nov17Data[Cell 64])</f>
        <v>0</v>
      </c>
      <c r="BN64" s="143">
        <f>SUBTOTAL(109,Nov17Data[Cell 65])</f>
        <v>626</v>
      </c>
      <c r="BO64" s="143">
        <f>SUBTOTAL(109,Nov17Data[Cell 66])</f>
        <v>2699</v>
      </c>
      <c r="BP64" s="143">
        <f>SUBTOTAL(109,Nov17Data[Cell 67])</f>
        <v>3325</v>
      </c>
      <c r="BQ64" s="143">
        <f>SUBTOTAL(109,Nov17Data[Cell 68])</f>
        <v>1110</v>
      </c>
      <c r="BR64" s="143">
        <f>SUBTOTAL(109,Nov17Data[Cell 69])</f>
        <v>14701</v>
      </c>
      <c r="BS64" s="143">
        <f>SUBTOTAL(109,Nov17Data[Cell 70])</f>
        <v>15811</v>
      </c>
      <c r="BT64" s="143">
        <f>SUBTOTAL(109,Nov17Data[Cell 71])</f>
        <v>6261</v>
      </c>
      <c r="BU64" s="143">
        <f>SUBTOTAL(109,Nov17Data[Cell 72])</f>
        <v>40124</v>
      </c>
      <c r="BV64" s="143">
        <f>SUBTOTAL(109,Nov17Data[Cell 73])</f>
        <v>46385</v>
      </c>
      <c r="BW64" s="143">
        <f>SUBTOTAL(109,Nov17Data[Cell 74])</f>
        <v>232011</v>
      </c>
      <c r="BX64" s="143">
        <f>SUBTOTAL(109,Nov17Data[Cell 75])</f>
        <v>1725197</v>
      </c>
      <c r="BY64" s="143">
        <f>SUBTOTAL(109,Nov17Data[Cell 76])</f>
        <v>1957208</v>
      </c>
      <c r="BZ64" s="143">
        <f>SUBTOTAL(109,Nov17Data[Cell 77])</f>
        <v>227328</v>
      </c>
      <c r="CA64" s="143">
        <f>SUBTOTAL(109,Nov17Data[Cell 78])</f>
        <v>1696827</v>
      </c>
      <c r="CB64" s="143">
        <f>SUBTOTAL(109,Nov17Data[Cell 79])</f>
        <v>1924155</v>
      </c>
      <c r="CC64" s="143">
        <f>SUBTOTAL(109,Nov17Data[Cell 80])</f>
        <v>3977381</v>
      </c>
      <c r="CD64" s="143">
        <f>SUBTOTAL(109,Nov17Data[Cell 81])</f>
        <v>2490</v>
      </c>
      <c r="CE64" s="143">
        <f>SUBTOTAL(109,Nov17Data[Cell 82])</f>
        <v>28459</v>
      </c>
      <c r="CF64" s="143">
        <f>SUBTOTAL(109,Nov17Data[Cell 83])</f>
        <v>4440</v>
      </c>
      <c r="CG64" s="143">
        <f>SUBTOTAL(109,Nov17Data[Cell 84])</f>
        <v>19096</v>
      </c>
      <c r="CH64" s="143">
        <f>SUBTOTAL(109,Nov17Data[Cell 85])</f>
        <v>23536</v>
      </c>
      <c r="CI64" s="143">
        <f>SUBTOTAL(109,Nov17Data[Cell 86])</f>
        <v>11503</v>
      </c>
      <c r="CJ64" s="143">
        <f>SUBTOTAL(109,Nov17Data[Cell 87])</f>
        <v>1015</v>
      </c>
      <c r="CK64" s="143">
        <f>SUBTOTAL(109,Nov17Data[Cell 88])</f>
        <v>243</v>
      </c>
      <c r="CL64" s="143">
        <f>SUBTOTAL(109,Nov17Data[Cell 89])</f>
        <v>9274</v>
      </c>
      <c r="CM64" s="143">
        <f>SUBTOTAL(109,Nov17Data[Cell 90])</f>
        <v>9517</v>
      </c>
      <c r="CN64" s="143">
        <f>SUBTOTAL(109,Nov17Data[Cell 91])</f>
        <v>11999</v>
      </c>
      <c r="CO64" s="143">
        <f>SUBTOTAL(109,Nov17Data[Cell 92])</f>
        <v>131625</v>
      </c>
      <c r="CP64" s="143">
        <f>SUBTOTAL(109,Nov17Data[Cell 93])</f>
        <v>143624</v>
      </c>
      <c r="CQ64" s="143">
        <f>SUBTOTAL(109,Nov17Data[Cell 94])</f>
        <v>56</v>
      </c>
      <c r="CR64" s="143">
        <f>SUBTOTAL(109,Nov17Data[Cell 95])</f>
        <v>818</v>
      </c>
      <c r="CS64" s="143">
        <f>SUBTOTAL(109,Nov17Data[Cell 96])</f>
        <v>874</v>
      </c>
      <c r="CT64" s="143">
        <f>SUBTOTAL(109,Nov17Data[Cell 97])</f>
        <v>220012</v>
      </c>
      <c r="CU64" s="143">
        <f>SUBTOTAL(109,Nov17Data[Cell 98])</f>
        <v>1593572</v>
      </c>
      <c r="CV64" s="143">
        <f>SUBTOTAL(109,Nov17Data[Cell 99])</f>
        <v>1813584</v>
      </c>
      <c r="CW64" s="143">
        <f>SUBTOTAL(109,Nov17Data[Cell 100])</f>
        <v>13840</v>
      </c>
      <c r="CX64" s="143">
        <f>SUBTOTAL(109,Nov17Data[Cell 101])</f>
        <v>70487</v>
      </c>
      <c r="CY64" s="143">
        <f>SUBTOTAL(109,Nov17Data[Cell 102])</f>
        <v>84327</v>
      </c>
      <c r="CZ64" s="143">
        <f>SUBTOTAL(109,Nov17Data[Cell 103])</f>
        <v>13271</v>
      </c>
      <c r="DA64" s="143">
        <f>SUBTOTAL(109,Nov17Data[Cell 104])</f>
        <v>245</v>
      </c>
      <c r="DB64" s="143">
        <f>SUBTOTAL(109,Nov17Data[Cell 105])</f>
        <v>8</v>
      </c>
      <c r="DC64" s="143">
        <f>SUBTOTAL(109,Nov17Data[Cell 106])</f>
        <v>64741</v>
      </c>
      <c r="DD64" s="143">
        <f>SUBTOTAL(109,Nov17Data[Cell 107])</f>
        <v>897</v>
      </c>
      <c r="DE64" s="143">
        <f>SUBTOTAL(109,Nov17Data[Cell 108])</f>
        <v>253</v>
      </c>
      <c r="DF64" s="143">
        <f>SUBTOTAL(109,Nov17Data[Cell 109])</f>
        <v>13524</v>
      </c>
      <c r="DG64" s="143">
        <f>SUBTOTAL(109,Nov17Data[Cell 110])</f>
        <v>65891</v>
      </c>
      <c r="DH64" s="143">
        <f>SUBTOTAL(109,Nov17Data[Cell 111])</f>
        <v>79415</v>
      </c>
      <c r="DI64" s="143">
        <f>SUBTOTAL(109,Nov17Data[Cell 112])</f>
        <v>308</v>
      </c>
      <c r="DJ64" s="143">
        <f>SUBTOTAL(109,Nov17Data[Cell 113])</f>
        <v>8</v>
      </c>
      <c r="DK64" s="143">
        <f>SUBTOTAL(109,Nov17Data[Cell 114])</f>
        <v>0</v>
      </c>
      <c r="DL64" s="143">
        <f>SUBTOTAL(109,Nov17Data[Cell 115])</f>
        <v>4453</v>
      </c>
      <c r="DM64" s="143">
        <f>SUBTOTAL(109,Nov17Data[Cell 116])</f>
        <v>113</v>
      </c>
      <c r="DN64" s="143">
        <f>SUBTOTAL(109,Nov17Data[Cell 117])</f>
        <v>30</v>
      </c>
      <c r="DO64" s="143">
        <f>SUBTOTAL(109,Nov17Data[Cell 118])</f>
        <v>316</v>
      </c>
      <c r="DP64" s="143">
        <f>SUBTOTAL(109,Nov17Data[Cell 119])</f>
        <v>4596</v>
      </c>
      <c r="DQ64" s="143">
        <f>SUBTOTAL(109,Nov17Data[Cell 120])</f>
        <v>4912</v>
      </c>
      <c r="DR64" s="143">
        <f>SUBTOTAL(109,Nov17Data[Cell 121])</f>
        <v>10</v>
      </c>
      <c r="DS64" s="143">
        <f>SUBTOTAL(109,Nov17Data[Cell 122])</f>
        <v>78</v>
      </c>
      <c r="DT64" s="143">
        <f>SUBTOTAL(109,Nov17Data[Cell 123])</f>
        <v>88</v>
      </c>
      <c r="DU64" s="116"/>
      <c r="DV64" s="144">
        <v>25395811</v>
      </c>
      <c r="DX64" s="136"/>
      <c r="DY64" s="136"/>
    </row>
  </sheetData>
  <conditionalFormatting sqref="B6:DT63">
    <cfRule type="containsBlanks" dxfId="631" priority="1">
      <formula>LEN(TRIM(B6))=0</formula>
    </cfRule>
  </conditionalFormatting>
  <dataValidations count="123">
    <dataValidation allowBlank="1" prompt="Part D.  RECERTIFICATIONS_x000a_ Item 10. Overdue recertifications during the month_x000a_ Column C. Total" sqref="DT5"/>
    <dataValidation allowBlank="1" prompt="Part D.  RECERTIFICATIONS_x000a_ Item 10. Overdue recertifications during the month_x000a_ Column B. NACF" sqref="DS5"/>
    <dataValidation allowBlank="1" prompt="Part D.  RECERTIFICATIONS_x000a_ Item 10. Overdue recertifications during the month_x000a_ Column A. PACF" sqref="DR5"/>
    <dataValidation allowBlank="1" prompt="Part D.  RECERTIFICATIONS_x000a_ Item 9B. Determined ineligible_x000a_ Column C. Total" sqref="DQ5"/>
    <dataValidation allowBlank="1" prompt="Part D.  RECERTIFICATIONS_x000a_ Item 9B. Determined ineligible_x000a_ Column B. NACF" sqref="DP5"/>
    <dataValidation allowBlank="1" prompt="Part D.  RECERTIFICATIONS_x000a_ Item 9B. Determined ineligible_x000a_ Column A. PACF" sqref="DO5"/>
    <dataValidation allowBlank="1" prompt="Part D.  RECERTIFICATIONS_x000a_ Item 9B. Determined ineligible_x000a_ Column NACF: State" sqref="DN5"/>
    <dataValidation allowBlank="1" prompt="Part D.  RECERTIFICATIONS_x000a_ Item 9B. Determined ineligible_x000a_ Column NACF: Federal/State" sqref="DM5"/>
    <dataValidation allowBlank="1" prompt="Part D.  RECERTIFICATIONS_x000a_ Item 9B. Determined ineligible_x000a_ Column NACF: Federal" sqref="DL5"/>
    <dataValidation allowBlank="1" prompt="Part D.  RECERTIFICATIONS_x000a_ Item 9B. Determined ineligible_x000a_ Column PACF: State" sqref="DK5"/>
    <dataValidation allowBlank="1" prompt="Part D.  RECERTIFICATIONS_x000a_ Item 9B. Determined ineligible_x000a_ Column PACF: Federal/State" sqref="DJ5"/>
    <dataValidation allowBlank="1" prompt="Part D.  RECERTIFICATIONS_x000a_ Item 9B. Determined ineligible_x000a_ Column PACF: Federal" sqref="DI5"/>
    <dataValidation allowBlank="1" prompt="Part D.  RECERTIFICATIONS_x000a_ Item 9A. Determined continuing eligible_x000a_ Column C. Total" sqref="DH5"/>
    <dataValidation allowBlank="1" prompt="Part D.  RECERTIFICATIONS_x000a_ Item 9A. Determined continuing eligible_x000a_ Column B. NACF" sqref="DG5"/>
    <dataValidation allowBlank="1" prompt="Part D.  RECERTIFICATIONS_x000a_ Item 9A. Determined continuing eligible_x000a_ Column A. PACF" sqref="DF5"/>
    <dataValidation allowBlank="1" prompt="Part D.  RECERTIFICATIONS_x000a_ Item 9A. Determined continuing eligible_x000a_ Column NACF: State" sqref="DE5"/>
    <dataValidation allowBlank="1" prompt="Part D.  RECERTIFICATIONS_x000a_ Item 9A. Determined continuing eligible_x000a_ Column NACF: Federal/State" sqref="DD5"/>
    <dataValidation allowBlank="1" prompt="Part D.  RECERTIFICATIONS_x000a_ Item 9A. Determined continuing eligible_x000a_ Column NACF: Federal" sqref="DC5"/>
    <dataValidation allowBlank="1" prompt="Part D.  RECERTIFICATIONS_x000a_ Item 9A. Determined continuing eligible_x000a_ Column PACF: State" sqref="DB5"/>
    <dataValidation allowBlank="1" prompt="Part D.  RECERTIFICATIONS_x000a_ Item 9A. Determined continuing eligible_x000a_ Column PACF: Federal/State" sqref="DA5"/>
    <dataValidation allowBlank="1" prompt="Part D.  RECERTIFICATIONS_x000a_ Item 9A. Determined continuing eligible_x000a_ Column PACF: Federal" sqref="CZ5"/>
    <dataValidation allowBlank="1" prompt="Part D.  RECERTIFICATIONS_x000a_ Item 9. Recertifications disposed of during the month _x000a_ Column C. Total" sqref="CY5"/>
    <dataValidation allowBlank="1" prompt="Part D.  RECERTIFICATIONS_x000a_ Item 9. Recertifications disposed of during the month _x000a_ Column B. NACF" sqref="CX5"/>
    <dataValidation allowBlank="1" prompt="Part D.  RECERTIFICATIONS_x000a_ Item 9. Recertifications disposed of during the month _x000a_ Column A. PACF" sqref="CW5"/>
    <dataValidation allowBlank="1" prompt="Part C.  CERTIFIED CASELOAD MOVEMENT_x000a_ Item 8. Cases brought forward at the end of the month_x000a_ Column C. Total" sqref="CV5"/>
    <dataValidation allowBlank="1" prompt="Part C.  CERTIFIED CASELOAD MOVEMENT_x000a_ Item 8. Cases brought forward at the end of the month_x000a_ Column B. NACF" sqref="CU5"/>
    <dataValidation allowBlank="1" prompt="Part C.  CERTIFIED CASELOAD MOVEMENT_x000a_ Item 8. Cases brought forward at the end of the month_x000a_ Column A. PACF" sqref="CT5"/>
    <dataValidation allowBlank="1" prompt="Part C.  CERTIFIED CASELOAD MOVEMENT_x000a_ Item 7A. Households discontinued due to recipient failure to complete application process for ongoing benefits (Expedited services only)_x000a_ Column C. Total" sqref="CS5"/>
    <dataValidation allowBlank="1" prompt="Part C.  CERTIFIED CASELOAD MOVEMENT_x000a_ Item 7A. Households discontinued due to recipient failure to complete application process for ongoing benefits (Expedited services only)_x000a_ Column B. NACF" sqref="CR5"/>
    <dataValidation allowBlank="1" prompt="Part C.  CERTIFIED CASELOAD MOVEMENT_x000a_ Item 7A. Households discontinued due to recipient failure to complete application process for ongoing benefits (Expedited services only)_x000a_ Column A. PACF" sqref="CQ5"/>
    <dataValidation allowBlank="1" prompt="Part C.  CERTIFIED CASELOAD MOVEMENT_x000a_ Item 7. Cases discontinued during the month_x000a_ Column C. Total" sqref="CP5"/>
    <dataValidation allowBlank="1" prompt="Part C.  CERTIFIED CASELOAD MOVEMENT_x000a_ Item 7. Cases discontinued during the month_x000a_ Column B. NACF" sqref="CO5"/>
    <dataValidation allowBlank="1" prompt="Part C.  CERTIFIED CASELOAD MOVEMENT_x000a_ Item 7. Cases discontinued during the month_x000a_ Column A. PACF" sqref="CN5"/>
    <dataValidation allowBlank="1" prompt="Part C.  CERTIFIED CASELOAD MOVEMENT_x000a_ Item 6C. Pure state cases_x000a_ Column C. Total" sqref="CM5"/>
    <dataValidation allowBlank="1" prompt="Part C.  CERTIFIED CASELOAD MOVEMENT_x000a_ Item 6C. Pure state cases_x000a_ Column B. NACF" sqref="CL5"/>
    <dataValidation allowBlank="1" prompt="Part C.  CERTIFIED CASELOAD MOVEMENT_x000a_ Item 6C. Pure state cases_x000a_ Column A. PACF" sqref="CK5"/>
    <dataValidation allowBlank="1" prompt="Part C.  CERTIFIED CASELOAD MOVEMENT_x000a_ Item 6C. Pure state cases_x000a_ Column State Persons: Families" sqref="CJ5"/>
    <dataValidation allowBlank="1" prompt="Part C.  CERTIFIED CASELOAD MOVEMENT_x000a_ Item 6C. Pure state cases_x000a_ Column State Persons: Single" sqref="CI5"/>
    <dataValidation allowBlank="1" prompt="Part C.  CERTIFIED CASELOAD MOVEMENT_x000a_ Item 6B. Federal/State combined cases_x000a_ Column C. Total" sqref="CH5"/>
    <dataValidation allowBlank="1" prompt="Part C.  CERTIFIED CASELOAD MOVEMENT_x000a_ Item 6B. Federal/State combined cases_x000a_ Column B. NACF" sqref="CG5"/>
    <dataValidation allowBlank="1" prompt="Part C.  CERTIFIED CASELOAD MOVEMENT_x000a_ Item 6B. Federal/State combined cases_x000a_ Column A. PACF" sqref="CF5"/>
    <dataValidation allowBlank="1" prompt="Part C.  CERTIFIED CASELOAD MOVEMENT_x000a_ Item 6B. Federal/State combined cases_x000a_ Column State Persons: Families" sqref="CE5"/>
    <dataValidation allowBlank="1" prompt="Part C.  CERTIFIED CASELOAD MOVEMENT_x000a_ Item 6B. Federal/State combined cases_x000a_ Column State Persons: Single" sqref="CD5"/>
    <dataValidation allowBlank="1" prompt="Part C.  CERTIFIED CASELOAD MOVEMENT_x000a_ Item 6A.1) Federal persons in Item 6A cases plus federal persons in Item 6B cases_x000a_ Column Federal Persons" sqref="CC5"/>
    <dataValidation allowBlank="1" prompt="Part C.  CERTIFIED CASELOAD MOVEMENT_x000a_ Item 6A. Pure federal cases_x000a_ Column C. Total" sqref="CB5"/>
    <dataValidation allowBlank="1" prompt="Part C.  CERTIFIED CASELOAD MOVEMENT_x000a_ Item 6A. Pure federal cases_x000a_ Column B. NACF" sqref="CA5"/>
    <dataValidation allowBlank="1" prompt="Part C.  CERTIFIED CASELOAD MOVEMENT_x000a_ Item 6A. Pure federal cases_x000a_ Column A. PACF" sqref="BZ5"/>
    <dataValidation allowBlank="1" prompt="Part C.  CERTIFIED CASELOAD MOVEMENT_x000a_ Item 6. Total cases open during the month _x000a_ Column C. Total" sqref="BY5"/>
    <dataValidation allowBlank="1" prompt="Part C.  CERTIFIED CASELOAD MOVEMENT_x000a_ Item 6. Total cases open during the month _x000a_ Column B. NACF" sqref="BX5"/>
    <dataValidation allowBlank="1" prompt="Part C.  CERTIFIED CASELOAD MOVEMENT_x000a_ Item 6. Total cases open during the month _x000a_ Column A. PACF" sqref="BW5"/>
    <dataValidation allowBlank="1" prompt="Part C.  CERTIFIED CASELOAD MOVEMENT_x000a_ Item 5E. Other Approvals_x000a_ Column C. Total" sqref="BV5"/>
    <dataValidation allowBlank="1" prompt="Part C.  CERTIFIED CASELOAD MOVEMENT_x000a_ Item 5E. Other Approvals_x000a_ Column B. NACF" sqref="BU5"/>
    <dataValidation allowBlank="1" prompt="Part C.  CERTIFIED CASELOAD MOVEMENT_x000a_ Item 5E. Other Approvals_x000a_ Column A. PACF" sqref="BT5"/>
    <dataValidation allowBlank="1" prompt="Part C.  CERTIFIED CASELOAD MOVEMENT_x000a_ Item 5D. Cases with eligibility reinstated and benefits pro-rated during the month_x000a_ Column C. Total" sqref="BS5"/>
    <dataValidation allowBlank="1" prompt="Part C.  CERTIFIED CASELOAD MOVEMENT_x000a_ Item 5D. Cases with eligibility reinstated and benefits pro-rated during the month_x000a_ Column B. NACF" sqref="BR5"/>
    <dataValidation allowBlank="1" prompt="Part C.  CERTIFIED CASELOAD MOVEMENT_x000a_ Item 5D. Cases with eligibility reinstated and benefits pro-rated during the month_x000a_ Column A. PACF" sqref="BQ5"/>
    <dataValidation allowBlank="1" prompt="Part C.  CERTIFIED CASELOAD MOVEMENT_x000a_ Item 5C. Inter-County Transfers_x000a_ Column C. Total" sqref="BP5"/>
    <dataValidation allowBlank="1" prompt="Part C.  CERTIFIED CASELOAD MOVEMENT_x000a_ Item 5C. Inter-County Transfers_x000a_ Column B. NACF" sqref="BO5"/>
    <dataValidation allowBlank="1" prompt="Part C.  CERTIFIED CASELOAD MOVEMENT_x000a_ Item 5C. Inter-County Transfers_x000a_ Column A. PACF" sqref="BN5"/>
    <dataValidation allowBlank="1" prompt="Part C.  CERTIFIED CASELOAD MOVEMENT_x000a_ Item 5B. Change in asssistance status from PACF or NACF_x000a_ Column C. Total" sqref="BM5"/>
    <dataValidation allowBlank="1" prompt="Part C.  CERTIFIED CASELOAD MOVEMENT_x000a_ Item 5B. Change in asssistance status from PACF or NACF_x000a_ Column B. NACF" sqref="BL5"/>
    <dataValidation allowBlank="1" prompt="Part C.  CERTIFIED CASELOAD MOVEMENT_x000a_ Item 5B. Change in asssistance status from PACF or NACF_x000a_ Column A. PACF" sqref="BK5"/>
    <dataValidation allowBlank="1" prompt="Part C.  CERTIFIED CASELOAD MOVEMENT_x000a_ Item 5A. Applications Approved_x000a_ Column C. Total" sqref="BJ5"/>
    <dataValidation allowBlank="1" prompt="Part C.  CERTIFIED CASELOAD MOVEMENT_x000a_ Item 5A. Applications Approved_x000a_ Column B. NACF" sqref="BI5"/>
    <dataValidation allowBlank="1" prompt="Part C.  CERTIFIED CASELOAD MOVEMENT_x000a_ Item 5A. Applications Approved_x000a_ Column A. PACF" sqref="BH5"/>
    <dataValidation allowBlank="1" prompt="Part C.  CERTIFIED CASELOAD MOVEMENT_x000a_ Item 5A. Applications Approved_x000a_ Column NACF (State)" sqref="BG5"/>
    <dataValidation allowBlank="1" prompt="Part C.  CERTIFIED CASELOAD MOVEMENT_x000a_ Item 5A. Applications Approved_x000a_ Column NACF (Federal/State)" sqref="BF5"/>
    <dataValidation allowBlank="1" prompt="Part C.  CERTIFIED CASELOAD MOVEMENT_x000a_ Item 5A. Applications Approved_x000a_ Column NACF (Federal)" sqref="BE5"/>
    <dataValidation allowBlank="1" prompt="Part C.  CERTIFIED CASELOAD MOVEMENT_x000a_ Item 5A. Applications Approved_x000a_ Column PACF (State)" sqref="BD5"/>
    <dataValidation allowBlank="1" prompt="Part C.  CERTIFIED CASELOAD MOVEMENT_x000a_ Item 5A. Applications Approved_x000a_ Column PACF (Federal/State)" sqref="BC5"/>
    <dataValidation allowBlank="1" prompt="Part C.  CERTIFIED CASELOAD MOVEMENT_x000a_ Item 5A. Applications Approved_x000a_ Column PACF (Federal)" sqref="BB5"/>
    <dataValidation allowBlank="1" prompt="Part C.  CERTIFIED CASELOAD MOVEMENT_x000a_ Item 5. Cases added during the month _x000a_ Column C. Total" sqref="BA5"/>
    <dataValidation allowBlank="1" prompt="Part C.  CERTIFIED CASELOAD MOVEMENT_x000a_ Item 5. Cases added during the month _x000a_ Column B. NACF" sqref="AZ5"/>
    <dataValidation allowBlank="1" prompt="Part C.  CERTIFIED CASELOAD MOVEMENT_x000a_ Item 5. Cases added during the month _x000a_ Column A. PACF" sqref="AY5"/>
    <dataValidation allowBlank="1" prompt="Part C.  CERTIFIED CASELOAD MOVEMENT_x000a_ Item 4B. Adjustment_x000a_ Column C. Total" sqref="AX5"/>
    <dataValidation allowBlank="1" prompt="Part C.  CERTIFIED CASELOAD MOVEMENT_x000a_ Item 4B. Adjustment_x000a_ Column B. NACF" sqref="AW5"/>
    <dataValidation allowBlank="1" prompt="Part C.  CERTIFIED CASELOAD MOVEMENT_x000a_ Item 4B. Adjustment_x000a_ Column A. PACF" sqref="AV5"/>
    <dataValidation allowBlank="1" prompt="Part C.  CERTIFIED CASELOAD MOVEMENT_x000a_ Item 4A. Item 8 from last month's report, as reported to CDSS_x000a_ Column C. Total" sqref="AU5"/>
    <dataValidation allowBlank="1" prompt="Part C.  CERTIFIED CASELOAD MOVEMENT_x000a_ Item 4A. Item 8 from last month's report, as reported to CDSS_x000a_ Column B. NACF" sqref="AT5"/>
    <dataValidation allowBlank="1" prompt="Part C.  CERTIFIED CASELOAD MOVEMENT_x000a_ Item 4A. Item 8 from last month's report, as reported to CDSS_x000a_ Column A. PACF" sqref="AS5"/>
    <dataValidation allowBlank="1" prompt="Part C.  CERTIFIED CASELOAD MOVEMENT_x000a_ Item 4. Cases brought forward at the beginning of the month_x000a_ Column C. Total" sqref="AR5"/>
    <dataValidation allowBlank="1" prompt="Part C.  CERTIFIED CASELOAD MOVEMENT_x000a_ Item 4. Cases brought forward at the beginning of the month_x000a_ Column B. NACF" sqref="AQ5"/>
    <dataValidation allowBlank="1" prompt="Part C.  CERTIFIED CASELOAD MOVEMENT_x000a_ Item 4. Cases brought forward at the beginning of the month_x000a_ Column A. PACF" sqref="AP5"/>
    <dataValidation allowBlank="1" prompt="Part B.  APPLICATIONS PROCESSED UNDER EXPEDITED SERVICES (ES)_x000a_ Item 3B. Found not entitled to expedited services_x000a_ Column C. Total" sqref="AO5"/>
    <dataValidation allowBlank="1" prompt="Part B.  APPLICATIONS PROCESSED UNDER EXPEDITED SERVICES (ES)_x000a_ Item 3B. Found not entitled to expedited services_x000a_ Column B. NACF" sqref="AN5"/>
    <dataValidation allowBlank="1" prompt="Part B.  APPLICATIONS PROCESSED UNDER EXPEDITED SERVICES (ES)_x000a_ Item 3B. Found not entitled to expedited services_x000a_ Column A. PACF" sqref="AM5"/>
    <dataValidation allowBlank="1" prompt="Part B.  APPLICATIONS PROCESSED UNDER EXPEDITED SERVICES (ES)_x000a_ Item 3A.3) Benefits issued in over 7 days_x000a_ Column C. Total" sqref="AL5"/>
    <dataValidation allowBlank="1" prompt="Part B.  APPLICATIONS PROCESSED UNDER EXPEDITED SERVICES (ES)_x000a_ Item 3A.3) Benefits issued in over 7 days_x000a_ Column B. NACF" sqref="AK5"/>
    <dataValidation allowBlank="1" prompt="Part B.  APPLICATIONS PROCESSED UNDER EXPEDITED SERVICES (ES)_x000a_ Item 3A.3) Benefits issued in over 7 days_x000a_ Column A. PACF" sqref="AJ5"/>
    <dataValidation allowBlank="1" prompt="Part B.  APPLICATIONS PROCESSED UNDER EXPEDITED SERVICES (ES)_x000a_ Item 3A.2) Benefits issued in 4 to 7 days_x000a_ Column C. Total" sqref="AI5"/>
    <dataValidation allowBlank="1" prompt="Part B.  APPLICATIONS PROCESSED UNDER EXPEDITED SERVICES (ES)_x000a_ Item 3A.2) Benefits issued in 4 to 7 days_x000a_ Column B. NACF" sqref="AH5"/>
    <dataValidation allowBlank="1" prompt="Part B.  APPLICATIONS PROCESSED UNDER EXPEDITED SERVICES (ES)_x000a_ Item 3A.2) Benefits issued in 4 to 7 days_x000a_ Column A. PACF" sqref="AG5"/>
    <dataValidation allowBlank="1" prompt="Part B.  APPLICATIONS PROCESSED UNDER EXPEDITED SERVICES (ES)_x000a_ Item 3A.1) Benefits issued in 1 to 3 days_x000a_ Column C. Total" sqref="AF5"/>
    <dataValidation allowBlank="1" prompt="Part B.  APPLICATIONS PROCESSED UNDER EXPEDITED SERVICES (ES)_x000a_ Item 3A.1) Benefits issued in 1 to 3 days_x000a_ Column B. NACF" sqref="AE5"/>
    <dataValidation allowBlank="1" prompt="Part B.  APPLICATIONS PROCESSED UNDER EXPEDITED SERVICES (ES)_x000a_ Item 3A.1) Benefits issued in 1 to 3 days_x000a_ Column A. PACF" sqref="AD5"/>
    <dataValidation allowBlank="1" prompt="Part B.  APPLICATIONS PROCESSED UNDER EXPEDITED SERVICES (ES)_x000a_ Item 3A. Found entitled to expedited services_x000a_ Column C. Total" sqref="AC5"/>
    <dataValidation allowBlank="1" prompt="Part B.  APPLICATIONS PROCESSED UNDER EXPEDITED SERVICES (ES)_x000a_ Item 3A. Found entitled to expedited services_x000a_ Column B. NACF" sqref="AB5"/>
    <dataValidation allowBlank="1" prompt="Part B.  APPLICATIONS PROCESSED UNDER EXPEDITED SERVICES (ES)_x000a_ Item 3A. Found entitled to expedited services_x000a_ Column A. PACF" sqref="AA5"/>
    <dataValidation allowBlank="1" prompt="Part B.  APPLICATIONS PROCESSED UNDER EXPEDITED SERVICES (ES)_x000a_ Item 3. Of the applications disposed of during the month in Item 2, applications processed under expedited services_x000a_ Column C. Total" sqref="Z5"/>
    <dataValidation allowBlank="1" prompt="Part B.  APPLICATIONS PROCESSED UNDER EXPEDITED SERVICES (ES)_x000a_ Item 3. Of the applications disposed of during the month in Item 2, applications processed under expedited services_x000a_ Column B. NACF" sqref="Y5"/>
    <dataValidation allowBlank="1" prompt="Part B.  APPLICATIONS PROCESSED UNDER EXPEDITED SERVICES (ES)_x000a_ Item 3. Of the applications disposed of during the month in Item 2, applications processed under expedited services_x000a_ Column A. PACF" sqref="X5"/>
    <dataValidation allowBlank="1" prompt="Part A.  APPLICATIONS FOR CALFRESH_x000a_ Item 2C. Applications withdrawn_x000a_ Column C. Total" sqref="W5"/>
    <dataValidation allowBlank="1" prompt="Part A.  APPLICATIONS FOR CALFRESH_x000a_ Item 2C. Applications withdrawn_x000a_ Column B. NACF" sqref="V5"/>
    <dataValidation allowBlank="1" prompt="Part A.  APPLICATIONS FOR CALFRESH_x000a_ Item 2C. Applications withdrawn_x000a_ Column A. PACF" sqref="U5"/>
    <dataValidation allowBlank="1" prompt="Part A.  APPLICATIONS FOR CALFRESH_x000a_ Item 2B.3) Applications denied in over 30 days_x000a_ Column C. Total" sqref="T5"/>
    <dataValidation allowBlank="1" prompt="Part A.  APPLICATIONS FOR CALFRESH_x000a_ Item 2B.3) Applications denied in over 30 days_x000a_ Column B. NACF" sqref="S5"/>
    <dataValidation allowBlank="1" prompt="Part A.  APPLICATIONS FOR CALFRESH_x000a_ Item 2B.3) Applications denied in over 30 days_x000a_ Column A. PACF" sqref="R5"/>
    <dataValidation allowBlank="1" prompt="Part A.  APPLICATIONS FOR CALFRESH_x000a_ Item 2B.2) Applications denied for procedural reasons_x000a_ Column C. Total" sqref="Q5"/>
    <dataValidation allowBlank="1" prompt="Part A.  APPLICATIONS FOR CALFRESH_x000a_ Item 2B.2) Applications denied for procedural reasons_x000a_ Column B. NACF" sqref="P5"/>
    <dataValidation allowBlank="1" prompt="Part A.  APPLICATIONS FOR CALFRESH_x000a_ Item 2B.2) Applications denied for procedural reasons_x000a_ Column A. PACF" sqref="O5"/>
    <dataValidation allowBlank="1" prompt="Part A.  APPLICATIONS FOR CALFRESH_x000a_ Item 2B.1) Applications denied because determined ineligible_x000a_ Column C. Total" sqref="N5"/>
    <dataValidation allowBlank="1" prompt="Part A.  APPLICATIONS FOR CALFRESH_x000a_ Item 2B.1) Applications denied because determined ineligible_x000a_ Column B. NACF" sqref="M5"/>
    <dataValidation allowBlank="1" prompt="Part A.  APPLICATIONS FOR CALFRESH_x000a_ Item 2B.1) Applications denied because determined ineligible_x000a_ Column A. PACF" sqref="L5"/>
    <dataValidation allowBlank="1" prompt="Part A.  APPLICATIONS FOR CALFRESH_x000a_ Item 2B. Applications denied (Item 2B1 plus Item 2B2)_x000a_ Column C. Total" sqref="K5"/>
    <dataValidation allowBlank="1" prompt="Part A.  APPLICATIONS FOR CALFRESH_x000a_ Item 2B. Applications denied (Item 2B1 plus Item 2B2)_x000a_ Column B. NACF" sqref="J5"/>
    <dataValidation allowBlank="1" prompt="Part A.  APPLICATIONS FOR CALFRESH_x000a_ Item 2B. Applications denied (Item 2B1 plus Item 2B2)_x000a_ Column A. PACF" sqref="I5"/>
    <dataValidation allowBlank="1" prompt="Part A.  APPLICATIONS FOR CALFRESH_x000a_ Item 2A.1) Applications approved in over 30 days_x000a_ Column C. Total" sqref="H5"/>
    <dataValidation allowBlank="1" prompt="Part A.  APPLICATIONS FOR CALFRESH_x000a_ Item 2A.1) Applications approved in over 30 days _x000a_ Column B. NACF" sqref="G5"/>
    <dataValidation allowBlank="1" prompt="Part A.  APPLICATIONS FOR CALFRESH_x000a_ Item 2A.1) Applications approved in over 30 days _x000a_ Column A. PACF" sqref="F5"/>
    <dataValidation allowBlank="1" prompt="Part A.  APPLICATIONS FOR CALFRESH_x000a_ Item 2A. Applications approved _x000a_ Column Total" sqref="E5"/>
    <dataValidation allowBlank="1" prompt="Part A.  APPLICATIONS FOR CALFRESH_x000a_ Item 2. Applications disposed of during the month _x000a_ Column Total" sqref="D5"/>
    <dataValidation allowBlank="1" prompt="Part A.  APPLICATIONS FOR CALFRESH_x000a_ Item 1A. Online applications received during the month_x000a_ Column Total" sqref="C5"/>
    <dataValidation allowBlank="1" prompt="Part A.  APPLICATIONS FOR CALFRESH_x000a_ Item 1. Applications received during the month_x000a_ Column Total" sqref="B5"/>
  </dataValidations>
  <printOptions horizontalCentered="1"/>
  <pageMargins left="0.25" right="0.25" top="0.81708333333333305" bottom="0.5" header="0.25" footer="0.25"/>
  <pageSetup scale="10" orientation="portrait" r:id="rId1"/>
  <headerFooter scaleWithDoc="0" alignWithMargins="0"/>
  <rowBreaks count="1" manualBreakCount="1">
    <brk id="64" max="16383" man="1"/>
  </rowBreaks>
  <colBreaks count="12" manualBreakCount="12">
    <brk id="7" max="64" man="1"/>
    <brk id="13" max="64" man="1"/>
    <brk id="19" max="64" man="1"/>
    <brk id="25" max="64" man="1"/>
    <brk id="31" max="64" man="1"/>
    <brk id="37" max="64" man="1"/>
    <brk id="43" max="64" man="1"/>
    <brk id="49" max="64" man="1"/>
    <brk id="55" max="1048575" man="1"/>
    <brk id="61" max="1048575" man="1"/>
    <brk id="80" max="64" man="1"/>
    <brk id="115" max="64" man="1"/>
  </colBreaks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8">
    <pageSetUpPr fitToPage="1"/>
  </sheetPr>
  <dimension ref="A1:AO57"/>
  <sheetViews>
    <sheetView showGridLines="0" zoomScaleNormal="100" workbookViewId="0"/>
  </sheetViews>
  <sheetFormatPr defaultColWidth="9" defaultRowHeight="12.75"/>
  <cols>
    <col min="1" max="1" width="2.7109375" style="111" customWidth="1"/>
    <col min="2" max="2" width="2.7109375" style="31" customWidth="1"/>
    <col min="3" max="3" width="2.7109375" style="22" customWidth="1"/>
    <col min="4" max="4" width="17.140625" style="22" customWidth="1"/>
    <col min="5" max="5" width="8.5703125" style="21" customWidth="1"/>
    <col min="6" max="6" width="3" style="22" customWidth="1"/>
    <col min="7" max="7" width="8.5703125" style="22" customWidth="1"/>
    <col min="8" max="8" width="3" style="22" customWidth="1"/>
    <col min="9" max="9" width="8.5703125" style="23" customWidth="1"/>
    <col min="10" max="10" width="3" style="21" customWidth="1"/>
    <col min="11" max="11" width="8.5703125" style="22" customWidth="1"/>
    <col min="12" max="12" width="3" style="22" customWidth="1"/>
    <col min="13" max="13" width="12.85546875" style="21" customWidth="1"/>
    <col min="14" max="14" width="3" style="23" customWidth="1"/>
    <col min="15" max="15" width="8.5703125" style="22" customWidth="1"/>
    <col min="16" max="16" width="3" style="21" customWidth="1"/>
    <col min="17" max="17" width="8.42578125" style="21" customWidth="1"/>
    <col min="18" max="18" width="3" style="22" customWidth="1"/>
    <col min="19" max="19" width="8.5703125" style="23" customWidth="1"/>
    <col min="20" max="20" width="3" style="22" customWidth="1"/>
    <col min="21" max="21" width="8.5703125" style="21" customWidth="1"/>
    <col min="22" max="22" width="3" style="21" customWidth="1"/>
    <col min="23" max="23" width="11.140625" style="22" customWidth="1"/>
    <col min="24" max="24" width="2.7109375" style="21" customWidth="1"/>
    <col min="25" max="25" width="2.42578125" style="22" customWidth="1"/>
    <col min="26" max="26" width="2.140625" style="22" customWidth="1"/>
    <col min="27" max="27" width="2.7109375" style="22" customWidth="1"/>
    <col min="28" max="28" width="3" style="23" customWidth="1"/>
    <col min="29" max="29" width="10.85546875" style="24" customWidth="1"/>
    <col min="30" max="30" width="3" style="23" customWidth="1"/>
    <col min="31" max="31" width="10.85546875" style="25" customWidth="1"/>
    <col min="32" max="32" width="9" style="26" customWidth="1"/>
    <col min="33" max="33" width="3.7109375" style="26" customWidth="1"/>
    <col min="34" max="41" width="9" style="26"/>
    <col min="42" max="16384" width="9" style="22"/>
  </cols>
  <sheetData>
    <row r="1" spans="1:41">
      <c r="A1" s="15" t="s">
        <v>94</v>
      </c>
      <c r="B1" s="16"/>
      <c r="C1" s="17"/>
      <c r="D1" s="17"/>
      <c r="E1" s="18"/>
      <c r="F1" s="17"/>
      <c r="G1" s="17"/>
      <c r="H1" s="17"/>
      <c r="I1" s="19"/>
      <c r="J1" s="18"/>
      <c r="K1" s="17"/>
      <c r="L1" s="17"/>
      <c r="M1" s="18"/>
      <c r="N1" s="19"/>
      <c r="O1" s="17"/>
      <c r="P1" s="18"/>
      <c r="Q1" s="18"/>
      <c r="R1" s="17"/>
      <c r="S1" s="19"/>
      <c r="T1" s="17"/>
      <c r="U1" s="18"/>
      <c r="V1" s="18"/>
      <c r="W1" s="20"/>
    </row>
    <row r="2" spans="1:41" s="31" customFormat="1" ht="21" customHeight="1">
      <c r="A2" s="203" t="s">
        <v>7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7"/>
      <c r="Q2" s="27"/>
      <c r="R2" s="27"/>
      <c r="S2" s="27"/>
      <c r="T2" s="27"/>
      <c r="U2" s="27"/>
      <c r="V2" s="28"/>
      <c r="W2" s="29"/>
      <c r="X2" s="30"/>
      <c r="Y2" s="30"/>
      <c r="Z2" s="30"/>
      <c r="AA2" s="30"/>
      <c r="AB2" s="30"/>
      <c r="AC2" s="30"/>
      <c r="AD2" s="30"/>
      <c r="AE2" s="30"/>
    </row>
    <row r="3" spans="1:41" s="35" customFormat="1" ht="16.149999999999999" customHeight="1">
      <c r="A3" s="32" t="s">
        <v>8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4"/>
    </row>
    <row r="4" spans="1:41" s="31" customFormat="1" ht="15.6" customHeight="1">
      <c r="A4" s="32" t="s">
        <v>9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28"/>
      <c r="W4" s="29"/>
      <c r="X4" s="30"/>
      <c r="Y4" s="30"/>
      <c r="Z4" s="30"/>
      <c r="AA4" s="30"/>
      <c r="AB4" s="30"/>
      <c r="AC4" s="30"/>
      <c r="AD4" s="30"/>
      <c r="AE4" s="30"/>
    </row>
    <row r="5" spans="1:41" ht="6" customHeight="1">
      <c r="A5" s="36"/>
      <c r="B5" s="37"/>
      <c r="C5" s="37"/>
      <c r="D5" s="37"/>
      <c r="E5" s="38"/>
      <c r="F5" s="37"/>
      <c r="G5" s="37"/>
      <c r="H5" s="37"/>
      <c r="I5" s="39"/>
      <c r="J5" s="38"/>
      <c r="K5" s="37"/>
      <c r="L5" s="37"/>
      <c r="M5" s="38"/>
      <c r="N5" s="39"/>
      <c r="O5" s="37"/>
      <c r="P5" s="38"/>
      <c r="Q5" s="38"/>
      <c r="R5" s="37"/>
      <c r="S5" s="39"/>
      <c r="T5" s="37"/>
      <c r="U5" s="38"/>
      <c r="V5" s="38"/>
      <c r="W5" s="40"/>
      <c r="X5" s="26"/>
      <c r="Y5" s="26"/>
      <c r="Z5" s="26"/>
      <c r="AA5" s="26"/>
      <c r="AB5" s="26"/>
      <c r="AC5" s="26"/>
      <c r="AD5" s="26"/>
      <c r="AE5" s="26"/>
      <c r="AF5" s="22"/>
      <c r="AG5" s="22"/>
      <c r="AH5" s="22"/>
      <c r="AI5" s="22"/>
      <c r="AJ5" s="22"/>
      <c r="AK5" s="22"/>
      <c r="AL5" s="22"/>
      <c r="AM5" s="22"/>
      <c r="AN5" s="22"/>
      <c r="AO5" s="22"/>
    </row>
    <row r="6" spans="1:41" s="42" customFormat="1" ht="23.25">
      <c r="A6" s="205" t="s">
        <v>10</v>
      </c>
      <c r="B6" s="206"/>
      <c r="C6" s="206"/>
      <c r="D6" s="206"/>
      <c r="E6" s="206"/>
      <c r="F6" s="206"/>
      <c r="G6" s="206"/>
      <c r="H6" s="206"/>
      <c r="I6" s="206"/>
      <c r="J6" s="206"/>
      <c r="K6" s="206"/>
      <c r="L6" s="207" t="s">
        <v>0</v>
      </c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9"/>
      <c r="X6" s="41"/>
      <c r="Y6" s="41"/>
      <c r="Z6" s="41"/>
      <c r="AA6" s="41"/>
      <c r="AB6" s="41"/>
      <c r="AC6" s="41"/>
      <c r="AD6" s="41"/>
      <c r="AE6" s="41"/>
    </row>
    <row r="7" spans="1:41" s="26" customFormat="1" ht="15.75" customHeight="1">
      <c r="A7" s="176" t="s">
        <v>12</v>
      </c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8"/>
      <c r="R7" s="182"/>
      <c r="S7" s="210"/>
      <c r="T7" s="210"/>
      <c r="U7" s="183"/>
      <c r="V7" s="182" t="s">
        <v>13</v>
      </c>
      <c r="W7" s="183"/>
    </row>
    <row r="8" spans="1:41" s="30" customFormat="1">
      <c r="A8" s="43" t="s">
        <v>14</v>
      </c>
      <c r="B8" s="197" t="s">
        <v>15</v>
      </c>
      <c r="C8" s="197"/>
      <c r="D8" s="197"/>
      <c r="E8" s="197"/>
      <c r="F8" s="197"/>
      <c r="G8" s="197"/>
      <c r="H8" s="197"/>
      <c r="I8" s="197"/>
      <c r="J8" s="197"/>
      <c r="K8" s="197"/>
      <c r="L8" s="197"/>
      <c r="M8" s="197"/>
      <c r="N8" s="197"/>
      <c r="O8" s="197"/>
      <c r="P8" s="197"/>
      <c r="Q8" s="198"/>
      <c r="R8" s="44"/>
      <c r="S8" s="45"/>
      <c r="T8" s="45"/>
      <c r="U8" s="46"/>
      <c r="V8" s="47">
        <v>1</v>
      </c>
      <c r="W8" s="48">
        <v>134003</v>
      </c>
      <c r="X8" s="26"/>
      <c r="Y8" s="26"/>
      <c r="Z8" s="26"/>
      <c r="AA8" s="26"/>
      <c r="AB8" s="26"/>
      <c r="AC8" s="26"/>
      <c r="AD8" s="26"/>
      <c r="AE8" s="26"/>
    </row>
    <row r="9" spans="1:41" s="55" customFormat="1">
      <c r="A9" s="43"/>
      <c r="B9" s="49" t="s">
        <v>16</v>
      </c>
      <c r="C9" s="189" t="s">
        <v>17</v>
      </c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90"/>
      <c r="R9" s="50"/>
      <c r="S9" s="51"/>
      <c r="T9" s="51"/>
      <c r="U9" s="52"/>
      <c r="V9" s="53">
        <v>2</v>
      </c>
      <c r="W9" s="54">
        <v>41115</v>
      </c>
      <c r="X9" s="26"/>
      <c r="Y9" s="26"/>
      <c r="Z9" s="26"/>
      <c r="AA9" s="26"/>
      <c r="AB9" s="26"/>
      <c r="AC9" s="26"/>
      <c r="AD9" s="26"/>
      <c r="AE9" s="26"/>
    </row>
    <row r="10" spans="1:41" s="55" customFormat="1">
      <c r="A10" s="43" t="s">
        <v>18</v>
      </c>
      <c r="B10" s="201" t="s">
        <v>19</v>
      </c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2"/>
      <c r="R10" s="50"/>
      <c r="S10" s="51"/>
      <c r="T10" s="51"/>
      <c r="U10" s="52"/>
      <c r="V10" s="70">
        <v>3</v>
      </c>
      <c r="W10" s="152">
        <v>140569</v>
      </c>
      <c r="X10" s="26"/>
      <c r="Y10" s="26"/>
      <c r="Z10" s="26"/>
      <c r="AA10" s="26"/>
      <c r="AB10" s="26"/>
      <c r="AC10" s="26"/>
      <c r="AD10" s="26"/>
      <c r="AE10" s="26"/>
    </row>
    <row r="11" spans="1:41" s="55" customFormat="1">
      <c r="A11" s="43"/>
      <c r="B11" s="56" t="s">
        <v>20</v>
      </c>
      <c r="C11" s="189" t="s">
        <v>21</v>
      </c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90"/>
      <c r="R11" s="57"/>
      <c r="S11" s="58"/>
      <c r="T11" s="58"/>
      <c r="U11" s="59"/>
      <c r="V11" s="60">
        <v>4</v>
      </c>
      <c r="W11" s="48">
        <v>88446</v>
      </c>
      <c r="X11" s="26"/>
      <c r="Y11" s="26"/>
      <c r="Z11" s="26"/>
      <c r="AA11" s="26"/>
      <c r="AB11" s="26"/>
      <c r="AC11" s="26"/>
      <c r="AD11" s="26"/>
      <c r="AE11" s="26"/>
    </row>
    <row r="12" spans="1:41" s="55" customFormat="1">
      <c r="A12" s="43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61"/>
      <c r="R12" s="182" t="s">
        <v>22</v>
      </c>
      <c r="S12" s="183"/>
      <c r="T12" s="182" t="s">
        <v>23</v>
      </c>
      <c r="U12" s="183"/>
      <c r="V12" s="182" t="s">
        <v>24</v>
      </c>
      <c r="W12" s="183"/>
      <c r="X12" s="26"/>
      <c r="Y12" s="26"/>
      <c r="Z12" s="26"/>
      <c r="AA12" s="26"/>
      <c r="AB12" s="26"/>
      <c r="AC12" s="26"/>
      <c r="AD12" s="26"/>
      <c r="AE12" s="26"/>
    </row>
    <row r="13" spans="1:41" s="55" customFormat="1">
      <c r="A13" s="43"/>
      <c r="B13" s="56"/>
      <c r="C13" s="56" t="s">
        <v>25</v>
      </c>
      <c r="D13" s="189" t="s">
        <v>26</v>
      </c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90"/>
      <c r="R13" s="47">
        <v>5</v>
      </c>
      <c r="S13" s="48">
        <v>125</v>
      </c>
      <c r="T13" s="47">
        <v>6</v>
      </c>
      <c r="U13" s="48">
        <v>1754</v>
      </c>
      <c r="V13" s="62">
        <v>7</v>
      </c>
      <c r="W13" s="153">
        <v>1879</v>
      </c>
      <c r="X13" s="26"/>
      <c r="Y13" s="26"/>
      <c r="Z13" s="26"/>
      <c r="AA13" s="26"/>
      <c r="AB13" s="26"/>
      <c r="AC13" s="26"/>
      <c r="AD13" s="26"/>
      <c r="AE13" s="26"/>
    </row>
    <row r="14" spans="1:41" s="55" customFormat="1">
      <c r="A14" s="63"/>
      <c r="B14" s="64" t="s">
        <v>27</v>
      </c>
      <c r="C14" s="189" t="s">
        <v>28</v>
      </c>
      <c r="D14" s="189"/>
      <c r="E14" s="189"/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90"/>
      <c r="R14" s="65">
        <v>8</v>
      </c>
      <c r="S14" s="154">
        <v>119</v>
      </c>
      <c r="T14" s="65">
        <v>9</v>
      </c>
      <c r="U14" s="154">
        <v>46755</v>
      </c>
      <c r="V14" s="65">
        <v>10</v>
      </c>
      <c r="W14" s="155">
        <v>46874</v>
      </c>
      <c r="X14" s="26"/>
      <c r="Y14" s="26"/>
      <c r="Z14" s="26"/>
      <c r="AA14" s="26"/>
      <c r="AB14" s="26"/>
      <c r="AC14" s="26"/>
      <c r="AD14" s="26"/>
      <c r="AE14" s="26"/>
    </row>
    <row r="15" spans="1:41" s="55" customFormat="1">
      <c r="A15" s="66"/>
      <c r="B15" s="64"/>
      <c r="C15" s="64" t="s">
        <v>25</v>
      </c>
      <c r="D15" s="189" t="s">
        <v>29</v>
      </c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90"/>
      <c r="R15" s="53">
        <v>11</v>
      </c>
      <c r="S15" s="48">
        <v>59</v>
      </c>
      <c r="T15" s="53">
        <v>12</v>
      </c>
      <c r="U15" s="48">
        <v>17970</v>
      </c>
      <c r="V15" s="65">
        <v>13</v>
      </c>
      <c r="W15" s="155">
        <v>18029</v>
      </c>
      <c r="X15" s="26"/>
      <c r="Y15" s="26"/>
      <c r="Z15" s="26"/>
      <c r="AA15" s="26"/>
      <c r="AB15" s="26"/>
      <c r="AC15" s="26"/>
      <c r="AD15" s="26"/>
      <c r="AE15" s="26"/>
    </row>
    <row r="16" spans="1:41" s="55" customFormat="1">
      <c r="A16" s="63"/>
      <c r="B16" s="64"/>
      <c r="C16" s="67" t="s">
        <v>30</v>
      </c>
      <c r="D16" s="189" t="s">
        <v>31</v>
      </c>
      <c r="E16" s="189"/>
      <c r="F16" s="189"/>
      <c r="G16" s="189"/>
      <c r="H16" s="189"/>
      <c r="I16" s="189"/>
      <c r="J16" s="189"/>
      <c r="K16" s="189"/>
      <c r="L16" s="189"/>
      <c r="M16" s="189"/>
      <c r="N16" s="189"/>
      <c r="O16" s="189"/>
      <c r="P16" s="189"/>
      <c r="Q16" s="190"/>
      <c r="R16" s="53">
        <v>14</v>
      </c>
      <c r="S16" s="48">
        <v>60</v>
      </c>
      <c r="T16" s="53">
        <v>15</v>
      </c>
      <c r="U16" s="48">
        <v>28785</v>
      </c>
      <c r="V16" s="65">
        <v>16</v>
      </c>
      <c r="W16" s="155">
        <v>28845</v>
      </c>
      <c r="X16" s="26"/>
      <c r="Y16" s="26"/>
      <c r="Z16" s="26"/>
      <c r="AA16" s="26"/>
      <c r="AB16" s="26"/>
      <c r="AC16" s="26"/>
      <c r="AD16" s="26"/>
      <c r="AE16" s="26"/>
    </row>
    <row r="17" spans="1:31" s="55" customFormat="1">
      <c r="A17" s="63"/>
      <c r="B17" s="64"/>
      <c r="C17" s="56" t="s">
        <v>32</v>
      </c>
      <c r="D17" s="199" t="s">
        <v>33</v>
      </c>
      <c r="E17" s="199"/>
      <c r="F17" s="199"/>
      <c r="G17" s="199"/>
      <c r="H17" s="199"/>
      <c r="I17" s="199"/>
      <c r="J17" s="199"/>
      <c r="K17" s="199"/>
      <c r="L17" s="199"/>
      <c r="M17" s="199"/>
      <c r="N17" s="199"/>
      <c r="O17" s="199"/>
      <c r="P17" s="199"/>
      <c r="Q17" s="200"/>
      <c r="R17" s="53">
        <v>17</v>
      </c>
      <c r="S17" s="48">
        <v>8</v>
      </c>
      <c r="T17" s="53">
        <v>18</v>
      </c>
      <c r="U17" s="48">
        <v>2126</v>
      </c>
      <c r="V17" s="65">
        <v>19</v>
      </c>
      <c r="W17" s="155">
        <v>2134</v>
      </c>
      <c r="X17" s="26"/>
      <c r="Y17" s="26"/>
      <c r="Z17" s="26"/>
      <c r="AA17" s="26"/>
      <c r="AB17" s="26"/>
      <c r="AC17" s="26"/>
      <c r="AD17" s="26"/>
      <c r="AE17" s="26"/>
    </row>
    <row r="18" spans="1:31" s="55" customFormat="1">
      <c r="A18" s="63"/>
      <c r="B18" s="64" t="s">
        <v>34</v>
      </c>
      <c r="C18" s="195" t="s">
        <v>35</v>
      </c>
      <c r="D18" s="195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5"/>
      <c r="Q18" s="196"/>
      <c r="R18" s="60">
        <v>20</v>
      </c>
      <c r="S18" s="48">
        <v>49</v>
      </c>
      <c r="T18" s="60">
        <v>21</v>
      </c>
      <c r="U18" s="48">
        <v>5200</v>
      </c>
      <c r="V18" s="65">
        <v>22</v>
      </c>
      <c r="W18" s="155">
        <v>5249</v>
      </c>
      <c r="X18" s="26"/>
      <c r="Y18" s="26"/>
      <c r="Z18" s="26"/>
      <c r="AA18" s="26"/>
      <c r="AB18" s="26"/>
      <c r="AC18" s="26"/>
      <c r="AD18" s="26"/>
      <c r="AE18" s="26"/>
    </row>
    <row r="19" spans="1:31" s="55" customFormat="1" ht="15.75">
      <c r="A19" s="176" t="s">
        <v>36</v>
      </c>
      <c r="B19" s="177"/>
      <c r="C19" s="177"/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8"/>
      <c r="R19" s="182" t="s">
        <v>22</v>
      </c>
      <c r="S19" s="183"/>
      <c r="T19" s="182" t="s">
        <v>23</v>
      </c>
      <c r="U19" s="183"/>
      <c r="V19" s="182" t="s">
        <v>24</v>
      </c>
      <c r="W19" s="183"/>
      <c r="X19" s="26"/>
      <c r="Y19" s="26"/>
      <c r="Z19" s="26"/>
      <c r="AA19" s="26"/>
      <c r="AB19" s="26"/>
      <c r="AC19" s="26"/>
      <c r="AD19" s="26"/>
      <c r="AE19" s="26"/>
    </row>
    <row r="20" spans="1:31" s="55" customFormat="1">
      <c r="A20" s="68" t="s">
        <v>37</v>
      </c>
      <c r="B20" s="197" t="s">
        <v>38</v>
      </c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197"/>
      <c r="Q20" s="198"/>
      <c r="R20" s="69">
        <v>23</v>
      </c>
      <c r="S20" s="154">
        <v>3891</v>
      </c>
      <c r="T20" s="69">
        <v>24</v>
      </c>
      <c r="U20" s="154">
        <v>119594</v>
      </c>
      <c r="V20" s="62">
        <v>25</v>
      </c>
      <c r="W20" s="154">
        <v>123485</v>
      </c>
      <c r="X20" s="26"/>
      <c r="Y20" s="26"/>
      <c r="Z20" s="26"/>
      <c r="AA20" s="26"/>
      <c r="AB20" s="26"/>
      <c r="AC20" s="26"/>
      <c r="AD20" s="26"/>
      <c r="AE20" s="26"/>
    </row>
    <row r="21" spans="1:31" s="26" customFormat="1">
      <c r="A21" s="68"/>
      <c r="B21" s="56" t="s">
        <v>39</v>
      </c>
      <c r="C21" s="189" t="s">
        <v>40</v>
      </c>
      <c r="D21" s="189"/>
      <c r="E21" s="189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90"/>
      <c r="R21" s="70">
        <v>26</v>
      </c>
      <c r="S21" s="152">
        <v>2353</v>
      </c>
      <c r="T21" s="70">
        <v>27</v>
      </c>
      <c r="U21" s="152">
        <v>47892</v>
      </c>
      <c r="V21" s="65">
        <v>28</v>
      </c>
      <c r="W21" s="152">
        <v>50245</v>
      </c>
    </row>
    <row r="22" spans="1:31" s="26" customFormat="1">
      <c r="A22" s="71"/>
      <c r="B22" s="56"/>
      <c r="C22" s="72" t="s">
        <v>41</v>
      </c>
      <c r="D22" s="191" t="s">
        <v>42</v>
      </c>
      <c r="E22" s="191"/>
      <c r="F22" s="191"/>
      <c r="G22" s="191"/>
      <c r="H22" s="191"/>
      <c r="I22" s="191"/>
      <c r="J22" s="191"/>
      <c r="K22" s="191"/>
      <c r="L22" s="191"/>
      <c r="M22" s="191"/>
      <c r="N22" s="191"/>
      <c r="O22" s="191"/>
      <c r="P22" s="191"/>
      <c r="Q22" s="192"/>
      <c r="R22" s="53">
        <v>29</v>
      </c>
      <c r="S22" s="48">
        <v>2089</v>
      </c>
      <c r="T22" s="53">
        <v>30</v>
      </c>
      <c r="U22" s="48">
        <v>44635</v>
      </c>
      <c r="V22" s="65">
        <v>31</v>
      </c>
      <c r="W22" s="155">
        <v>46724</v>
      </c>
    </row>
    <row r="23" spans="1:31" s="26" customFormat="1">
      <c r="A23" s="71"/>
      <c r="B23" s="56"/>
      <c r="C23" s="72" t="s">
        <v>43</v>
      </c>
      <c r="D23" s="191" t="s">
        <v>44</v>
      </c>
      <c r="E23" s="191"/>
      <c r="F23" s="191"/>
      <c r="G23" s="191"/>
      <c r="H23" s="191"/>
      <c r="I23" s="191"/>
      <c r="J23" s="191"/>
      <c r="K23" s="191"/>
      <c r="L23" s="191"/>
      <c r="M23" s="191"/>
      <c r="N23" s="191"/>
      <c r="O23" s="191"/>
      <c r="P23" s="191"/>
      <c r="Q23" s="192"/>
      <c r="R23" s="53">
        <v>32</v>
      </c>
      <c r="S23" s="48">
        <v>126</v>
      </c>
      <c r="T23" s="53">
        <v>33</v>
      </c>
      <c r="U23" s="48">
        <v>1692</v>
      </c>
      <c r="V23" s="65">
        <v>34</v>
      </c>
      <c r="W23" s="155">
        <v>1818</v>
      </c>
    </row>
    <row r="24" spans="1:31" s="26" customFormat="1">
      <c r="A24" s="71"/>
      <c r="B24" s="56"/>
      <c r="C24" s="72" t="s">
        <v>45</v>
      </c>
      <c r="D24" s="191" t="s">
        <v>46</v>
      </c>
      <c r="E24" s="191"/>
      <c r="F24" s="191"/>
      <c r="G24" s="191"/>
      <c r="H24" s="191"/>
      <c r="I24" s="191"/>
      <c r="J24" s="191"/>
      <c r="K24" s="191"/>
      <c r="L24" s="191"/>
      <c r="M24" s="191"/>
      <c r="N24" s="191"/>
      <c r="O24" s="191"/>
      <c r="P24" s="191"/>
      <c r="Q24" s="192"/>
      <c r="R24" s="53">
        <v>35</v>
      </c>
      <c r="S24" s="48">
        <v>138</v>
      </c>
      <c r="T24" s="53">
        <v>36</v>
      </c>
      <c r="U24" s="48">
        <v>1565</v>
      </c>
      <c r="V24" s="65">
        <v>37</v>
      </c>
      <c r="W24" s="155">
        <v>1703</v>
      </c>
    </row>
    <row r="25" spans="1:31" s="26" customFormat="1">
      <c r="A25" s="68"/>
      <c r="B25" s="56" t="s">
        <v>47</v>
      </c>
      <c r="C25" s="193" t="s">
        <v>48</v>
      </c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3"/>
      <c r="Q25" s="194"/>
      <c r="R25" s="60">
        <v>38</v>
      </c>
      <c r="S25" s="48">
        <v>1538</v>
      </c>
      <c r="T25" s="60">
        <v>39</v>
      </c>
      <c r="U25" s="48">
        <v>71702</v>
      </c>
      <c r="V25" s="65">
        <v>40</v>
      </c>
      <c r="W25" s="155">
        <v>73240</v>
      </c>
    </row>
    <row r="26" spans="1:31" s="26" customFormat="1" ht="15.75">
      <c r="A26" s="176" t="s">
        <v>49</v>
      </c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8"/>
      <c r="R26" s="182" t="s">
        <v>22</v>
      </c>
      <c r="S26" s="183"/>
      <c r="T26" s="182" t="s">
        <v>23</v>
      </c>
      <c r="U26" s="183"/>
      <c r="V26" s="182" t="s">
        <v>24</v>
      </c>
      <c r="W26" s="183"/>
    </row>
    <row r="27" spans="1:31" s="26" customFormat="1">
      <c r="A27" s="68" t="s">
        <v>50</v>
      </c>
      <c r="B27" s="172" t="s">
        <v>51</v>
      </c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3"/>
      <c r="R27" s="47">
        <v>41</v>
      </c>
      <c r="S27" s="48">
        <v>219651</v>
      </c>
      <c r="T27" s="47">
        <v>42</v>
      </c>
      <c r="U27" s="48">
        <v>1581246</v>
      </c>
      <c r="V27" s="62">
        <v>43</v>
      </c>
      <c r="W27" s="153">
        <v>1800897</v>
      </c>
    </row>
    <row r="28" spans="1:31" s="26" customFormat="1">
      <c r="A28" s="68"/>
      <c r="B28" s="73" t="s">
        <v>39</v>
      </c>
      <c r="C28" s="172" t="s">
        <v>52</v>
      </c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3"/>
      <c r="R28" s="53">
        <v>44</v>
      </c>
      <c r="S28" s="48">
        <v>220012</v>
      </c>
      <c r="T28" s="53">
        <v>45</v>
      </c>
      <c r="U28" s="48">
        <v>1593572</v>
      </c>
      <c r="V28" s="65">
        <v>46</v>
      </c>
      <c r="W28" s="155">
        <v>1813584</v>
      </c>
    </row>
    <row r="29" spans="1:31" s="26" customFormat="1">
      <c r="A29" s="68"/>
      <c r="B29" s="73" t="s">
        <v>47</v>
      </c>
      <c r="C29" s="172" t="s">
        <v>53</v>
      </c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2"/>
      <c r="O29" s="172"/>
      <c r="P29" s="172"/>
      <c r="Q29" s="173"/>
      <c r="R29" s="70">
        <v>47</v>
      </c>
      <c r="S29" s="156">
        <v>-361</v>
      </c>
      <c r="T29" s="70">
        <v>48</v>
      </c>
      <c r="U29" s="156">
        <v>-12326</v>
      </c>
      <c r="V29" s="65">
        <v>49</v>
      </c>
      <c r="W29" s="157">
        <v>-12687</v>
      </c>
    </row>
    <row r="30" spans="1:31" s="26" customFormat="1">
      <c r="A30" s="68" t="s">
        <v>54</v>
      </c>
      <c r="B30" s="172" t="s">
        <v>55</v>
      </c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3"/>
      <c r="R30" s="65">
        <v>50</v>
      </c>
      <c r="S30" s="158">
        <v>11588</v>
      </c>
      <c r="T30" s="65">
        <v>51</v>
      </c>
      <c r="U30" s="158">
        <v>142889</v>
      </c>
      <c r="V30" s="65">
        <v>52</v>
      </c>
      <c r="W30" s="155">
        <v>154477</v>
      </c>
    </row>
    <row r="31" spans="1:31" s="78" customFormat="1" ht="12.75" customHeight="1">
      <c r="A31" s="71"/>
      <c r="B31" s="73"/>
      <c r="C31" s="73"/>
      <c r="D31" s="73"/>
      <c r="E31" s="74"/>
      <c r="F31" s="180" t="s">
        <v>56</v>
      </c>
      <c r="G31" s="184"/>
      <c r="H31" s="184"/>
      <c r="I31" s="184"/>
      <c r="J31" s="184"/>
      <c r="K31" s="181"/>
      <c r="L31" s="180" t="s">
        <v>57</v>
      </c>
      <c r="M31" s="184"/>
      <c r="N31" s="184"/>
      <c r="O31" s="184"/>
      <c r="P31" s="184"/>
      <c r="Q31" s="181"/>
      <c r="R31" s="75"/>
      <c r="S31" s="76"/>
      <c r="T31" s="76"/>
      <c r="U31" s="76"/>
      <c r="V31" s="76"/>
      <c r="W31" s="77"/>
    </row>
    <row r="32" spans="1:31" s="26" customFormat="1">
      <c r="A32" s="71"/>
      <c r="B32" s="73"/>
      <c r="C32" s="73"/>
      <c r="D32" s="73"/>
      <c r="E32" s="56"/>
      <c r="F32" s="180" t="s">
        <v>58</v>
      </c>
      <c r="G32" s="181"/>
      <c r="H32" s="180" t="s">
        <v>59</v>
      </c>
      <c r="I32" s="181"/>
      <c r="J32" s="180" t="s">
        <v>60</v>
      </c>
      <c r="K32" s="181"/>
      <c r="L32" s="180" t="s">
        <v>58</v>
      </c>
      <c r="M32" s="181"/>
      <c r="N32" s="180" t="s">
        <v>59</v>
      </c>
      <c r="O32" s="181"/>
      <c r="P32" s="180" t="s">
        <v>60</v>
      </c>
      <c r="Q32" s="181"/>
      <c r="R32" s="79"/>
      <c r="S32" s="80"/>
      <c r="T32" s="80"/>
      <c r="U32" s="80"/>
      <c r="V32" s="80"/>
      <c r="W32" s="81"/>
    </row>
    <row r="33" spans="1:23" s="26" customFormat="1">
      <c r="A33" s="71"/>
      <c r="B33" s="73" t="s">
        <v>20</v>
      </c>
      <c r="C33" s="172" t="s">
        <v>61</v>
      </c>
      <c r="D33" s="172"/>
      <c r="E33" s="173"/>
      <c r="F33" s="82">
        <v>53</v>
      </c>
      <c r="G33" s="48">
        <v>5287</v>
      </c>
      <c r="H33" s="82">
        <v>54</v>
      </c>
      <c r="I33" s="48">
        <v>98</v>
      </c>
      <c r="J33" s="82">
        <v>55</v>
      </c>
      <c r="K33" s="48">
        <v>11</v>
      </c>
      <c r="L33" s="82">
        <v>56</v>
      </c>
      <c r="M33" s="48">
        <v>81613</v>
      </c>
      <c r="N33" s="82">
        <v>57</v>
      </c>
      <c r="O33" s="48">
        <v>901</v>
      </c>
      <c r="P33" s="82">
        <v>58</v>
      </c>
      <c r="Q33" s="48">
        <v>536</v>
      </c>
      <c r="R33" s="70">
        <v>59</v>
      </c>
      <c r="S33" s="159">
        <v>5396</v>
      </c>
      <c r="T33" s="83">
        <v>60</v>
      </c>
      <c r="U33" s="159">
        <v>83050</v>
      </c>
      <c r="V33" s="65">
        <v>61</v>
      </c>
      <c r="W33" s="155">
        <v>88446</v>
      </c>
    </row>
    <row r="34" spans="1:23" s="26" customFormat="1">
      <c r="A34" s="71"/>
      <c r="B34" s="73" t="s">
        <v>27</v>
      </c>
      <c r="C34" s="172" t="s">
        <v>62</v>
      </c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3"/>
      <c r="R34" s="53">
        <v>62</v>
      </c>
      <c r="S34" s="84">
        <v>-1786</v>
      </c>
      <c r="T34" s="85">
        <v>63</v>
      </c>
      <c r="U34" s="48">
        <v>1786</v>
      </c>
      <c r="V34" s="65">
        <v>64</v>
      </c>
      <c r="W34" s="155">
        <v>0</v>
      </c>
    </row>
    <row r="35" spans="1:23" s="26" customFormat="1">
      <c r="A35" s="71"/>
      <c r="B35" s="73" t="s">
        <v>63</v>
      </c>
      <c r="C35" s="172" t="s">
        <v>64</v>
      </c>
      <c r="D35" s="172"/>
      <c r="E35" s="172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3"/>
      <c r="R35" s="53">
        <v>65</v>
      </c>
      <c r="S35" s="48">
        <v>518</v>
      </c>
      <c r="T35" s="85">
        <v>66</v>
      </c>
      <c r="U35" s="48">
        <v>2665</v>
      </c>
      <c r="V35" s="65">
        <v>67</v>
      </c>
      <c r="W35" s="155">
        <v>3183</v>
      </c>
    </row>
    <row r="36" spans="1:23" s="26" customFormat="1">
      <c r="A36" s="71"/>
      <c r="B36" s="73" t="s">
        <v>65</v>
      </c>
      <c r="C36" s="172" t="s">
        <v>66</v>
      </c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3"/>
      <c r="R36" s="53">
        <v>68</v>
      </c>
      <c r="S36" s="48">
        <v>1239</v>
      </c>
      <c r="T36" s="85">
        <v>69</v>
      </c>
      <c r="U36" s="48">
        <v>15220</v>
      </c>
      <c r="V36" s="65">
        <v>70</v>
      </c>
      <c r="W36" s="155">
        <v>16459</v>
      </c>
    </row>
    <row r="37" spans="1:23" s="26" customFormat="1">
      <c r="A37" s="68"/>
      <c r="B37" s="73" t="s">
        <v>67</v>
      </c>
      <c r="C37" s="172" t="s">
        <v>68</v>
      </c>
      <c r="D37" s="172"/>
      <c r="E37" s="172"/>
      <c r="F37" s="172"/>
      <c r="G37" s="172"/>
      <c r="H37" s="172"/>
      <c r="I37" s="172"/>
      <c r="J37" s="172"/>
      <c r="K37" s="172"/>
      <c r="L37" s="172"/>
      <c r="M37" s="172"/>
      <c r="N37" s="172"/>
      <c r="O37" s="172"/>
      <c r="P37" s="172"/>
      <c r="Q37" s="173"/>
      <c r="R37" s="53">
        <v>71</v>
      </c>
      <c r="S37" s="48">
        <v>6221</v>
      </c>
      <c r="T37" s="85">
        <v>72</v>
      </c>
      <c r="U37" s="48">
        <v>40168</v>
      </c>
      <c r="V37" s="65">
        <v>73</v>
      </c>
      <c r="W37" s="155">
        <v>46389</v>
      </c>
    </row>
    <row r="38" spans="1:23" s="26" customFormat="1">
      <c r="A38" s="68" t="s">
        <v>69</v>
      </c>
      <c r="B38" s="172" t="s">
        <v>70</v>
      </c>
      <c r="C38" s="172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72"/>
      <c r="Q38" s="173"/>
      <c r="R38" s="86"/>
      <c r="S38" s="87"/>
      <c r="T38" s="87"/>
      <c r="U38" s="87"/>
      <c r="V38" s="87"/>
      <c r="W38" s="88"/>
    </row>
    <row r="39" spans="1:23" s="26" customFormat="1">
      <c r="A39" s="71"/>
      <c r="B39" s="172" t="s">
        <v>71</v>
      </c>
      <c r="C39" s="172"/>
      <c r="D39" s="172"/>
      <c r="E39" s="172"/>
      <c r="F39" s="172"/>
      <c r="G39" s="172"/>
      <c r="H39" s="172"/>
      <c r="I39" s="172"/>
      <c r="J39" s="172"/>
      <c r="K39" s="172"/>
      <c r="L39" s="172"/>
      <c r="M39" s="172"/>
      <c r="N39" s="172"/>
      <c r="O39" s="172"/>
      <c r="P39" s="172"/>
      <c r="Q39" s="173"/>
      <c r="R39" s="70">
        <v>74</v>
      </c>
      <c r="S39" s="159">
        <v>231239</v>
      </c>
      <c r="T39" s="83">
        <v>75</v>
      </c>
      <c r="U39" s="159">
        <v>1724135</v>
      </c>
      <c r="V39" s="65">
        <v>76</v>
      </c>
      <c r="W39" s="155">
        <v>1955374</v>
      </c>
    </row>
    <row r="40" spans="1:23" s="26" customFormat="1">
      <c r="A40" s="71"/>
      <c r="B40" s="73" t="s">
        <v>20</v>
      </c>
      <c r="C40" s="187" t="s">
        <v>72</v>
      </c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8"/>
      <c r="R40" s="89">
        <v>77</v>
      </c>
      <c r="S40" s="48">
        <v>226592</v>
      </c>
      <c r="T40" s="89">
        <v>78</v>
      </c>
      <c r="U40" s="48">
        <v>1695667</v>
      </c>
      <c r="V40" s="65">
        <v>79</v>
      </c>
      <c r="W40" s="155">
        <v>1922259</v>
      </c>
    </row>
    <row r="41" spans="1:23" s="26" customFormat="1">
      <c r="A41" s="71"/>
      <c r="B41" s="56"/>
      <c r="C41" s="90" t="s">
        <v>25</v>
      </c>
      <c r="D41" s="172" t="s">
        <v>73</v>
      </c>
      <c r="E41" s="172"/>
      <c r="F41" s="172"/>
      <c r="G41" s="172"/>
      <c r="H41" s="172"/>
      <c r="I41" s="172"/>
      <c r="J41" s="172"/>
      <c r="K41" s="173"/>
      <c r="L41" s="180" t="s">
        <v>74</v>
      </c>
      <c r="M41" s="181"/>
      <c r="N41" s="180" t="s">
        <v>75</v>
      </c>
      <c r="O41" s="184"/>
      <c r="P41" s="184"/>
      <c r="Q41" s="181"/>
      <c r="R41" s="75"/>
      <c r="S41" s="76"/>
      <c r="T41" s="76"/>
      <c r="U41" s="76"/>
      <c r="V41" s="76"/>
      <c r="W41" s="77"/>
    </row>
    <row r="42" spans="1:23" s="26" customFormat="1">
      <c r="A42" s="71"/>
      <c r="B42" s="56"/>
      <c r="C42" s="73"/>
      <c r="D42" s="172" t="s">
        <v>76</v>
      </c>
      <c r="E42" s="172"/>
      <c r="F42" s="172"/>
      <c r="G42" s="172"/>
      <c r="H42" s="172"/>
      <c r="I42" s="172"/>
      <c r="J42" s="172"/>
      <c r="K42" s="173"/>
      <c r="L42" s="91">
        <v>80</v>
      </c>
      <c r="M42" s="48">
        <v>3971138</v>
      </c>
      <c r="N42" s="180" t="s">
        <v>77</v>
      </c>
      <c r="O42" s="181"/>
      <c r="P42" s="180" t="s">
        <v>78</v>
      </c>
      <c r="Q42" s="181"/>
      <c r="R42" s="79"/>
      <c r="S42" s="80"/>
      <c r="T42" s="80"/>
      <c r="U42" s="80"/>
      <c r="V42" s="80"/>
      <c r="W42" s="81"/>
    </row>
    <row r="43" spans="1:23" s="26" customFormat="1">
      <c r="A43" s="71"/>
      <c r="B43" s="73" t="s">
        <v>27</v>
      </c>
      <c r="C43" s="172" t="s">
        <v>79</v>
      </c>
      <c r="D43" s="172"/>
      <c r="E43" s="172"/>
      <c r="F43" s="172"/>
      <c r="G43" s="172"/>
      <c r="H43" s="172"/>
      <c r="I43" s="172"/>
      <c r="J43" s="172"/>
      <c r="K43" s="172"/>
      <c r="L43" s="172"/>
      <c r="M43" s="173"/>
      <c r="N43" s="91">
        <v>81</v>
      </c>
      <c r="O43" s="48">
        <v>2470</v>
      </c>
      <c r="P43" s="91">
        <v>82</v>
      </c>
      <c r="Q43" s="48">
        <v>28556</v>
      </c>
      <c r="R43" s="53">
        <v>83</v>
      </c>
      <c r="S43" s="48">
        <v>4422</v>
      </c>
      <c r="T43" s="53">
        <v>84</v>
      </c>
      <c r="U43" s="48">
        <v>19217</v>
      </c>
      <c r="V43" s="70">
        <v>85</v>
      </c>
      <c r="W43" s="160">
        <v>23639</v>
      </c>
    </row>
    <row r="44" spans="1:23" s="26" customFormat="1">
      <c r="A44" s="71"/>
      <c r="B44" s="73" t="s">
        <v>34</v>
      </c>
      <c r="C44" s="172" t="s">
        <v>80</v>
      </c>
      <c r="D44" s="172"/>
      <c r="E44" s="172"/>
      <c r="F44" s="172"/>
      <c r="G44" s="172"/>
      <c r="H44" s="172"/>
      <c r="I44" s="172"/>
      <c r="J44" s="172"/>
      <c r="K44" s="172"/>
      <c r="L44" s="172"/>
      <c r="M44" s="173"/>
      <c r="N44" s="92">
        <v>86</v>
      </c>
      <c r="O44" s="48">
        <v>11450</v>
      </c>
      <c r="P44" s="92">
        <v>87</v>
      </c>
      <c r="Q44" s="48">
        <v>1007</v>
      </c>
      <c r="R44" s="53">
        <v>88</v>
      </c>
      <c r="S44" s="48">
        <v>225</v>
      </c>
      <c r="T44" s="53">
        <v>89</v>
      </c>
      <c r="U44" s="48">
        <v>9251</v>
      </c>
      <c r="V44" s="70">
        <v>90</v>
      </c>
      <c r="W44" s="160">
        <v>9476</v>
      </c>
    </row>
    <row r="45" spans="1:23" s="26" customFormat="1">
      <c r="A45" s="68" t="s">
        <v>81</v>
      </c>
      <c r="B45" s="172" t="s">
        <v>82</v>
      </c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3"/>
      <c r="R45" s="53">
        <v>91</v>
      </c>
      <c r="S45" s="48">
        <v>13250</v>
      </c>
      <c r="T45" s="53">
        <v>92</v>
      </c>
      <c r="U45" s="48">
        <v>150475</v>
      </c>
      <c r="V45" s="70">
        <v>93</v>
      </c>
      <c r="W45" s="160">
        <v>163725</v>
      </c>
    </row>
    <row r="46" spans="1:23" s="26" customFormat="1">
      <c r="A46" s="93"/>
      <c r="B46" s="94" t="s">
        <v>16</v>
      </c>
      <c r="C46" s="185" t="s">
        <v>83</v>
      </c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6"/>
      <c r="R46" s="53">
        <v>94</v>
      </c>
      <c r="S46" s="48">
        <v>84</v>
      </c>
      <c r="T46" s="53">
        <v>95</v>
      </c>
      <c r="U46" s="48">
        <v>866</v>
      </c>
      <c r="V46" s="70">
        <v>96</v>
      </c>
      <c r="W46" s="160">
        <v>950</v>
      </c>
    </row>
    <row r="47" spans="1:23" s="26" customFormat="1">
      <c r="A47" s="68" t="s">
        <v>84</v>
      </c>
      <c r="B47" s="172" t="s">
        <v>85</v>
      </c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3"/>
      <c r="R47" s="95">
        <v>97</v>
      </c>
      <c r="S47" s="161">
        <v>217989</v>
      </c>
      <c r="T47" s="95">
        <v>98</v>
      </c>
      <c r="U47" s="162">
        <v>1573660</v>
      </c>
      <c r="V47" s="65">
        <v>99</v>
      </c>
      <c r="W47" s="155">
        <v>1791649</v>
      </c>
    </row>
    <row r="48" spans="1:23" s="26" customFormat="1" ht="15.75">
      <c r="A48" s="176" t="s">
        <v>86</v>
      </c>
      <c r="B48" s="177"/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8"/>
      <c r="R48" s="182" t="s">
        <v>22</v>
      </c>
      <c r="S48" s="183"/>
      <c r="T48" s="182" t="s">
        <v>23</v>
      </c>
      <c r="U48" s="183"/>
      <c r="V48" s="182" t="s">
        <v>24</v>
      </c>
      <c r="W48" s="183"/>
    </row>
    <row r="49" spans="1:31" s="26" customFormat="1" ht="13.5" customHeight="1">
      <c r="A49" s="71" t="s">
        <v>87</v>
      </c>
      <c r="B49" s="172" t="s">
        <v>88</v>
      </c>
      <c r="C49" s="172"/>
      <c r="D49" s="172"/>
      <c r="E49" s="172"/>
      <c r="F49" s="172"/>
      <c r="G49" s="172"/>
      <c r="H49" s="172"/>
      <c r="I49" s="172"/>
      <c r="J49" s="172"/>
      <c r="K49" s="172"/>
      <c r="L49" s="172"/>
      <c r="M49" s="172"/>
      <c r="N49" s="172"/>
      <c r="O49" s="172"/>
      <c r="P49" s="172"/>
      <c r="Q49" s="173"/>
      <c r="R49" s="96">
        <v>100</v>
      </c>
      <c r="S49" s="163">
        <v>14118</v>
      </c>
      <c r="T49" s="96">
        <v>101</v>
      </c>
      <c r="U49" s="163">
        <v>74035</v>
      </c>
      <c r="V49" s="69">
        <v>102</v>
      </c>
      <c r="W49" s="164">
        <v>88153</v>
      </c>
    </row>
    <row r="50" spans="1:31" s="100" customFormat="1" ht="14.25" customHeight="1">
      <c r="A50" s="71"/>
      <c r="B50" s="73"/>
      <c r="C50" s="73"/>
      <c r="D50" s="73"/>
      <c r="E50" s="73"/>
      <c r="F50" s="180" t="s">
        <v>56</v>
      </c>
      <c r="G50" s="184"/>
      <c r="H50" s="184"/>
      <c r="I50" s="184"/>
      <c r="J50" s="184"/>
      <c r="K50" s="181"/>
      <c r="L50" s="180" t="s">
        <v>57</v>
      </c>
      <c r="M50" s="184"/>
      <c r="N50" s="184"/>
      <c r="O50" s="184"/>
      <c r="P50" s="184"/>
      <c r="Q50" s="181"/>
      <c r="R50" s="97"/>
      <c r="S50" s="98"/>
      <c r="T50" s="98"/>
      <c r="U50" s="98"/>
      <c r="V50" s="98"/>
      <c r="W50" s="99"/>
    </row>
    <row r="51" spans="1:31" s="104" customFormat="1" ht="15" customHeight="1">
      <c r="A51" s="71"/>
      <c r="B51" s="73"/>
      <c r="C51" s="73"/>
      <c r="D51" s="73"/>
      <c r="E51" s="73"/>
      <c r="F51" s="180" t="s">
        <v>58</v>
      </c>
      <c r="G51" s="181"/>
      <c r="H51" s="180" t="s">
        <v>59</v>
      </c>
      <c r="I51" s="181"/>
      <c r="J51" s="180" t="s">
        <v>60</v>
      </c>
      <c r="K51" s="181"/>
      <c r="L51" s="180" t="s">
        <v>58</v>
      </c>
      <c r="M51" s="181"/>
      <c r="N51" s="180" t="s">
        <v>59</v>
      </c>
      <c r="O51" s="181"/>
      <c r="P51" s="180" t="s">
        <v>60</v>
      </c>
      <c r="Q51" s="181"/>
      <c r="R51" s="101"/>
      <c r="S51" s="102"/>
      <c r="T51" s="102"/>
      <c r="U51" s="102"/>
      <c r="V51" s="102"/>
      <c r="W51" s="103"/>
    </row>
    <row r="52" spans="1:31" s="106" customFormat="1" ht="15.75" customHeight="1">
      <c r="A52" s="71"/>
      <c r="B52" s="73" t="s">
        <v>20</v>
      </c>
      <c r="C52" s="172" t="s">
        <v>89</v>
      </c>
      <c r="D52" s="172"/>
      <c r="E52" s="173"/>
      <c r="F52" s="82">
        <v>103</v>
      </c>
      <c r="G52" s="48">
        <v>13501</v>
      </c>
      <c r="H52" s="82">
        <v>104</v>
      </c>
      <c r="I52" s="48">
        <v>250</v>
      </c>
      <c r="J52" s="82">
        <v>105</v>
      </c>
      <c r="K52" s="48">
        <v>7</v>
      </c>
      <c r="L52" s="82">
        <v>106</v>
      </c>
      <c r="M52" s="48">
        <v>67859</v>
      </c>
      <c r="N52" s="82">
        <v>107</v>
      </c>
      <c r="O52" s="48">
        <v>983</v>
      </c>
      <c r="P52" s="82">
        <v>108</v>
      </c>
      <c r="Q52" s="48">
        <v>244</v>
      </c>
      <c r="R52" s="105">
        <v>109</v>
      </c>
      <c r="S52" s="165">
        <v>13758</v>
      </c>
      <c r="T52" s="105">
        <v>110</v>
      </c>
      <c r="U52" s="165">
        <v>69086</v>
      </c>
      <c r="V52" s="70">
        <v>111</v>
      </c>
      <c r="W52" s="160">
        <v>82844</v>
      </c>
    </row>
    <row r="53" spans="1:31" s="107" customFormat="1" ht="13.5" customHeight="1">
      <c r="A53" s="71"/>
      <c r="B53" s="73" t="s">
        <v>27</v>
      </c>
      <c r="C53" s="172" t="s">
        <v>90</v>
      </c>
      <c r="D53" s="172"/>
      <c r="E53" s="173"/>
      <c r="F53" s="82">
        <v>112</v>
      </c>
      <c r="G53" s="48">
        <v>352</v>
      </c>
      <c r="H53" s="82">
        <v>113</v>
      </c>
      <c r="I53" s="48">
        <v>8</v>
      </c>
      <c r="J53" s="82">
        <v>114</v>
      </c>
      <c r="K53" s="48">
        <v>0</v>
      </c>
      <c r="L53" s="82">
        <v>115</v>
      </c>
      <c r="M53" s="48">
        <v>4797</v>
      </c>
      <c r="N53" s="82">
        <v>116</v>
      </c>
      <c r="O53" s="48">
        <v>121</v>
      </c>
      <c r="P53" s="82">
        <v>117</v>
      </c>
      <c r="Q53" s="48">
        <v>31</v>
      </c>
      <c r="R53" s="105">
        <v>118</v>
      </c>
      <c r="S53" s="165">
        <v>360</v>
      </c>
      <c r="T53" s="105">
        <v>119</v>
      </c>
      <c r="U53" s="165">
        <v>4949</v>
      </c>
      <c r="V53" s="70">
        <v>120</v>
      </c>
      <c r="W53" s="160">
        <v>5309</v>
      </c>
      <c r="X53" s="26"/>
      <c r="Y53" s="26"/>
      <c r="Z53" s="26"/>
      <c r="AA53" s="26"/>
      <c r="AB53" s="26"/>
      <c r="AC53" s="26"/>
      <c r="AD53" s="26"/>
      <c r="AE53" s="26"/>
    </row>
    <row r="54" spans="1:31" s="110" customFormat="1" ht="13.5" customHeight="1">
      <c r="A54" s="108" t="s">
        <v>91</v>
      </c>
      <c r="B54" s="174" t="s">
        <v>92</v>
      </c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5"/>
      <c r="R54" s="109">
        <v>121</v>
      </c>
      <c r="S54" s="48">
        <v>9</v>
      </c>
      <c r="T54" s="109">
        <v>122</v>
      </c>
      <c r="U54" s="48">
        <v>82</v>
      </c>
      <c r="V54" s="70">
        <v>123</v>
      </c>
      <c r="W54" s="160">
        <v>91</v>
      </c>
    </row>
    <row r="55" spans="1:31" ht="15.75">
      <c r="A55" s="176" t="s">
        <v>4</v>
      </c>
      <c r="B55" s="177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8"/>
    </row>
    <row r="56" spans="1:31" ht="63" customHeight="1">
      <c r="A56" s="179" t="s">
        <v>6</v>
      </c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  <c r="U56" s="179"/>
      <c r="V56" s="179"/>
      <c r="W56" s="179"/>
      <c r="AC56" s="26"/>
    </row>
    <row r="57" spans="1:31">
      <c r="U57" s="112"/>
      <c r="V57" s="113" t="s">
        <v>93</v>
      </c>
      <c r="W57" s="114">
        <v>25304237</v>
      </c>
    </row>
  </sheetData>
  <mergeCells count="82">
    <mergeCell ref="A2:O2"/>
    <mergeCell ref="A6:K6"/>
    <mergeCell ref="L6:W6"/>
    <mergeCell ref="A7:Q7"/>
    <mergeCell ref="R7:U7"/>
    <mergeCell ref="V7:W7"/>
    <mergeCell ref="B8:Q8"/>
    <mergeCell ref="C9:Q9"/>
    <mergeCell ref="B10:Q10"/>
    <mergeCell ref="C11:Q11"/>
    <mergeCell ref="R12:S12"/>
    <mergeCell ref="B20:Q20"/>
    <mergeCell ref="V12:W12"/>
    <mergeCell ref="D13:Q13"/>
    <mergeCell ref="C14:Q14"/>
    <mergeCell ref="D15:Q15"/>
    <mergeCell ref="D16:Q16"/>
    <mergeCell ref="D17:Q17"/>
    <mergeCell ref="T12:U12"/>
    <mergeCell ref="C18:Q18"/>
    <mergeCell ref="A19:Q19"/>
    <mergeCell ref="R19:S19"/>
    <mergeCell ref="T19:U19"/>
    <mergeCell ref="V19:W19"/>
    <mergeCell ref="C29:Q29"/>
    <mergeCell ref="C21:Q21"/>
    <mergeCell ref="D22:Q22"/>
    <mergeCell ref="D23:Q23"/>
    <mergeCell ref="D24:Q24"/>
    <mergeCell ref="C25:Q25"/>
    <mergeCell ref="A26:Q26"/>
    <mergeCell ref="R26:S26"/>
    <mergeCell ref="T26:U26"/>
    <mergeCell ref="V26:W26"/>
    <mergeCell ref="B27:Q27"/>
    <mergeCell ref="C28:Q28"/>
    <mergeCell ref="B30:Q30"/>
    <mergeCell ref="F31:K31"/>
    <mergeCell ref="L31:Q31"/>
    <mergeCell ref="F32:G32"/>
    <mergeCell ref="H32:I32"/>
    <mergeCell ref="J32:K32"/>
    <mergeCell ref="L32:M32"/>
    <mergeCell ref="N32:O32"/>
    <mergeCell ref="P32:Q32"/>
    <mergeCell ref="D42:K42"/>
    <mergeCell ref="N42:O42"/>
    <mergeCell ref="P42:Q42"/>
    <mergeCell ref="C33:E33"/>
    <mergeCell ref="C34:Q34"/>
    <mergeCell ref="C35:Q35"/>
    <mergeCell ref="C36:Q36"/>
    <mergeCell ref="C37:Q37"/>
    <mergeCell ref="B38:Q38"/>
    <mergeCell ref="B39:Q39"/>
    <mergeCell ref="C40:Q40"/>
    <mergeCell ref="D41:K41"/>
    <mergeCell ref="L41:M41"/>
    <mergeCell ref="N41:Q41"/>
    <mergeCell ref="C43:M43"/>
    <mergeCell ref="C44:M44"/>
    <mergeCell ref="B45:Q45"/>
    <mergeCell ref="C46:Q46"/>
    <mergeCell ref="B47:Q47"/>
    <mergeCell ref="P51:Q51"/>
    <mergeCell ref="R48:S48"/>
    <mergeCell ref="T48:U48"/>
    <mergeCell ref="V48:W48"/>
    <mergeCell ref="B49:Q49"/>
    <mergeCell ref="F50:K50"/>
    <mergeCell ref="L50:Q50"/>
    <mergeCell ref="A48:Q48"/>
    <mergeCell ref="F51:G51"/>
    <mergeCell ref="H51:I51"/>
    <mergeCell ref="J51:K51"/>
    <mergeCell ref="L51:M51"/>
    <mergeCell ref="N51:O51"/>
    <mergeCell ref="C52:E52"/>
    <mergeCell ref="C53:E53"/>
    <mergeCell ref="B54:Q54"/>
    <mergeCell ref="A55:W55"/>
    <mergeCell ref="A56:W56"/>
  </mergeCells>
  <dataValidations count="25">
    <dataValidation type="custom" sqref="Q43:Q44 O43:O44 Q52:Q53 O52:O53 U43:U46 S43:S46">
      <formula1>AND(ISNUMBER(O43),O43&gt;=0,IF(SUM(X41,X44)=0,O43=0,O43&gt;=SUM(X41,X44)))</formula1>
    </dataValidation>
    <dataValidation allowBlank="1" sqref="U48 V52:V54 R7:R41 V7:V37 S31:S32 G54 S48 W31:W32 R43:R50 V39:V40 Q54 Q45:Q51 W48 V43:V49 R52:R54 T52:T54 O54 M43:M51 N26:N54 M54 O45:O51 L26:L54 K54 K34:K51 J26:J54 I54 I34:I51 H26:H54 G26:G32 G34:G51 D26:F54 I26:I32 U31:U32 S8:S12 T8:T37 U8:U12 S19 U19 W19 W26 U26 S26 T39:T40 K26:K32 M26:M32 O26:O32 Q26:Q32 P26:P54 M34:M41 O34:O42 Q34:Q42 T43:T49 D22:D24 C21:C54 E12:Q12 E22:Q23 D12:D13 D15:D17 C11:C19 D19:Q19 C7:Q7 C9 A7:A55 B7:B54"/>
    <dataValidation type="custom" sqref="W13 S13 U13">
      <formula1>AND(ISNUMBER(S13),S13&gt;=0,S13&lt;=S33)</formula1>
    </dataValidation>
    <dataValidation type="custom" sqref="W16">
      <formula1>AND(ISNUMBER(W16),W16&gt;=0,W16&lt;=W$17)</formula1>
    </dataValidation>
    <dataValidation type="custom" sqref="W20">
      <formula1>AND(ISNUMBER(W20),W20&gt;=0,W20&lt;=W8, W20=SUM(W21,W25))</formula1>
    </dataValidation>
    <dataValidation type="custom" sqref="W29">
      <formula1>AND(ISNUMBER(W29),W29=SUM(W27,-W28))</formula1>
    </dataValidation>
    <dataValidation type="custom" sqref="S30 U30">
      <formula1>AND(ISNUMBER(S30))</formula1>
    </dataValidation>
    <dataValidation type="custom" sqref="W34">
      <formula1>AND(ISNUMBER(W34),W34=0)</formula1>
    </dataValidation>
    <dataValidation type="custom" sqref="S39 U39">
      <formula1>AND(ISNUMBER(S39),S39&gt;=0,S39=SUM(S30,S27))</formula1>
    </dataValidation>
    <dataValidation type="custom" sqref="W46 W9">
      <formula1>AND(ISNUMBER(W9),W9&gt;=0,W9&lt;=W8)</formula1>
    </dataValidation>
    <dataValidation type="custom" sqref="W47">
      <formula1>AND(ISNUMBER(W47),W47&gt;=0,W47=W39-W45)</formula1>
    </dataValidation>
    <dataValidation type="custom" sqref="W49">
      <formula1>AND(ISNUMBER(W49),W49&gt;=0,W49=SUM(W52,W53))</formula1>
    </dataValidation>
    <dataValidation type="custom" sqref="W54">
      <formula1>AND(ISNUMBER(W54),W54&gt;=0,W54&lt;=W49)</formula1>
    </dataValidation>
    <dataValidation type="custom" sqref="W39">
      <formula1>AND(ISNUMBER(W39),W39&gt;=0,W39=SUM(W40,W43,W44),W39=SUM(W27,W30))</formula1>
    </dataValidation>
    <dataValidation type="custom" sqref="W30">
      <formula1>AND(ISNUMBER(W30),W30&gt;=0, W30=SUM(W33,W34,W35,W36,W37))</formula1>
    </dataValidation>
    <dataValidation type="custom" sqref="W21">
      <formula1>AND(ISNUMBER(W21),W21&gt;=0,W21=SUM(W22,W23,W24))</formula1>
    </dataValidation>
    <dataValidation type="custom" sqref="W14">
      <formula1>AND(ISNUMBER(W14),W14&gt;=0,W14=SUM(W15,W16))</formula1>
    </dataValidation>
    <dataValidation type="custom" sqref="W11">
      <formula1>AND(ISNUMBER(W11),W11&gt;=0,W11=W33)</formula1>
    </dataValidation>
    <dataValidation type="custom" sqref="W17">
      <formula1>AND(ISNUMBER(W17),W17&gt;=0,W17&lt;=W14)</formula1>
    </dataValidation>
    <dataValidation type="custom" sqref="M42 G52:G53 I52:I53 K52:K53 M52:M53">
      <formula1>AND(ISNUMBER(G42),G42&gt;=0,IF(SUM(Q40,Q43)=0,G42=0,G42&gt;=SUM(Q40,Q43)))</formula1>
    </dataValidation>
    <dataValidation type="custom" sqref="W45 U49 U47 S52:S53 O33 W8 S14:S18 Q33 U40 S49 W27:W28 U20:U25 W15 W18 U14:U18 U33:U37 W33 W52:W53 S33:S37 W35:W37 S27:S28 U52:U53 U27:U28 G33 I33 K33 M33 W40 S20:S25 W22:W25 S40 W10 S47">
      <formula1>AND(ISNUMBER(G8),G8&gt;=0)</formula1>
    </dataValidation>
    <dataValidation type="custom" sqref="W43">
      <formula1>AND(ISNUMBER(W43),W43&gt;=0,IF(SUM(#REF!,#REF!)=0,SUM($Q$46,$S$46)=0,SUM($Q$46,$S$46)&gt;=SUM(#REF!,#REF!)))</formula1>
    </dataValidation>
    <dataValidation type="custom" sqref="W44">
      <formula1>AND(ISNUMBER(W44),W44&gt;=0,IF(SUM($Q$47,$S$47)=0,#REF!=0,SUM($Q$47,$S$47)&gt;=#REF!))</formula1>
    </dataValidation>
    <dataValidation type="custom" sqref="S29 U29">
      <formula1>AND(ISNUMBER(S29),(IF(S29&lt;&gt;0,#REF!&lt;&gt;"",#REF!="")))</formula1>
    </dataValidation>
    <dataValidation type="custom" sqref="S54 U54">
      <formula1>AND(ISNUMBER(S54),S54&gt;=0,IF(SUM(AB52,#REF!)=0,S54=0,S54&gt;=SUM(AB52,#REF!)))</formula1>
    </dataValidation>
  </dataValidations>
  <printOptions horizontalCentered="1" verticalCentered="1"/>
  <pageMargins left="0.25" right="0.25" top="0.5" bottom="0.5" header="0.25" footer="0.25"/>
  <pageSetup scale="70" orientation="portrait" r:id="rId1"/>
  <headerFooter alignWithMargins="0">
    <oddHeader>&amp;L&amp;"Arial"&amp;11STATE OF CALIFORNIA
HEALTH AND HUMAN SERVICES AGENCY&amp;R&amp;"Arial"&amp;11CALIFORNIA DEPARTMENT OF SOCIAL SERVICES
DATA SYSTEMS AND SURVEY DESIGN BUREAU&amp;C&amp;"Arial"&amp;11</oddHeader>
    <oddFooter>&amp;L&amp;"Arial"&amp;11&amp;R&amp;"Arial"&amp;11&amp;C&amp;"Arial"&amp;11&amp;P of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9">
    <pageSetUpPr fitToPage="1"/>
  </sheetPr>
  <dimension ref="A1:DY64"/>
  <sheetViews>
    <sheetView showGridLines="0" zoomScaleNormal="100" workbookViewId="0"/>
  </sheetViews>
  <sheetFormatPr defaultColWidth="16.5703125" defaultRowHeight="15"/>
  <cols>
    <col min="1" max="1" width="26.42578125" style="145" customWidth="1"/>
    <col min="2" max="124" width="20.7109375" style="136" customWidth="1"/>
    <col min="125" max="125" width="1.7109375" style="116" customWidth="1"/>
    <col min="126" max="126" width="18" style="136" bestFit="1" customWidth="1"/>
    <col min="127" max="127" width="16.5703125" style="137"/>
    <col min="128" max="16384" width="16.5703125" style="136"/>
  </cols>
  <sheetData>
    <row r="1" spans="1:129" s="117" customFormat="1" ht="15.75">
      <c r="A1" s="115" t="s">
        <v>344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116"/>
      <c r="CC1" s="116"/>
      <c r="CD1" s="116"/>
      <c r="CE1" s="116"/>
      <c r="CF1" s="116"/>
      <c r="CG1" s="116"/>
      <c r="CH1" s="116"/>
      <c r="CI1" s="116"/>
      <c r="CJ1" s="116"/>
      <c r="CK1" s="116"/>
      <c r="CL1" s="116"/>
      <c r="CM1" s="116"/>
      <c r="CN1" s="116"/>
      <c r="CO1" s="116"/>
      <c r="CP1" s="116"/>
      <c r="CQ1" s="116"/>
      <c r="CR1" s="116"/>
      <c r="CS1" s="116"/>
      <c r="CT1" s="116"/>
      <c r="CU1" s="116"/>
      <c r="CV1" s="116"/>
      <c r="CW1" s="116"/>
      <c r="CX1" s="116"/>
      <c r="CY1" s="116"/>
      <c r="CZ1" s="116"/>
      <c r="DA1" s="116"/>
      <c r="DB1" s="116"/>
      <c r="DC1" s="116"/>
      <c r="DD1" s="116"/>
      <c r="DE1" s="116"/>
      <c r="DF1" s="116"/>
      <c r="DG1" s="116"/>
      <c r="DH1" s="116"/>
      <c r="DI1" s="116"/>
      <c r="DJ1" s="116"/>
      <c r="DK1" s="116"/>
      <c r="DL1" s="116"/>
      <c r="DM1" s="116"/>
      <c r="DN1" s="116"/>
      <c r="DO1" s="116"/>
      <c r="DP1" s="116"/>
      <c r="DQ1" s="116"/>
      <c r="DR1" s="116"/>
      <c r="DS1" s="116"/>
      <c r="DT1" s="116"/>
      <c r="DU1" s="116"/>
      <c r="DW1" s="118"/>
    </row>
    <row r="2" spans="1:129" s="116" customFormat="1" ht="15.75">
      <c r="A2" s="119"/>
      <c r="B2" s="120" t="s">
        <v>95</v>
      </c>
      <c r="C2" s="120" t="s">
        <v>95</v>
      </c>
      <c r="D2" s="120" t="s">
        <v>95</v>
      </c>
      <c r="E2" s="120" t="s">
        <v>95</v>
      </c>
      <c r="F2" s="120" t="s">
        <v>95</v>
      </c>
      <c r="G2" s="120" t="s">
        <v>95</v>
      </c>
      <c r="H2" s="120" t="s">
        <v>95</v>
      </c>
      <c r="I2" s="120" t="s">
        <v>95</v>
      </c>
      <c r="J2" s="120" t="s">
        <v>95</v>
      </c>
      <c r="K2" s="120" t="s">
        <v>95</v>
      </c>
      <c r="L2" s="120" t="s">
        <v>95</v>
      </c>
      <c r="M2" s="120" t="s">
        <v>95</v>
      </c>
      <c r="N2" s="120" t="s">
        <v>95</v>
      </c>
      <c r="O2" s="120" t="s">
        <v>95</v>
      </c>
      <c r="P2" s="120" t="s">
        <v>95</v>
      </c>
      <c r="Q2" s="120" t="s">
        <v>95</v>
      </c>
      <c r="R2" s="120" t="s">
        <v>95</v>
      </c>
      <c r="S2" s="120" t="s">
        <v>95</v>
      </c>
      <c r="T2" s="120" t="s">
        <v>95</v>
      </c>
      <c r="U2" s="120" t="s">
        <v>95</v>
      </c>
      <c r="V2" s="120" t="s">
        <v>95</v>
      </c>
      <c r="W2" s="120" t="s">
        <v>95</v>
      </c>
      <c r="X2" s="120" t="s">
        <v>96</v>
      </c>
      <c r="Y2" s="120" t="s">
        <v>96</v>
      </c>
      <c r="Z2" s="120" t="s">
        <v>96</v>
      </c>
      <c r="AA2" s="120" t="s">
        <v>96</v>
      </c>
      <c r="AB2" s="120" t="s">
        <v>96</v>
      </c>
      <c r="AC2" s="120" t="s">
        <v>96</v>
      </c>
      <c r="AD2" s="120" t="s">
        <v>96</v>
      </c>
      <c r="AE2" s="120" t="s">
        <v>96</v>
      </c>
      <c r="AF2" s="120" t="s">
        <v>96</v>
      </c>
      <c r="AG2" s="120" t="s">
        <v>96</v>
      </c>
      <c r="AH2" s="120" t="s">
        <v>96</v>
      </c>
      <c r="AI2" s="120" t="s">
        <v>96</v>
      </c>
      <c r="AJ2" s="120" t="s">
        <v>96</v>
      </c>
      <c r="AK2" s="120" t="s">
        <v>96</v>
      </c>
      <c r="AL2" s="120" t="s">
        <v>96</v>
      </c>
      <c r="AM2" s="120" t="s">
        <v>96</v>
      </c>
      <c r="AN2" s="120" t="s">
        <v>96</v>
      </c>
      <c r="AO2" s="120" t="s">
        <v>96</v>
      </c>
      <c r="AP2" s="120" t="s">
        <v>97</v>
      </c>
      <c r="AQ2" s="120" t="s">
        <v>97</v>
      </c>
      <c r="AR2" s="120" t="s">
        <v>97</v>
      </c>
      <c r="AS2" s="120" t="s">
        <v>97</v>
      </c>
      <c r="AT2" s="120" t="s">
        <v>97</v>
      </c>
      <c r="AU2" s="120" t="s">
        <v>97</v>
      </c>
      <c r="AV2" s="120" t="s">
        <v>97</v>
      </c>
      <c r="AW2" s="120" t="s">
        <v>97</v>
      </c>
      <c r="AX2" s="120" t="s">
        <v>97</v>
      </c>
      <c r="AY2" s="120" t="s">
        <v>97</v>
      </c>
      <c r="AZ2" s="120" t="s">
        <v>97</v>
      </c>
      <c r="BA2" s="120" t="s">
        <v>97</v>
      </c>
      <c r="BB2" s="120" t="s">
        <v>97</v>
      </c>
      <c r="BC2" s="120" t="s">
        <v>97</v>
      </c>
      <c r="BD2" s="120" t="s">
        <v>97</v>
      </c>
      <c r="BE2" s="120" t="s">
        <v>97</v>
      </c>
      <c r="BF2" s="120" t="s">
        <v>97</v>
      </c>
      <c r="BG2" s="120" t="s">
        <v>97</v>
      </c>
      <c r="BH2" s="120" t="s">
        <v>97</v>
      </c>
      <c r="BI2" s="120" t="s">
        <v>97</v>
      </c>
      <c r="BJ2" s="120" t="s">
        <v>97</v>
      </c>
      <c r="BK2" s="120" t="s">
        <v>97</v>
      </c>
      <c r="BL2" s="120" t="s">
        <v>97</v>
      </c>
      <c r="BM2" s="120" t="s">
        <v>97</v>
      </c>
      <c r="BN2" s="120" t="s">
        <v>97</v>
      </c>
      <c r="BO2" s="120" t="s">
        <v>97</v>
      </c>
      <c r="BP2" s="120" t="s">
        <v>97</v>
      </c>
      <c r="BQ2" s="120" t="s">
        <v>97</v>
      </c>
      <c r="BR2" s="120" t="s">
        <v>97</v>
      </c>
      <c r="BS2" s="120" t="s">
        <v>97</v>
      </c>
      <c r="BT2" s="120" t="s">
        <v>97</v>
      </c>
      <c r="BU2" s="120" t="s">
        <v>97</v>
      </c>
      <c r="BV2" s="120" t="s">
        <v>97</v>
      </c>
      <c r="BW2" s="120" t="s">
        <v>97</v>
      </c>
      <c r="BX2" s="120" t="s">
        <v>97</v>
      </c>
      <c r="BY2" s="120" t="s">
        <v>97</v>
      </c>
      <c r="BZ2" s="120" t="s">
        <v>97</v>
      </c>
      <c r="CA2" s="120" t="s">
        <v>97</v>
      </c>
      <c r="CB2" s="120" t="s">
        <v>97</v>
      </c>
      <c r="CC2" s="120" t="s">
        <v>97</v>
      </c>
      <c r="CD2" s="120" t="s">
        <v>97</v>
      </c>
      <c r="CE2" s="120" t="s">
        <v>97</v>
      </c>
      <c r="CF2" s="120" t="s">
        <v>97</v>
      </c>
      <c r="CG2" s="120" t="s">
        <v>97</v>
      </c>
      <c r="CH2" s="120" t="s">
        <v>97</v>
      </c>
      <c r="CI2" s="120" t="s">
        <v>97</v>
      </c>
      <c r="CJ2" s="120" t="s">
        <v>97</v>
      </c>
      <c r="CK2" s="120" t="s">
        <v>97</v>
      </c>
      <c r="CL2" s="120" t="s">
        <v>97</v>
      </c>
      <c r="CM2" s="120" t="s">
        <v>97</v>
      </c>
      <c r="CN2" s="120" t="s">
        <v>97</v>
      </c>
      <c r="CO2" s="120" t="s">
        <v>97</v>
      </c>
      <c r="CP2" s="120" t="s">
        <v>97</v>
      </c>
      <c r="CQ2" s="120" t="s">
        <v>97</v>
      </c>
      <c r="CR2" s="120" t="s">
        <v>97</v>
      </c>
      <c r="CS2" s="120" t="s">
        <v>97</v>
      </c>
      <c r="CT2" s="120" t="s">
        <v>97</v>
      </c>
      <c r="CU2" s="120" t="s">
        <v>97</v>
      </c>
      <c r="CV2" s="120" t="s">
        <v>97</v>
      </c>
      <c r="CW2" s="120" t="s">
        <v>98</v>
      </c>
      <c r="CX2" s="120" t="s">
        <v>98</v>
      </c>
      <c r="CY2" s="120" t="s">
        <v>98</v>
      </c>
      <c r="CZ2" s="120" t="s">
        <v>98</v>
      </c>
      <c r="DA2" s="120" t="s">
        <v>98</v>
      </c>
      <c r="DB2" s="120" t="s">
        <v>98</v>
      </c>
      <c r="DC2" s="120" t="s">
        <v>98</v>
      </c>
      <c r="DD2" s="120" t="s">
        <v>98</v>
      </c>
      <c r="DE2" s="120" t="s">
        <v>98</v>
      </c>
      <c r="DF2" s="120" t="s">
        <v>98</v>
      </c>
      <c r="DG2" s="120" t="s">
        <v>98</v>
      </c>
      <c r="DH2" s="120" t="s">
        <v>98</v>
      </c>
      <c r="DI2" s="120" t="s">
        <v>98</v>
      </c>
      <c r="DJ2" s="120" t="s">
        <v>98</v>
      </c>
      <c r="DK2" s="120" t="s">
        <v>98</v>
      </c>
      <c r="DL2" s="120" t="s">
        <v>98</v>
      </c>
      <c r="DM2" s="120" t="s">
        <v>98</v>
      </c>
      <c r="DN2" s="120" t="s">
        <v>98</v>
      </c>
      <c r="DO2" s="120" t="s">
        <v>98</v>
      </c>
      <c r="DP2" s="120" t="s">
        <v>98</v>
      </c>
      <c r="DQ2" s="120" t="s">
        <v>98</v>
      </c>
      <c r="DR2" s="120" t="s">
        <v>98</v>
      </c>
      <c r="DS2" s="120" t="s">
        <v>98</v>
      </c>
      <c r="DT2" s="120" t="s">
        <v>98</v>
      </c>
    </row>
    <row r="3" spans="1:129" s="116" customFormat="1" ht="31.5">
      <c r="A3" s="119"/>
      <c r="B3" s="121"/>
      <c r="C3" s="122"/>
      <c r="D3" s="122"/>
      <c r="E3" s="123"/>
      <c r="F3" s="124" t="s">
        <v>22</v>
      </c>
      <c r="G3" s="124" t="s">
        <v>23</v>
      </c>
      <c r="H3" s="124" t="s">
        <v>99</v>
      </c>
      <c r="I3" s="125" t="s">
        <v>22</v>
      </c>
      <c r="J3" s="125" t="s">
        <v>23</v>
      </c>
      <c r="K3" s="125" t="s">
        <v>99</v>
      </c>
      <c r="L3" s="125" t="s">
        <v>22</v>
      </c>
      <c r="M3" s="125" t="s">
        <v>23</v>
      </c>
      <c r="N3" s="125" t="s">
        <v>99</v>
      </c>
      <c r="O3" s="125" t="s">
        <v>22</v>
      </c>
      <c r="P3" s="125" t="s">
        <v>23</v>
      </c>
      <c r="Q3" s="125" t="s">
        <v>99</v>
      </c>
      <c r="R3" s="125" t="s">
        <v>22</v>
      </c>
      <c r="S3" s="125" t="s">
        <v>23</v>
      </c>
      <c r="T3" s="125" t="s">
        <v>99</v>
      </c>
      <c r="U3" s="125" t="s">
        <v>22</v>
      </c>
      <c r="V3" s="125" t="s">
        <v>23</v>
      </c>
      <c r="W3" s="125" t="s">
        <v>99</v>
      </c>
      <c r="X3" s="125" t="s">
        <v>22</v>
      </c>
      <c r="Y3" s="125" t="s">
        <v>23</v>
      </c>
      <c r="Z3" s="126" t="s">
        <v>99</v>
      </c>
      <c r="AA3" s="126" t="s">
        <v>22</v>
      </c>
      <c r="AB3" s="126" t="s">
        <v>23</v>
      </c>
      <c r="AC3" s="126" t="s">
        <v>99</v>
      </c>
      <c r="AD3" s="126" t="s">
        <v>22</v>
      </c>
      <c r="AE3" s="126" t="s">
        <v>23</v>
      </c>
      <c r="AF3" s="125" t="s">
        <v>99</v>
      </c>
      <c r="AG3" s="125" t="s">
        <v>22</v>
      </c>
      <c r="AH3" s="125" t="s">
        <v>23</v>
      </c>
      <c r="AI3" s="125" t="s">
        <v>99</v>
      </c>
      <c r="AJ3" s="125" t="s">
        <v>22</v>
      </c>
      <c r="AK3" s="125" t="s">
        <v>23</v>
      </c>
      <c r="AL3" s="125" t="s">
        <v>99</v>
      </c>
      <c r="AM3" s="125" t="s">
        <v>22</v>
      </c>
      <c r="AN3" s="125" t="s">
        <v>23</v>
      </c>
      <c r="AO3" s="125" t="s">
        <v>99</v>
      </c>
      <c r="AP3" s="125" t="s">
        <v>22</v>
      </c>
      <c r="AQ3" s="125" t="s">
        <v>23</v>
      </c>
      <c r="AR3" s="125" t="s">
        <v>99</v>
      </c>
      <c r="AS3" s="125" t="s">
        <v>22</v>
      </c>
      <c r="AT3" s="125" t="s">
        <v>23</v>
      </c>
      <c r="AU3" s="125" t="s">
        <v>99</v>
      </c>
      <c r="AV3" s="125" t="s">
        <v>22</v>
      </c>
      <c r="AW3" s="125" t="s">
        <v>23</v>
      </c>
      <c r="AX3" s="125" t="s">
        <v>99</v>
      </c>
      <c r="AY3" s="125" t="s">
        <v>22</v>
      </c>
      <c r="AZ3" s="125" t="s">
        <v>23</v>
      </c>
      <c r="BA3" s="125" t="s">
        <v>99</v>
      </c>
      <c r="BB3" s="125" t="s">
        <v>100</v>
      </c>
      <c r="BC3" s="125" t="s">
        <v>101</v>
      </c>
      <c r="BD3" s="125" t="s">
        <v>102</v>
      </c>
      <c r="BE3" s="125" t="s">
        <v>103</v>
      </c>
      <c r="BF3" s="125" t="s">
        <v>104</v>
      </c>
      <c r="BG3" s="125" t="s">
        <v>105</v>
      </c>
      <c r="BH3" s="125" t="s">
        <v>22</v>
      </c>
      <c r="BI3" s="126" t="s">
        <v>23</v>
      </c>
      <c r="BJ3" s="126" t="s">
        <v>99</v>
      </c>
      <c r="BK3" s="126" t="s">
        <v>22</v>
      </c>
      <c r="BL3" s="126" t="s">
        <v>23</v>
      </c>
      <c r="BM3" s="126" t="s">
        <v>99</v>
      </c>
      <c r="BN3" s="126" t="s">
        <v>22</v>
      </c>
      <c r="BO3" s="126" t="s">
        <v>23</v>
      </c>
      <c r="BP3" s="126" t="s">
        <v>99</v>
      </c>
      <c r="BQ3" s="126" t="s">
        <v>22</v>
      </c>
      <c r="BR3" s="126" t="s">
        <v>23</v>
      </c>
      <c r="BS3" s="126" t="s">
        <v>99</v>
      </c>
      <c r="BT3" s="126" t="s">
        <v>22</v>
      </c>
      <c r="BU3" s="126" t="s">
        <v>23</v>
      </c>
      <c r="BV3" s="126" t="s">
        <v>99</v>
      </c>
      <c r="BW3" s="125" t="s">
        <v>22</v>
      </c>
      <c r="BX3" s="125" t="s">
        <v>23</v>
      </c>
      <c r="BY3" s="125" t="s">
        <v>99</v>
      </c>
      <c r="BZ3" s="125" t="s">
        <v>22</v>
      </c>
      <c r="CA3" s="125" t="s">
        <v>23</v>
      </c>
      <c r="CB3" s="126" t="s">
        <v>99</v>
      </c>
      <c r="CC3" s="126" t="s">
        <v>74</v>
      </c>
      <c r="CD3" s="126" t="s">
        <v>106</v>
      </c>
      <c r="CE3" s="126" t="s">
        <v>107</v>
      </c>
      <c r="CF3" s="126" t="s">
        <v>22</v>
      </c>
      <c r="CG3" s="126" t="s">
        <v>23</v>
      </c>
      <c r="CH3" s="126" t="s">
        <v>99</v>
      </c>
      <c r="CI3" s="126" t="s">
        <v>106</v>
      </c>
      <c r="CJ3" s="126" t="s">
        <v>107</v>
      </c>
      <c r="CK3" s="126" t="s">
        <v>22</v>
      </c>
      <c r="CL3" s="126" t="s">
        <v>23</v>
      </c>
      <c r="CM3" s="126" t="s">
        <v>99</v>
      </c>
      <c r="CN3" s="126" t="s">
        <v>22</v>
      </c>
      <c r="CO3" s="126" t="s">
        <v>23</v>
      </c>
      <c r="CP3" s="126" t="s">
        <v>99</v>
      </c>
      <c r="CQ3" s="126" t="s">
        <v>22</v>
      </c>
      <c r="CR3" s="126" t="s">
        <v>23</v>
      </c>
      <c r="CS3" s="126" t="s">
        <v>99</v>
      </c>
      <c r="CT3" s="126" t="s">
        <v>22</v>
      </c>
      <c r="CU3" s="126" t="s">
        <v>23</v>
      </c>
      <c r="CV3" s="126" t="s">
        <v>99</v>
      </c>
      <c r="CW3" s="125" t="s">
        <v>22</v>
      </c>
      <c r="CX3" s="125" t="s">
        <v>23</v>
      </c>
      <c r="CY3" s="125" t="s">
        <v>99</v>
      </c>
      <c r="CZ3" s="125" t="s">
        <v>108</v>
      </c>
      <c r="DA3" s="125" t="s">
        <v>109</v>
      </c>
      <c r="DB3" s="126" t="s">
        <v>110</v>
      </c>
      <c r="DC3" s="126" t="s">
        <v>111</v>
      </c>
      <c r="DD3" s="125" t="s">
        <v>112</v>
      </c>
      <c r="DE3" s="125" t="s">
        <v>113</v>
      </c>
      <c r="DF3" s="125" t="s">
        <v>22</v>
      </c>
      <c r="DG3" s="125" t="s">
        <v>23</v>
      </c>
      <c r="DH3" s="125" t="s">
        <v>99</v>
      </c>
      <c r="DI3" s="125" t="s">
        <v>108</v>
      </c>
      <c r="DJ3" s="125" t="s">
        <v>109</v>
      </c>
      <c r="DK3" s="126" t="s">
        <v>110</v>
      </c>
      <c r="DL3" s="126" t="s">
        <v>111</v>
      </c>
      <c r="DM3" s="125" t="s">
        <v>112</v>
      </c>
      <c r="DN3" s="125" t="s">
        <v>113</v>
      </c>
      <c r="DO3" s="125" t="s">
        <v>22</v>
      </c>
      <c r="DP3" s="125" t="s">
        <v>23</v>
      </c>
      <c r="DQ3" s="125" t="s">
        <v>99</v>
      </c>
      <c r="DR3" s="125" t="s">
        <v>22</v>
      </c>
      <c r="DS3" s="125" t="s">
        <v>23</v>
      </c>
      <c r="DT3" s="125" t="s">
        <v>99</v>
      </c>
    </row>
    <row r="4" spans="1:129" s="116" customFormat="1" ht="141.75">
      <c r="A4" s="127" t="s">
        <v>0</v>
      </c>
      <c r="B4" s="128" t="s">
        <v>114</v>
      </c>
      <c r="C4" s="128" t="s">
        <v>115</v>
      </c>
      <c r="D4" s="128" t="s">
        <v>116</v>
      </c>
      <c r="E4" s="128" t="s">
        <v>117</v>
      </c>
      <c r="F4" s="128" t="s">
        <v>118</v>
      </c>
      <c r="G4" s="128" t="s">
        <v>118</v>
      </c>
      <c r="H4" s="128" t="s">
        <v>118</v>
      </c>
      <c r="I4" s="128" t="s">
        <v>119</v>
      </c>
      <c r="J4" s="128" t="s">
        <v>119</v>
      </c>
      <c r="K4" s="128" t="s">
        <v>119</v>
      </c>
      <c r="L4" s="128" t="s">
        <v>120</v>
      </c>
      <c r="M4" s="128" t="s">
        <v>120</v>
      </c>
      <c r="N4" s="128" t="s">
        <v>120</v>
      </c>
      <c r="O4" s="128" t="s">
        <v>121</v>
      </c>
      <c r="P4" s="128" t="s">
        <v>121</v>
      </c>
      <c r="Q4" s="128" t="s">
        <v>121</v>
      </c>
      <c r="R4" s="128" t="s">
        <v>122</v>
      </c>
      <c r="S4" s="128" t="s">
        <v>122</v>
      </c>
      <c r="T4" s="128" t="s">
        <v>122</v>
      </c>
      <c r="U4" s="128" t="s">
        <v>123</v>
      </c>
      <c r="V4" s="128" t="s">
        <v>123</v>
      </c>
      <c r="W4" s="128" t="s">
        <v>123</v>
      </c>
      <c r="X4" s="128" t="s">
        <v>124</v>
      </c>
      <c r="Y4" s="128" t="s">
        <v>124</v>
      </c>
      <c r="Z4" s="128" t="s">
        <v>124</v>
      </c>
      <c r="AA4" s="128" t="s">
        <v>125</v>
      </c>
      <c r="AB4" s="128" t="s">
        <v>125</v>
      </c>
      <c r="AC4" s="128" t="s">
        <v>125</v>
      </c>
      <c r="AD4" s="128" t="s">
        <v>126</v>
      </c>
      <c r="AE4" s="128" t="s">
        <v>126</v>
      </c>
      <c r="AF4" s="128" t="s">
        <v>126</v>
      </c>
      <c r="AG4" s="128" t="s">
        <v>127</v>
      </c>
      <c r="AH4" s="128" t="s">
        <v>127</v>
      </c>
      <c r="AI4" s="128" t="s">
        <v>127</v>
      </c>
      <c r="AJ4" s="128" t="s">
        <v>128</v>
      </c>
      <c r="AK4" s="128" t="s">
        <v>128</v>
      </c>
      <c r="AL4" s="128" t="s">
        <v>128</v>
      </c>
      <c r="AM4" s="128" t="s">
        <v>129</v>
      </c>
      <c r="AN4" s="128" t="s">
        <v>129</v>
      </c>
      <c r="AO4" s="128" t="s">
        <v>129</v>
      </c>
      <c r="AP4" s="128" t="s">
        <v>130</v>
      </c>
      <c r="AQ4" s="128" t="s">
        <v>130</v>
      </c>
      <c r="AR4" s="128" t="s">
        <v>130</v>
      </c>
      <c r="AS4" s="128" t="s">
        <v>131</v>
      </c>
      <c r="AT4" s="128" t="s">
        <v>131</v>
      </c>
      <c r="AU4" s="128" t="s">
        <v>131</v>
      </c>
      <c r="AV4" s="128" t="s">
        <v>132</v>
      </c>
      <c r="AW4" s="128" t="s">
        <v>132</v>
      </c>
      <c r="AX4" s="128" t="s">
        <v>132</v>
      </c>
      <c r="AY4" s="128" t="s">
        <v>133</v>
      </c>
      <c r="AZ4" s="128" t="s">
        <v>133</v>
      </c>
      <c r="BA4" s="128" t="s">
        <v>133</v>
      </c>
      <c r="BB4" s="128" t="s">
        <v>134</v>
      </c>
      <c r="BC4" s="128" t="s">
        <v>134</v>
      </c>
      <c r="BD4" s="128" t="s">
        <v>134</v>
      </c>
      <c r="BE4" s="128" t="s">
        <v>134</v>
      </c>
      <c r="BF4" s="128" t="s">
        <v>134</v>
      </c>
      <c r="BG4" s="128" t="s">
        <v>134</v>
      </c>
      <c r="BH4" s="128" t="s">
        <v>134</v>
      </c>
      <c r="BI4" s="128" t="s">
        <v>134</v>
      </c>
      <c r="BJ4" s="128" t="s">
        <v>134</v>
      </c>
      <c r="BK4" s="128" t="s">
        <v>135</v>
      </c>
      <c r="BL4" s="128" t="s">
        <v>135</v>
      </c>
      <c r="BM4" s="128" t="s">
        <v>135</v>
      </c>
      <c r="BN4" s="128" t="s">
        <v>136</v>
      </c>
      <c r="BO4" s="128" t="s">
        <v>136</v>
      </c>
      <c r="BP4" s="128" t="s">
        <v>136</v>
      </c>
      <c r="BQ4" s="128" t="s">
        <v>137</v>
      </c>
      <c r="BR4" s="128" t="s">
        <v>137</v>
      </c>
      <c r="BS4" s="128" t="s">
        <v>137</v>
      </c>
      <c r="BT4" s="128" t="s">
        <v>138</v>
      </c>
      <c r="BU4" s="128" t="s">
        <v>138</v>
      </c>
      <c r="BV4" s="128" t="s">
        <v>138</v>
      </c>
      <c r="BW4" s="128" t="s">
        <v>139</v>
      </c>
      <c r="BX4" s="128" t="s">
        <v>139</v>
      </c>
      <c r="BY4" s="128" t="s">
        <v>139</v>
      </c>
      <c r="BZ4" s="128" t="s">
        <v>140</v>
      </c>
      <c r="CA4" s="128" t="s">
        <v>140</v>
      </c>
      <c r="CB4" s="128" t="s">
        <v>140</v>
      </c>
      <c r="CC4" s="128" t="s">
        <v>141</v>
      </c>
      <c r="CD4" s="128" t="s">
        <v>142</v>
      </c>
      <c r="CE4" s="128" t="s">
        <v>142</v>
      </c>
      <c r="CF4" s="128" t="s">
        <v>142</v>
      </c>
      <c r="CG4" s="128" t="s">
        <v>142</v>
      </c>
      <c r="CH4" s="128" t="s">
        <v>142</v>
      </c>
      <c r="CI4" s="128" t="s">
        <v>143</v>
      </c>
      <c r="CJ4" s="128" t="s">
        <v>143</v>
      </c>
      <c r="CK4" s="128" t="s">
        <v>143</v>
      </c>
      <c r="CL4" s="128" t="s">
        <v>143</v>
      </c>
      <c r="CM4" s="128" t="s">
        <v>143</v>
      </c>
      <c r="CN4" s="128" t="s">
        <v>144</v>
      </c>
      <c r="CO4" s="128" t="s">
        <v>144</v>
      </c>
      <c r="CP4" s="128" t="s">
        <v>144</v>
      </c>
      <c r="CQ4" s="128" t="s">
        <v>145</v>
      </c>
      <c r="CR4" s="128" t="s">
        <v>145</v>
      </c>
      <c r="CS4" s="128" t="s">
        <v>145</v>
      </c>
      <c r="CT4" s="128" t="s">
        <v>146</v>
      </c>
      <c r="CU4" s="128" t="s">
        <v>146</v>
      </c>
      <c r="CV4" s="128" t="s">
        <v>146</v>
      </c>
      <c r="CW4" s="128" t="s">
        <v>147</v>
      </c>
      <c r="CX4" s="128" t="s">
        <v>147</v>
      </c>
      <c r="CY4" s="128" t="s">
        <v>147</v>
      </c>
      <c r="CZ4" s="128" t="s">
        <v>148</v>
      </c>
      <c r="DA4" s="128" t="s">
        <v>148</v>
      </c>
      <c r="DB4" s="128" t="s">
        <v>148</v>
      </c>
      <c r="DC4" s="128" t="s">
        <v>148</v>
      </c>
      <c r="DD4" s="128" t="s">
        <v>148</v>
      </c>
      <c r="DE4" s="128" t="s">
        <v>148</v>
      </c>
      <c r="DF4" s="128" t="s">
        <v>148</v>
      </c>
      <c r="DG4" s="128" t="s">
        <v>148</v>
      </c>
      <c r="DH4" s="128" t="s">
        <v>148</v>
      </c>
      <c r="DI4" s="128" t="s">
        <v>149</v>
      </c>
      <c r="DJ4" s="128" t="s">
        <v>149</v>
      </c>
      <c r="DK4" s="128" t="s">
        <v>149</v>
      </c>
      <c r="DL4" s="128" t="s">
        <v>149</v>
      </c>
      <c r="DM4" s="128" t="s">
        <v>149</v>
      </c>
      <c r="DN4" s="128" t="s">
        <v>149</v>
      </c>
      <c r="DO4" s="128" t="s">
        <v>149</v>
      </c>
      <c r="DP4" s="128" t="s">
        <v>149</v>
      </c>
      <c r="DQ4" s="128" t="s">
        <v>149</v>
      </c>
      <c r="DR4" s="128" t="s">
        <v>150</v>
      </c>
      <c r="DS4" s="128" t="s">
        <v>150</v>
      </c>
      <c r="DT4" s="128" t="s">
        <v>150</v>
      </c>
    </row>
    <row r="5" spans="1:129" s="131" customFormat="1">
      <c r="A5" s="129" t="s">
        <v>151</v>
      </c>
      <c r="B5" s="130" t="s">
        <v>152</v>
      </c>
      <c r="C5" s="130" t="s">
        <v>153</v>
      </c>
      <c r="D5" s="130" t="s">
        <v>154</v>
      </c>
      <c r="E5" s="130" t="s">
        <v>155</v>
      </c>
      <c r="F5" s="130" t="s">
        <v>156</v>
      </c>
      <c r="G5" s="130" t="s">
        <v>157</v>
      </c>
      <c r="H5" s="130" t="s">
        <v>158</v>
      </c>
      <c r="I5" s="130" t="s">
        <v>159</v>
      </c>
      <c r="J5" s="130" t="s">
        <v>160</v>
      </c>
      <c r="K5" s="130" t="s">
        <v>161</v>
      </c>
      <c r="L5" s="130" t="s">
        <v>162</v>
      </c>
      <c r="M5" s="130" t="s">
        <v>163</v>
      </c>
      <c r="N5" s="130" t="s">
        <v>164</v>
      </c>
      <c r="O5" s="130" t="s">
        <v>165</v>
      </c>
      <c r="P5" s="130" t="s">
        <v>166</v>
      </c>
      <c r="Q5" s="130" t="s">
        <v>167</v>
      </c>
      <c r="R5" s="130" t="s">
        <v>168</v>
      </c>
      <c r="S5" s="130" t="s">
        <v>169</v>
      </c>
      <c r="T5" s="130" t="s">
        <v>170</v>
      </c>
      <c r="U5" s="130" t="s">
        <v>171</v>
      </c>
      <c r="V5" s="130" t="s">
        <v>172</v>
      </c>
      <c r="W5" s="130" t="s">
        <v>173</v>
      </c>
      <c r="X5" s="130" t="s">
        <v>174</v>
      </c>
      <c r="Y5" s="130" t="s">
        <v>175</v>
      </c>
      <c r="Z5" s="130" t="s">
        <v>176</v>
      </c>
      <c r="AA5" s="130" t="s">
        <v>177</v>
      </c>
      <c r="AB5" s="130" t="s">
        <v>178</v>
      </c>
      <c r="AC5" s="130" t="s">
        <v>179</v>
      </c>
      <c r="AD5" s="130" t="s">
        <v>180</v>
      </c>
      <c r="AE5" s="130" t="s">
        <v>181</v>
      </c>
      <c r="AF5" s="130" t="s">
        <v>182</v>
      </c>
      <c r="AG5" s="130" t="s">
        <v>183</v>
      </c>
      <c r="AH5" s="130" t="s">
        <v>184</v>
      </c>
      <c r="AI5" s="130" t="s">
        <v>185</v>
      </c>
      <c r="AJ5" s="130" t="s">
        <v>186</v>
      </c>
      <c r="AK5" s="130" t="s">
        <v>187</v>
      </c>
      <c r="AL5" s="130" t="s">
        <v>188</v>
      </c>
      <c r="AM5" s="130" t="s">
        <v>189</v>
      </c>
      <c r="AN5" s="130" t="s">
        <v>190</v>
      </c>
      <c r="AO5" s="130" t="s">
        <v>191</v>
      </c>
      <c r="AP5" s="130" t="s">
        <v>192</v>
      </c>
      <c r="AQ5" s="130" t="s">
        <v>193</v>
      </c>
      <c r="AR5" s="130" t="s">
        <v>194</v>
      </c>
      <c r="AS5" s="130" t="s">
        <v>195</v>
      </c>
      <c r="AT5" s="130" t="s">
        <v>196</v>
      </c>
      <c r="AU5" s="130" t="s">
        <v>197</v>
      </c>
      <c r="AV5" s="130" t="s">
        <v>198</v>
      </c>
      <c r="AW5" s="130" t="s">
        <v>199</v>
      </c>
      <c r="AX5" s="130" t="s">
        <v>200</v>
      </c>
      <c r="AY5" s="130" t="s">
        <v>201</v>
      </c>
      <c r="AZ5" s="130" t="s">
        <v>202</v>
      </c>
      <c r="BA5" s="130" t="s">
        <v>203</v>
      </c>
      <c r="BB5" s="130" t="s">
        <v>204</v>
      </c>
      <c r="BC5" s="130" t="s">
        <v>205</v>
      </c>
      <c r="BD5" s="130" t="s">
        <v>206</v>
      </c>
      <c r="BE5" s="130" t="s">
        <v>207</v>
      </c>
      <c r="BF5" s="130" t="s">
        <v>208</v>
      </c>
      <c r="BG5" s="130" t="s">
        <v>209</v>
      </c>
      <c r="BH5" s="130" t="s">
        <v>210</v>
      </c>
      <c r="BI5" s="130" t="s">
        <v>211</v>
      </c>
      <c r="BJ5" s="130" t="s">
        <v>212</v>
      </c>
      <c r="BK5" s="130" t="s">
        <v>213</v>
      </c>
      <c r="BL5" s="130" t="s">
        <v>214</v>
      </c>
      <c r="BM5" s="130" t="s">
        <v>215</v>
      </c>
      <c r="BN5" s="130" t="s">
        <v>216</v>
      </c>
      <c r="BO5" s="130" t="s">
        <v>217</v>
      </c>
      <c r="BP5" s="130" t="s">
        <v>218</v>
      </c>
      <c r="BQ5" s="130" t="s">
        <v>219</v>
      </c>
      <c r="BR5" s="130" t="s">
        <v>220</v>
      </c>
      <c r="BS5" s="130" t="s">
        <v>221</v>
      </c>
      <c r="BT5" s="130" t="s">
        <v>222</v>
      </c>
      <c r="BU5" s="130" t="s">
        <v>223</v>
      </c>
      <c r="BV5" s="130" t="s">
        <v>224</v>
      </c>
      <c r="BW5" s="130" t="s">
        <v>225</v>
      </c>
      <c r="BX5" s="130" t="s">
        <v>226</v>
      </c>
      <c r="BY5" s="130" t="s">
        <v>227</v>
      </c>
      <c r="BZ5" s="130" t="s">
        <v>228</v>
      </c>
      <c r="CA5" s="130" t="s">
        <v>229</v>
      </c>
      <c r="CB5" s="130" t="s">
        <v>230</v>
      </c>
      <c r="CC5" s="130" t="s">
        <v>231</v>
      </c>
      <c r="CD5" s="130" t="s">
        <v>232</v>
      </c>
      <c r="CE5" s="130" t="s">
        <v>233</v>
      </c>
      <c r="CF5" s="130" t="s">
        <v>234</v>
      </c>
      <c r="CG5" s="130" t="s">
        <v>235</v>
      </c>
      <c r="CH5" s="130" t="s">
        <v>236</v>
      </c>
      <c r="CI5" s="130" t="s">
        <v>237</v>
      </c>
      <c r="CJ5" s="130" t="s">
        <v>238</v>
      </c>
      <c r="CK5" s="130" t="s">
        <v>239</v>
      </c>
      <c r="CL5" s="130" t="s">
        <v>240</v>
      </c>
      <c r="CM5" s="130" t="s">
        <v>241</v>
      </c>
      <c r="CN5" s="130" t="s">
        <v>242</v>
      </c>
      <c r="CO5" s="130" t="s">
        <v>243</v>
      </c>
      <c r="CP5" s="130" t="s">
        <v>244</v>
      </c>
      <c r="CQ5" s="130" t="s">
        <v>245</v>
      </c>
      <c r="CR5" s="130" t="s">
        <v>246</v>
      </c>
      <c r="CS5" s="130" t="s">
        <v>247</v>
      </c>
      <c r="CT5" s="130" t="s">
        <v>248</v>
      </c>
      <c r="CU5" s="130" t="s">
        <v>249</v>
      </c>
      <c r="CV5" s="130" t="s">
        <v>250</v>
      </c>
      <c r="CW5" s="130" t="s">
        <v>251</v>
      </c>
      <c r="CX5" s="130" t="s">
        <v>252</v>
      </c>
      <c r="CY5" s="130" t="s">
        <v>253</v>
      </c>
      <c r="CZ5" s="130" t="s">
        <v>254</v>
      </c>
      <c r="DA5" s="130" t="s">
        <v>255</v>
      </c>
      <c r="DB5" s="130" t="s">
        <v>256</v>
      </c>
      <c r="DC5" s="130" t="s">
        <v>257</v>
      </c>
      <c r="DD5" s="130" t="s">
        <v>258</v>
      </c>
      <c r="DE5" s="130" t="s">
        <v>259</v>
      </c>
      <c r="DF5" s="130" t="s">
        <v>260</v>
      </c>
      <c r="DG5" s="130" t="s">
        <v>261</v>
      </c>
      <c r="DH5" s="130" t="s">
        <v>262</v>
      </c>
      <c r="DI5" s="130" t="s">
        <v>263</v>
      </c>
      <c r="DJ5" s="130" t="s">
        <v>264</v>
      </c>
      <c r="DK5" s="130" t="s">
        <v>265</v>
      </c>
      <c r="DL5" s="130" t="s">
        <v>266</v>
      </c>
      <c r="DM5" s="130" t="s">
        <v>267</v>
      </c>
      <c r="DN5" s="130" t="s">
        <v>268</v>
      </c>
      <c r="DO5" s="130" t="s">
        <v>269</v>
      </c>
      <c r="DP5" s="130" t="s">
        <v>270</v>
      </c>
      <c r="DQ5" s="130" t="s">
        <v>271</v>
      </c>
      <c r="DR5" s="130" t="s">
        <v>272</v>
      </c>
      <c r="DS5" s="130" t="s">
        <v>273</v>
      </c>
      <c r="DT5" s="130" t="s">
        <v>274</v>
      </c>
      <c r="DU5" s="116"/>
      <c r="DW5" s="132"/>
    </row>
    <row r="6" spans="1:129" ht="15.75">
      <c r="A6" s="133" t="s">
        <v>275</v>
      </c>
      <c r="B6" s="134" t="s">
        <v>335</v>
      </c>
      <c r="C6" s="134" t="s">
        <v>335</v>
      </c>
      <c r="D6" s="134" t="s">
        <v>335</v>
      </c>
      <c r="E6" s="134" t="s">
        <v>335</v>
      </c>
      <c r="F6" s="134" t="s">
        <v>335</v>
      </c>
      <c r="G6" s="134" t="s">
        <v>335</v>
      </c>
      <c r="H6" s="134" t="s">
        <v>335</v>
      </c>
      <c r="I6" s="134" t="s">
        <v>335</v>
      </c>
      <c r="J6" s="134" t="s">
        <v>335</v>
      </c>
      <c r="K6" s="134" t="s">
        <v>335</v>
      </c>
      <c r="L6" s="134" t="s">
        <v>335</v>
      </c>
      <c r="M6" s="134" t="s">
        <v>335</v>
      </c>
      <c r="N6" s="134" t="s">
        <v>335</v>
      </c>
      <c r="O6" s="134" t="s">
        <v>335</v>
      </c>
      <c r="P6" s="134" t="s">
        <v>335</v>
      </c>
      <c r="Q6" s="134" t="s">
        <v>335</v>
      </c>
      <c r="R6" s="134" t="s">
        <v>335</v>
      </c>
      <c r="S6" s="134" t="s">
        <v>335</v>
      </c>
      <c r="T6" s="134" t="s">
        <v>335</v>
      </c>
      <c r="U6" s="134" t="s">
        <v>335</v>
      </c>
      <c r="V6" s="134" t="s">
        <v>335</v>
      </c>
      <c r="W6" s="134" t="s">
        <v>335</v>
      </c>
      <c r="X6" s="134" t="s">
        <v>335</v>
      </c>
      <c r="Y6" s="134" t="s">
        <v>335</v>
      </c>
      <c r="Z6" s="134" t="s">
        <v>335</v>
      </c>
      <c r="AA6" s="134" t="s">
        <v>335</v>
      </c>
      <c r="AB6" s="134" t="s">
        <v>335</v>
      </c>
      <c r="AC6" s="134" t="s">
        <v>335</v>
      </c>
      <c r="AD6" s="134" t="s">
        <v>335</v>
      </c>
      <c r="AE6" s="134" t="s">
        <v>335</v>
      </c>
      <c r="AF6" s="134" t="s">
        <v>335</v>
      </c>
      <c r="AG6" s="134" t="s">
        <v>335</v>
      </c>
      <c r="AH6" s="134" t="s">
        <v>335</v>
      </c>
      <c r="AI6" s="134" t="s">
        <v>335</v>
      </c>
      <c r="AJ6" s="134" t="s">
        <v>335</v>
      </c>
      <c r="AK6" s="134" t="s">
        <v>335</v>
      </c>
      <c r="AL6" s="134" t="s">
        <v>335</v>
      </c>
      <c r="AM6" s="134" t="s">
        <v>335</v>
      </c>
      <c r="AN6" s="134" t="s">
        <v>335</v>
      </c>
      <c r="AO6" s="134" t="s">
        <v>335</v>
      </c>
      <c r="AP6" s="134" t="s">
        <v>335</v>
      </c>
      <c r="AQ6" s="134" t="s">
        <v>335</v>
      </c>
      <c r="AR6" s="134" t="s">
        <v>335</v>
      </c>
      <c r="AS6" s="134" t="s">
        <v>335</v>
      </c>
      <c r="AT6" s="134" t="s">
        <v>335</v>
      </c>
      <c r="AU6" s="134" t="s">
        <v>335</v>
      </c>
      <c r="AV6" s="134" t="s">
        <v>335</v>
      </c>
      <c r="AW6" s="134" t="s">
        <v>335</v>
      </c>
      <c r="AX6" s="134" t="s">
        <v>335</v>
      </c>
      <c r="AY6" s="134" t="s">
        <v>335</v>
      </c>
      <c r="AZ6" s="134" t="s">
        <v>335</v>
      </c>
      <c r="BA6" s="134" t="s">
        <v>335</v>
      </c>
      <c r="BB6" s="134" t="s">
        <v>335</v>
      </c>
      <c r="BC6" s="134" t="s">
        <v>335</v>
      </c>
      <c r="BD6" s="134" t="s">
        <v>335</v>
      </c>
      <c r="BE6" s="134" t="s">
        <v>335</v>
      </c>
      <c r="BF6" s="134" t="s">
        <v>335</v>
      </c>
      <c r="BG6" s="134" t="s">
        <v>335</v>
      </c>
      <c r="BH6" s="134" t="s">
        <v>335</v>
      </c>
      <c r="BI6" s="134" t="s">
        <v>335</v>
      </c>
      <c r="BJ6" s="134" t="s">
        <v>335</v>
      </c>
      <c r="BK6" s="134" t="s">
        <v>335</v>
      </c>
      <c r="BL6" s="134" t="s">
        <v>335</v>
      </c>
      <c r="BM6" s="134" t="s">
        <v>335</v>
      </c>
      <c r="BN6" s="134" t="s">
        <v>335</v>
      </c>
      <c r="BO6" s="134" t="s">
        <v>335</v>
      </c>
      <c r="BP6" s="134" t="s">
        <v>335</v>
      </c>
      <c r="BQ6" s="134" t="s">
        <v>335</v>
      </c>
      <c r="BR6" s="134" t="s">
        <v>335</v>
      </c>
      <c r="BS6" s="134" t="s">
        <v>335</v>
      </c>
      <c r="BT6" s="134" t="s">
        <v>335</v>
      </c>
      <c r="BU6" s="134" t="s">
        <v>335</v>
      </c>
      <c r="BV6" s="134" t="s">
        <v>335</v>
      </c>
      <c r="BW6" s="134" t="s">
        <v>335</v>
      </c>
      <c r="BX6" s="134" t="s">
        <v>335</v>
      </c>
      <c r="BY6" s="134" t="s">
        <v>335</v>
      </c>
      <c r="BZ6" s="134" t="s">
        <v>335</v>
      </c>
      <c r="CA6" s="134" t="s">
        <v>335</v>
      </c>
      <c r="CB6" s="134" t="s">
        <v>335</v>
      </c>
      <c r="CC6" s="134" t="s">
        <v>335</v>
      </c>
      <c r="CD6" s="134" t="s">
        <v>335</v>
      </c>
      <c r="CE6" s="134" t="s">
        <v>335</v>
      </c>
      <c r="CF6" s="134" t="s">
        <v>335</v>
      </c>
      <c r="CG6" s="134" t="s">
        <v>335</v>
      </c>
      <c r="CH6" s="134" t="s">
        <v>335</v>
      </c>
      <c r="CI6" s="134" t="s">
        <v>335</v>
      </c>
      <c r="CJ6" s="134" t="s">
        <v>335</v>
      </c>
      <c r="CK6" s="134" t="s">
        <v>335</v>
      </c>
      <c r="CL6" s="134" t="s">
        <v>335</v>
      </c>
      <c r="CM6" s="134" t="s">
        <v>335</v>
      </c>
      <c r="CN6" s="134" t="s">
        <v>335</v>
      </c>
      <c r="CO6" s="134" t="s">
        <v>335</v>
      </c>
      <c r="CP6" s="134" t="s">
        <v>335</v>
      </c>
      <c r="CQ6" s="134" t="s">
        <v>335</v>
      </c>
      <c r="CR6" s="134" t="s">
        <v>335</v>
      </c>
      <c r="CS6" s="134" t="s">
        <v>335</v>
      </c>
      <c r="CT6" s="134" t="s">
        <v>335</v>
      </c>
      <c r="CU6" s="134" t="s">
        <v>335</v>
      </c>
      <c r="CV6" s="134" t="s">
        <v>335</v>
      </c>
      <c r="CW6" s="134" t="s">
        <v>335</v>
      </c>
      <c r="CX6" s="134" t="s">
        <v>335</v>
      </c>
      <c r="CY6" s="134" t="s">
        <v>335</v>
      </c>
      <c r="CZ6" s="134" t="s">
        <v>335</v>
      </c>
      <c r="DA6" s="134" t="s">
        <v>335</v>
      </c>
      <c r="DB6" s="134" t="s">
        <v>335</v>
      </c>
      <c r="DC6" s="134" t="s">
        <v>335</v>
      </c>
      <c r="DD6" s="134" t="s">
        <v>335</v>
      </c>
      <c r="DE6" s="134" t="s">
        <v>335</v>
      </c>
      <c r="DF6" s="134" t="s">
        <v>335</v>
      </c>
      <c r="DG6" s="134" t="s">
        <v>335</v>
      </c>
      <c r="DH6" s="134" t="s">
        <v>335</v>
      </c>
      <c r="DI6" s="134" t="s">
        <v>335</v>
      </c>
      <c r="DJ6" s="134" t="s">
        <v>335</v>
      </c>
      <c r="DK6" s="134" t="s">
        <v>335</v>
      </c>
      <c r="DL6" s="134" t="s">
        <v>335</v>
      </c>
      <c r="DM6" s="134" t="s">
        <v>335</v>
      </c>
      <c r="DN6" s="134" t="s">
        <v>335</v>
      </c>
      <c r="DO6" s="134" t="s">
        <v>335</v>
      </c>
      <c r="DP6" s="134" t="s">
        <v>335</v>
      </c>
      <c r="DQ6" s="134" t="s">
        <v>335</v>
      </c>
      <c r="DR6" s="134" t="s">
        <v>335</v>
      </c>
      <c r="DS6" s="134" t="s">
        <v>335</v>
      </c>
      <c r="DT6" s="135" t="s">
        <v>335</v>
      </c>
    </row>
    <row r="7" spans="1:129">
      <c r="A7" s="133" t="s">
        <v>276</v>
      </c>
      <c r="B7" s="134">
        <v>3</v>
      </c>
      <c r="C7" s="134">
        <v>0</v>
      </c>
      <c r="D7" s="134">
        <v>2</v>
      </c>
      <c r="E7" s="134">
        <v>2</v>
      </c>
      <c r="F7" s="134">
        <v>0</v>
      </c>
      <c r="G7" s="134">
        <v>0</v>
      </c>
      <c r="H7" s="134">
        <v>0</v>
      </c>
      <c r="I7" s="134">
        <v>0</v>
      </c>
      <c r="J7" s="134">
        <v>0</v>
      </c>
      <c r="K7" s="134">
        <v>0</v>
      </c>
      <c r="L7" s="134">
        <v>0</v>
      </c>
      <c r="M7" s="134">
        <v>0</v>
      </c>
      <c r="N7" s="134">
        <v>0</v>
      </c>
      <c r="O7" s="134">
        <v>0</v>
      </c>
      <c r="P7" s="134">
        <v>0</v>
      </c>
      <c r="Q7" s="134">
        <v>0</v>
      </c>
      <c r="R7" s="134">
        <v>0</v>
      </c>
      <c r="S7" s="134">
        <v>0</v>
      </c>
      <c r="T7" s="134">
        <v>0</v>
      </c>
      <c r="U7" s="134">
        <v>0</v>
      </c>
      <c r="V7" s="134">
        <v>0</v>
      </c>
      <c r="W7" s="134">
        <v>0</v>
      </c>
      <c r="X7" s="134">
        <v>0</v>
      </c>
      <c r="Y7" s="134">
        <v>2</v>
      </c>
      <c r="Z7" s="134">
        <v>2</v>
      </c>
      <c r="AA7" s="134">
        <v>0</v>
      </c>
      <c r="AB7" s="134">
        <v>0</v>
      </c>
      <c r="AC7" s="134">
        <v>0</v>
      </c>
      <c r="AD7" s="134">
        <v>0</v>
      </c>
      <c r="AE7" s="134">
        <v>0</v>
      </c>
      <c r="AF7" s="134">
        <v>0</v>
      </c>
      <c r="AG7" s="134">
        <v>0</v>
      </c>
      <c r="AH7" s="134">
        <v>0</v>
      </c>
      <c r="AI7" s="134">
        <v>0</v>
      </c>
      <c r="AJ7" s="134">
        <v>0</v>
      </c>
      <c r="AK7" s="134">
        <v>0</v>
      </c>
      <c r="AL7" s="134">
        <v>0</v>
      </c>
      <c r="AM7" s="134">
        <v>0</v>
      </c>
      <c r="AN7" s="134">
        <v>2</v>
      </c>
      <c r="AO7" s="134">
        <v>2</v>
      </c>
      <c r="AP7" s="134">
        <v>2</v>
      </c>
      <c r="AQ7" s="134">
        <v>71</v>
      </c>
      <c r="AR7" s="134">
        <v>73</v>
      </c>
      <c r="AS7" s="134">
        <v>2</v>
      </c>
      <c r="AT7" s="134">
        <v>71</v>
      </c>
      <c r="AU7" s="134">
        <v>73</v>
      </c>
      <c r="AV7" s="134">
        <v>0</v>
      </c>
      <c r="AW7" s="134">
        <v>0</v>
      </c>
      <c r="AX7" s="134">
        <v>0</v>
      </c>
      <c r="AY7" s="134">
        <v>0</v>
      </c>
      <c r="AZ7" s="134">
        <v>4</v>
      </c>
      <c r="BA7" s="134">
        <v>4</v>
      </c>
      <c r="BB7" s="134">
        <v>0</v>
      </c>
      <c r="BC7" s="134">
        <v>0</v>
      </c>
      <c r="BD7" s="134">
        <v>0</v>
      </c>
      <c r="BE7" s="134">
        <v>2</v>
      </c>
      <c r="BF7" s="134">
        <v>0</v>
      </c>
      <c r="BG7" s="134">
        <v>0</v>
      </c>
      <c r="BH7" s="134">
        <v>0</v>
      </c>
      <c r="BI7" s="134">
        <v>2</v>
      </c>
      <c r="BJ7" s="134">
        <v>2</v>
      </c>
      <c r="BK7" s="134">
        <v>0</v>
      </c>
      <c r="BL7" s="134">
        <v>0</v>
      </c>
      <c r="BM7" s="134">
        <v>0</v>
      </c>
      <c r="BN7" s="134">
        <v>0</v>
      </c>
      <c r="BO7" s="134">
        <v>1</v>
      </c>
      <c r="BP7" s="134">
        <v>1</v>
      </c>
      <c r="BQ7" s="134">
        <v>0</v>
      </c>
      <c r="BR7" s="134">
        <v>1</v>
      </c>
      <c r="BS7" s="134">
        <v>1</v>
      </c>
      <c r="BT7" s="134">
        <v>0</v>
      </c>
      <c r="BU7" s="134">
        <v>0</v>
      </c>
      <c r="BV7" s="134">
        <v>0</v>
      </c>
      <c r="BW7" s="134">
        <v>2</v>
      </c>
      <c r="BX7" s="134">
        <v>75</v>
      </c>
      <c r="BY7" s="134">
        <v>77</v>
      </c>
      <c r="BZ7" s="134">
        <v>2</v>
      </c>
      <c r="CA7" s="134">
        <v>75</v>
      </c>
      <c r="CB7" s="134">
        <v>77</v>
      </c>
      <c r="CC7" s="134">
        <v>136</v>
      </c>
      <c r="CD7" s="134">
        <v>0</v>
      </c>
      <c r="CE7" s="134">
        <v>0</v>
      </c>
      <c r="CF7" s="134">
        <v>0</v>
      </c>
      <c r="CG7" s="134">
        <v>0</v>
      </c>
      <c r="CH7" s="134">
        <v>0</v>
      </c>
      <c r="CI7" s="134">
        <v>0</v>
      </c>
      <c r="CJ7" s="134">
        <v>0</v>
      </c>
      <c r="CK7" s="134">
        <v>0</v>
      </c>
      <c r="CL7" s="134">
        <v>0</v>
      </c>
      <c r="CM7" s="134">
        <v>0</v>
      </c>
      <c r="CN7" s="134">
        <v>0</v>
      </c>
      <c r="CO7" s="134">
        <v>4</v>
      </c>
      <c r="CP7" s="134">
        <v>4</v>
      </c>
      <c r="CQ7" s="134">
        <v>0</v>
      </c>
      <c r="CR7" s="134">
        <v>0</v>
      </c>
      <c r="CS7" s="134">
        <v>0</v>
      </c>
      <c r="CT7" s="134">
        <v>2</v>
      </c>
      <c r="CU7" s="134">
        <v>71</v>
      </c>
      <c r="CV7" s="134">
        <v>73</v>
      </c>
      <c r="CW7" s="134">
        <v>0</v>
      </c>
      <c r="CX7" s="134">
        <v>2</v>
      </c>
      <c r="CY7" s="134">
        <v>2</v>
      </c>
      <c r="CZ7" s="134">
        <v>0</v>
      </c>
      <c r="DA7" s="134">
        <v>0</v>
      </c>
      <c r="DB7" s="134">
        <v>0</v>
      </c>
      <c r="DC7" s="134">
        <v>2</v>
      </c>
      <c r="DD7" s="134">
        <v>0</v>
      </c>
      <c r="DE7" s="134">
        <v>0</v>
      </c>
      <c r="DF7" s="134">
        <v>0</v>
      </c>
      <c r="DG7" s="134">
        <v>2</v>
      </c>
      <c r="DH7" s="134">
        <v>2</v>
      </c>
      <c r="DI7" s="134">
        <v>0</v>
      </c>
      <c r="DJ7" s="134">
        <v>0</v>
      </c>
      <c r="DK7" s="134">
        <v>0</v>
      </c>
      <c r="DL7" s="134">
        <v>0</v>
      </c>
      <c r="DM7" s="134">
        <v>0</v>
      </c>
      <c r="DN7" s="134">
        <v>0</v>
      </c>
      <c r="DO7" s="134">
        <v>0</v>
      </c>
      <c r="DP7" s="134">
        <v>0</v>
      </c>
      <c r="DQ7" s="134">
        <v>0</v>
      </c>
      <c r="DR7" s="134">
        <v>0</v>
      </c>
      <c r="DS7" s="134">
        <v>0</v>
      </c>
      <c r="DT7" s="135">
        <v>0</v>
      </c>
    </row>
    <row r="8" spans="1:129">
      <c r="A8" s="133" t="s">
        <v>277</v>
      </c>
      <c r="B8" s="134">
        <v>111</v>
      </c>
      <c r="C8" s="134">
        <v>27</v>
      </c>
      <c r="D8" s="134">
        <v>115</v>
      </c>
      <c r="E8" s="134">
        <v>77</v>
      </c>
      <c r="F8" s="134">
        <v>0</v>
      </c>
      <c r="G8" s="134">
        <v>0</v>
      </c>
      <c r="H8" s="134">
        <v>0</v>
      </c>
      <c r="I8" s="134">
        <v>0</v>
      </c>
      <c r="J8" s="134">
        <v>31</v>
      </c>
      <c r="K8" s="134">
        <v>31</v>
      </c>
      <c r="L8" s="134">
        <v>0</v>
      </c>
      <c r="M8" s="134">
        <v>8</v>
      </c>
      <c r="N8" s="134">
        <v>8</v>
      </c>
      <c r="O8" s="134">
        <v>0</v>
      </c>
      <c r="P8" s="134">
        <v>23</v>
      </c>
      <c r="Q8" s="134">
        <v>23</v>
      </c>
      <c r="R8" s="134">
        <v>0</v>
      </c>
      <c r="S8" s="134">
        <v>1</v>
      </c>
      <c r="T8" s="134">
        <v>1</v>
      </c>
      <c r="U8" s="134">
        <v>0</v>
      </c>
      <c r="V8" s="134">
        <v>7</v>
      </c>
      <c r="W8" s="134">
        <v>7</v>
      </c>
      <c r="X8" s="134">
        <v>3</v>
      </c>
      <c r="Y8" s="134">
        <v>112</v>
      </c>
      <c r="Z8" s="134">
        <v>115</v>
      </c>
      <c r="AA8" s="134">
        <v>3</v>
      </c>
      <c r="AB8" s="134">
        <v>54</v>
      </c>
      <c r="AC8" s="134">
        <v>57</v>
      </c>
      <c r="AD8" s="134">
        <v>3</v>
      </c>
      <c r="AE8" s="134">
        <v>52</v>
      </c>
      <c r="AF8" s="134">
        <v>55</v>
      </c>
      <c r="AG8" s="134">
        <v>0</v>
      </c>
      <c r="AH8" s="134">
        <v>2</v>
      </c>
      <c r="AI8" s="134">
        <v>2</v>
      </c>
      <c r="AJ8" s="134">
        <v>0</v>
      </c>
      <c r="AK8" s="134">
        <v>0</v>
      </c>
      <c r="AL8" s="134">
        <v>0</v>
      </c>
      <c r="AM8" s="134">
        <v>0</v>
      </c>
      <c r="AN8" s="134">
        <v>58</v>
      </c>
      <c r="AO8" s="134">
        <v>58</v>
      </c>
      <c r="AP8" s="134">
        <v>100</v>
      </c>
      <c r="AQ8" s="134">
        <v>1380</v>
      </c>
      <c r="AR8" s="134">
        <v>1480</v>
      </c>
      <c r="AS8" s="134">
        <v>100</v>
      </c>
      <c r="AT8" s="134">
        <v>1380</v>
      </c>
      <c r="AU8" s="134">
        <v>1480</v>
      </c>
      <c r="AV8" s="134">
        <v>0</v>
      </c>
      <c r="AW8" s="134">
        <v>0</v>
      </c>
      <c r="AX8" s="134">
        <v>0</v>
      </c>
      <c r="AY8" s="134">
        <v>15</v>
      </c>
      <c r="AZ8" s="134">
        <v>140</v>
      </c>
      <c r="BA8" s="134">
        <v>155</v>
      </c>
      <c r="BB8" s="134">
        <v>4</v>
      </c>
      <c r="BC8" s="134">
        <v>0</v>
      </c>
      <c r="BD8" s="134">
        <v>0</v>
      </c>
      <c r="BE8" s="134">
        <v>73</v>
      </c>
      <c r="BF8" s="134">
        <v>0</v>
      </c>
      <c r="BG8" s="134">
        <v>0</v>
      </c>
      <c r="BH8" s="134">
        <v>4</v>
      </c>
      <c r="BI8" s="134">
        <v>73</v>
      </c>
      <c r="BJ8" s="134">
        <v>77</v>
      </c>
      <c r="BK8" s="134">
        <v>4</v>
      </c>
      <c r="BL8" s="134">
        <v>-4</v>
      </c>
      <c r="BM8" s="134">
        <v>0</v>
      </c>
      <c r="BN8" s="134">
        <v>1</v>
      </c>
      <c r="BO8" s="134">
        <v>6</v>
      </c>
      <c r="BP8" s="134">
        <v>7</v>
      </c>
      <c r="BQ8" s="134">
        <v>1</v>
      </c>
      <c r="BR8" s="134">
        <v>18</v>
      </c>
      <c r="BS8" s="134">
        <v>19</v>
      </c>
      <c r="BT8" s="134">
        <v>5</v>
      </c>
      <c r="BU8" s="134">
        <v>47</v>
      </c>
      <c r="BV8" s="134">
        <v>52</v>
      </c>
      <c r="BW8" s="134">
        <v>115</v>
      </c>
      <c r="BX8" s="134">
        <v>1520</v>
      </c>
      <c r="BY8" s="134">
        <v>1635</v>
      </c>
      <c r="BZ8" s="134">
        <v>115</v>
      </c>
      <c r="CA8" s="134">
        <v>1520</v>
      </c>
      <c r="CB8" s="134">
        <v>1635</v>
      </c>
      <c r="CC8" s="134">
        <v>2972</v>
      </c>
      <c r="CD8" s="134">
        <v>0</v>
      </c>
      <c r="CE8" s="134">
        <v>0</v>
      </c>
      <c r="CF8" s="134">
        <v>0</v>
      </c>
      <c r="CG8" s="134">
        <v>0</v>
      </c>
      <c r="CH8" s="134">
        <v>0</v>
      </c>
      <c r="CI8" s="134">
        <v>0</v>
      </c>
      <c r="CJ8" s="134">
        <v>0</v>
      </c>
      <c r="CK8" s="134">
        <v>0</v>
      </c>
      <c r="CL8" s="134">
        <v>0</v>
      </c>
      <c r="CM8" s="134">
        <v>0</v>
      </c>
      <c r="CN8" s="134">
        <v>9</v>
      </c>
      <c r="CO8" s="134">
        <v>145</v>
      </c>
      <c r="CP8" s="134">
        <v>154</v>
      </c>
      <c r="CQ8" s="134">
        <v>0</v>
      </c>
      <c r="CR8" s="134">
        <v>0</v>
      </c>
      <c r="CS8" s="134">
        <v>0</v>
      </c>
      <c r="CT8" s="134">
        <v>106</v>
      </c>
      <c r="CU8" s="134">
        <v>1375</v>
      </c>
      <c r="CV8" s="134">
        <v>1481</v>
      </c>
      <c r="CW8" s="134">
        <v>8</v>
      </c>
      <c r="CX8" s="134">
        <v>61</v>
      </c>
      <c r="CY8" s="134">
        <v>69</v>
      </c>
      <c r="CZ8" s="134">
        <v>8</v>
      </c>
      <c r="DA8" s="134">
        <v>0</v>
      </c>
      <c r="DB8" s="134">
        <v>0</v>
      </c>
      <c r="DC8" s="134">
        <v>59</v>
      </c>
      <c r="DD8" s="134">
        <v>0</v>
      </c>
      <c r="DE8" s="134">
        <v>0</v>
      </c>
      <c r="DF8" s="134">
        <v>8</v>
      </c>
      <c r="DG8" s="134">
        <v>59</v>
      </c>
      <c r="DH8" s="134">
        <v>67</v>
      </c>
      <c r="DI8" s="134">
        <v>0</v>
      </c>
      <c r="DJ8" s="134">
        <v>0</v>
      </c>
      <c r="DK8" s="134">
        <v>0</v>
      </c>
      <c r="DL8" s="134">
        <v>2</v>
      </c>
      <c r="DM8" s="134">
        <v>0</v>
      </c>
      <c r="DN8" s="134">
        <v>0</v>
      </c>
      <c r="DO8" s="134">
        <v>0</v>
      </c>
      <c r="DP8" s="134">
        <v>2</v>
      </c>
      <c r="DQ8" s="134">
        <v>2</v>
      </c>
      <c r="DR8" s="134">
        <v>0</v>
      </c>
      <c r="DS8" s="134">
        <v>0</v>
      </c>
      <c r="DT8" s="135">
        <v>0</v>
      </c>
    </row>
    <row r="9" spans="1:129">
      <c r="A9" s="133" t="s">
        <v>278</v>
      </c>
      <c r="B9" s="134">
        <v>1291</v>
      </c>
      <c r="C9" s="134">
        <v>514</v>
      </c>
      <c r="D9" s="134">
        <v>1524</v>
      </c>
      <c r="E9" s="134">
        <v>799</v>
      </c>
      <c r="F9" s="134">
        <v>1</v>
      </c>
      <c r="G9" s="134">
        <v>79</v>
      </c>
      <c r="H9" s="134">
        <v>80</v>
      </c>
      <c r="I9" s="134">
        <v>0</v>
      </c>
      <c r="J9" s="134">
        <v>661</v>
      </c>
      <c r="K9" s="134">
        <v>661</v>
      </c>
      <c r="L9" s="134">
        <v>0</v>
      </c>
      <c r="M9" s="134">
        <v>76</v>
      </c>
      <c r="N9" s="134">
        <v>76</v>
      </c>
      <c r="O9" s="134">
        <v>0</v>
      </c>
      <c r="P9" s="134">
        <v>585</v>
      </c>
      <c r="Q9" s="134">
        <v>585</v>
      </c>
      <c r="R9" s="134">
        <v>0</v>
      </c>
      <c r="S9" s="134">
        <v>35</v>
      </c>
      <c r="T9" s="134">
        <v>35</v>
      </c>
      <c r="U9" s="134">
        <v>0</v>
      </c>
      <c r="V9" s="134">
        <v>64</v>
      </c>
      <c r="W9" s="134">
        <v>64</v>
      </c>
      <c r="X9" s="134">
        <v>19</v>
      </c>
      <c r="Y9" s="134">
        <v>1505</v>
      </c>
      <c r="Z9" s="134">
        <v>1524</v>
      </c>
      <c r="AA9" s="134">
        <v>7</v>
      </c>
      <c r="AB9" s="134">
        <v>577</v>
      </c>
      <c r="AC9" s="134">
        <v>584</v>
      </c>
      <c r="AD9" s="134">
        <v>6</v>
      </c>
      <c r="AE9" s="134">
        <v>542</v>
      </c>
      <c r="AF9" s="134">
        <v>548</v>
      </c>
      <c r="AG9" s="134">
        <v>1</v>
      </c>
      <c r="AH9" s="134">
        <v>18</v>
      </c>
      <c r="AI9" s="134">
        <v>19</v>
      </c>
      <c r="AJ9" s="134">
        <v>0</v>
      </c>
      <c r="AK9" s="134">
        <v>17</v>
      </c>
      <c r="AL9" s="134">
        <v>17</v>
      </c>
      <c r="AM9" s="134">
        <v>12</v>
      </c>
      <c r="AN9" s="134">
        <v>928</v>
      </c>
      <c r="AO9" s="134">
        <v>940</v>
      </c>
      <c r="AP9" s="134">
        <v>1431</v>
      </c>
      <c r="AQ9" s="134">
        <v>14291</v>
      </c>
      <c r="AR9" s="134">
        <v>15722</v>
      </c>
      <c r="AS9" s="134">
        <v>1431</v>
      </c>
      <c r="AT9" s="134">
        <v>14291</v>
      </c>
      <c r="AU9" s="134">
        <v>15722</v>
      </c>
      <c r="AV9" s="134">
        <v>0</v>
      </c>
      <c r="AW9" s="134">
        <v>0</v>
      </c>
      <c r="AX9" s="134">
        <v>0</v>
      </c>
      <c r="AY9" s="134">
        <v>74</v>
      </c>
      <c r="AZ9" s="134">
        <v>1326</v>
      </c>
      <c r="BA9" s="134">
        <v>1400</v>
      </c>
      <c r="BB9" s="134">
        <v>23</v>
      </c>
      <c r="BC9" s="134">
        <v>0</v>
      </c>
      <c r="BD9" s="134">
        <v>0</v>
      </c>
      <c r="BE9" s="134">
        <v>775</v>
      </c>
      <c r="BF9" s="134">
        <v>1</v>
      </c>
      <c r="BG9" s="134">
        <v>0</v>
      </c>
      <c r="BH9" s="134">
        <v>23</v>
      </c>
      <c r="BI9" s="134">
        <v>776</v>
      </c>
      <c r="BJ9" s="134">
        <v>799</v>
      </c>
      <c r="BK9" s="134">
        <v>-7</v>
      </c>
      <c r="BL9" s="134">
        <v>7</v>
      </c>
      <c r="BM9" s="134">
        <v>0</v>
      </c>
      <c r="BN9" s="134">
        <v>11</v>
      </c>
      <c r="BO9" s="134">
        <v>33</v>
      </c>
      <c r="BP9" s="134">
        <v>44</v>
      </c>
      <c r="BQ9" s="134">
        <v>4</v>
      </c>
      <c r="BR9" s="134">
        <v>162</v>
      </c>
      <c r="BS9" s="134">
        <v>166</v>
      </c>
      <c r="BT9" s="134">
        <v>43</v>
      </c>
      <c r="BU9" s="134">
        <v>348</v>
      </c>
      <c r="BV9" s="134">
        <v>391</v>
      </c>
      <c r="BW9" s="134">
        <v>1505</v>
      </c>
      <c r="BX9" s="134">
        <v>15617</v>
      </c>
      <c r="BY9" s="134">
        <v>17122</v>
      </c>
      <c r="BZ9" s="134">
        <v>1503</v>
      </c>
      <c r="CA9" s="134">
        <v>15548</v>
      </c>
      <c r="CB9" s="134">
        <v>17051</v>
      </c>
      <c r="CC9" s="134">
        <v>31215</v>
      </c>
      <c r="CD9" s="134">
        <v>5</v>
      </c>
      <c r="CE9" s="134">
        <v>46</v>
      </c>
      <c r="CF9" s="134">
        <v>2</v>
      </c>
      <c r="CG9" s="134">
        <v>46</v>
      </c>
      <c r="CH9" s="134">
        <v>48</v>
      </c>
      <c r="CI9" s="134">
        <v>21</v>
      </c>
      <c r="CJ9" s="134">
        <v>8</v>
      </c>
      <c r="CK9" s="134">
        <v>0</v>
      </c>
      <c r="CL9" s="134">
        <v>23</v>
      </c>
      <c r="CM9" s="134">
        <v>23</v>
      </c>
      <c r="CN9" s="134">
        <v>82</v>
      </c>
      <c r="CO9" s="134">
        <v>1424</v>
      </c>
      <c r="CP9" s="134">
        <v>1506</v>
      </c>
      <c r="CQ9" s="134">
        <v>0</v>
      </c>
      <c r="CR9" s="134">
        <v>30</v>
      </c>
      <c r="CS9" s="134">
        <v>30</v>
      </c>
      <c r="CT9" s="134">
        <v>1423</v>
      </c>
      <c r="CU9" s="134">
        <v>14193</v>
      </c>
      <c r="CV9" s="134">
        <v>15616</v>
      </c>
      <c r="CW9" s="134">
        <v>130</v>
      </c>
      <c r="CX9" s="134">
        <v>476</v>
      </c>
      <c r="CY9" s="134">
        <v>606</v>
      </c>
      <c r="CZ9" s="134">
        <v>130</v>
      </c>
      <c r="DA9" s="134">
        <v>0</v>
      </c>
      <c r="DB9" s="134">
        <v>0</v>
      </c>
      <c r="DC9" s="134">
        <v>467</v>
      </c>
      <c r="DD9" s="134">
        <v>3</v>
      </c>
      <c r="DE9" s="134">
        <v>0</v>
      </c>
      <c r="DF9" s="134">
        <v>130</v>
      </c>
      <c r="DG9" s="134">
        <v>470</v>
      </c>
      <c r="DH9" s="134">
        <v>600</v>
      </c>
      <c r="DI9" s="134">
        <v>0</v>
      </c>
      <c r="DJ9" s="134">
        <v>0</v>
      </c>
      <c r="DK9" s="134">
        <v>0</v>
      </c>
      <c r="DL9" s="134">
        <v>5</v>
      </c>
      <c r="DM9" s="134">
        <v>0</v>
      </c>
      <c r="DN9" s="134">
        <v>1</v>
      </c>
      <c r="DO9" s="134">
        <v>0</v>
      </c>
      <c r="DP9" s="134">
        <v>6</v>
      </c>
      <c r="DQ9" s="134">
        <v>6</v>
      </c>
      <c r="DR9" s="134">
        <v>0</v>
      </c>
      <c r="DS9" s="134">
        <v>0</v>
      </c>
      <c r="DT9" s="135">
        <v>0</v>
      </c>
    </row>
    <row r="10" spans="1:129">
      <c r="A10" s="133" t="s">
        <v>279</v>
      </c>
      <c r="B10" s="134">
        <v>182</v>
      </c>
      <c r="C10" s="134">
        <v>37</v>
      </c>
      <c r="D10" s="134">
        <v>185</v>
      </c>
      <c r="E10" s="134">
        <v>121</v>
      </c>
      <c r="F10" s="134">
        <v>1</v>
      </c>
      <c r="G10" s="134">
        <v>1</v>
      </c>
      <c r="H10" s="134">
        <v>2</v>
      </c>
      <c r="I10" s="134">
        <v>0</v>
      </c>
      <c r="J10" s="134">
        <v>53</v>
      </c>
      <c r="K10" s="134">
        <v>53</v>
      </c>
      <c r="L10" s="134">
        <v>0</v>
      </c>
      <c r="M10" s="134">
        <v>10</v>
      </c>
      <c r="N10" s="134">
        <v>10</v>
      </c>
      <c r="O10" s="134">
        <v>0</v>
      </c>
      <c r="P10" s="134">
        <v>43</v>
      </c>
      <c r="Q10" s="134">
        <v>43</v>
      </c>
      <c r="R10" s="134">
        <v>0</v>
      </c>
      <c r="S10" s="134">
        <v>0</v>
      </c>
      <c r="T10" s="134">
        <v>0</v>
      </c>
      <c r="U10" s="134">
        <v>0</v>
      </c>
      <c r="V10" s="134">
        <v>11</v>
      </c>
      <c r="W10" s="134">
        <v>11</v>
      </c>
      <c r="X10" s="134">
        <v>3</v>
      </c>
      <c r="Y10" s="134">
        <v>182</v>
      </c>
      <c r="Z10" s="134">
        <v>185</v>
      </c>
      <c r="AA10" s="134">
        <v>0</v>
      </c>
      <c r="AB10" s="134">
        <v>71</v>
      </c>
      <c r="AC10" s="134">
        <v>71</v>
      </c>
      <c r="AD10" s="134">
        <v>0</v>
      </c>
      <c r="AE10" s="134">
        <v>68</v>
      </c>
      <c r="AF10" s="134">
        <v>68</v>
      </c>
      <c r="AG10" s="134">
        <v>0</v>
      </c>
      <c r="AH10" s="134">
        <v>3</v>
      </c>
      <c r="AI10" s="134">
        <v>3</v>
      </c>
      <c r="AJ10" s="134">
        <v>0</v>
      </c>
      <c r="AK10" s="134">
        <v>0</v>
      </c>
      <c r="AL10" s="134">
        <v>0</v>
      </c>
      <c r="AM10" s="134">
        <v>3</v>
      </c>
      <c r="AN10" s="134">
        <v>111</v>
      </c>
      <c r="AO10" s="134">
        <v>114</v>
      </c>
      <c r="AP10" s="134">
        <v>195</v>
      </c>
      <c r="AQ10" s="134">
        <v>2410</v>
      </c>
      <c r="AR10" s="134">
        <v>2605</v>
      </c>
      <c r="AS10" s="134">
        <v>195</v>
      </c>
      <c r="AT10" s="134">
        <v>2410</v>
      </c>
      <c r="AU10" s="134">
        <v>2605</v>
      </c>
      <c r="AV10" s="134">
        <v>0</v>
      </c>
      <c r="AW10" s="134">
        <v>0</v>
      </c>
      <c r="AX10" s="134">
        <v>0</v>
      </c>
      <c r="AY10" s="134">
        <v>13</v>
      </c>
      <c r="AZ10" s="134">
        <v>179</v>
      </c>
      <c r="BA10" s="134">
        <v>192</v>
      </c>
      <c r="BB10" s="134">
        <v>4</v>
      </c>
      <c r="BC10" s="134">
        <v>0</v>
      </c>
      <c r="BD10" s="134">
        <v>0</v>
      </c>
      <c r="BE10" s="134">
        <v>117</v>
      </c>
      <c r="BF10" s="134">
        <v>0</v>
      </c>
      <c r="BG10" s="134">
        <v>0</v>
      </c>
      <c r="BH10" s="134">
        <v>4</v>
      </c>
      <c r="BI10" s="134">
        <v>117</v>
      </c>
      <c r="BJ10" s="134">
        <v>121</v>
      </c>
      <c r="BK10" s="134">
        <v>4</v>
      </c>
      <c r="BL10" s="134">
        <v>-4</v>
      </c>
      <c r="BM10" s="134">
        <v>0</v>
      </c>
      <c r="BN10" s="134">
        <v>0</v>
      </c>
      <c r="BO10" s="134">
        <v>3</v>
      </c>
      <c r="BP10" s="134">
        <v>3</v>
      </c>
      <c r="BQ10" s="134">
        <v>1</v>
      </c>
      <c r="BR10" s="134">
        <v>32</v>
      </c>
      <c r="BS10" s="134">
        <v>33</v>
      </c>
      <c r="BT10" s="134">
        <v>4</v>
      </c>
      <c r="BU10" s="134">
        <v>31</v>
      </c>
      <c r="BV10" s="134">
        <v>35</v>
      </c>
      <c r="BW10" s="134">
        <v>208</v>
      </c>
      <c r="BX10" s="134">
        <v>2589</v>
      </c>
      <c r="BY10" s="134">
        <v>2797</v>
      </c>
      <c r="BZ10" s="134">
        <v>208</v>
      </c>
      <c r="CA10" s="134">
        <v>2583</v>
      </c>
      <c r="CB10" s="134">
        <v>2791</v>
      </c>
      <c r="CC10" s="134">
        <v>5042</v>
      </c>
      <c r="CD10" s="134">
        <v>2</v>
      </c>
      <c r="CE10" s="134">
        <v>3</v>
      </c>
      <c r="CF10" s="134">
        <v>0</v>
      </c>
      <c r="CG10" s="134">
        <v>5</v>
      </c>
      <c r="CH10" s="134">
        <v>5</v>
      </c>
      <c r="CI10" s="134">
        <v>1</v>
      </c>
      <c r="CJ10" s="134">
        <v>0</v>
      </c>
      <c r="CK10" s="134">
        <v>0</v>
      </c>
      <c r="CL10" s="134">
        <v>1</v>
      </c>
      <c r="CM10" s="134">
        <v>1</v>
      </c>
      <c r="CN10" s="134">
        <v>17</v>
      </c>
      <c r="CO10" s="134">
        <v>214</v>
      </c>
      <c r="CP10" s="134">
        <v>231</v>
      </c>
      <c r="CQ10" s="134">
        <v>0</v>
      </c>
      <c r="CR10" s="134">
        <v>0</v>
      </c>
      <c r="CS10" s="134">
        <v>0</v>
      </c>
      <c r="CT10" s="134">
        <v>191</v>
      </c>
      <c r="CU10" s="134">
        <v>2375</v>
      </c>
      <c r="CV10" s="134">
        <v>2566</v>
      </c>
      <c r="CW10" s="134">
        <v>15</v>
      </c>
      <c r="CX10" s="134">
        <v>84</v>
      </c>
      <c r="CY10" s="134">
        <v>99</v>
      </c>
      <c r="CZ10" s="134">
        <v>15</v>
      </c>
      <c r="DA10" s="134">
        <v>0</v>
      </c>
      <c r="DB10" s="134">
        <v>0</v>
      </c>
      <c r="DC10" s="134">
        <v>84</v>
      </c>
      <c r="DD10" s="134">
        <v>0</v>
      </c>
      <c r="DE10" s="134">
        <v>0</v>
      </c>
      <c r="DF10" s="134">
        <v>15</v>
      </c>
      <c r="DG10" s="134">
        <v>84</v>
      </c>
      <c r="DH10" s="134">
        <v>99</v>
      </c>
      <c r="DI10" s="134">
        <v>0</v>
      </c>
      <c r="DJ10" s="134">
        <v>0</v>
      </c>
      <c r="DK10" s="134">
        <v>0</v>
      </c>
      <c r="DL10" s="134">
        <v>0</v>
      </c>
      <c r="DM10" s="134">
        <v>0</v>
      </c>
      <c r="DN10" s="134">
        <v>0</v>
      </c>
      <c r="DO10" s="134">
        <v>0</v>
      </c>
      <c r="DP10" s="134">
        <v>0</v>
      </c>
      <c r="DQ10" s="134">
        <v>0</v>
      </c>
      <c r="DR10" s="134">
        <v>0</v>
      </c>
      <c r="DS10" s="134">
        <v>0</v>
      </c>
      <c r="DT10" s="135">
        <v>0</v>
      </c>
    </row>
    <row r="11" spans="1:129">
      <c r="A11" s="133" t="s">
        <v>280</v>
      </c>
      <c r="B11" s="134">
        <v>86</v>
      </c>
      <c r="C11" s="134">
        <v>8</v>
      </c>
      <c r="D11" s="134">
        <v>76</v>
      </c>
      <c r="E11" s="134">
        <v>46</v>
      </c>
      <c r="F11" s="134">
        <v>1</v>
      </c>
      <c r="G11" s="134">
        <v>1</v>
      </c>
      <c r="H11" s="134">
        <v>2</v>
      </c>
      <c r="I11" s="134">
        <v>0</v>
      </c>
      <c r="J11" s="134">
        <v>28</v>
      </c>
      <c r="K11" s="134">
        <v>28</v>
      </c>
      <c r="L11" s="134">
        <v>0</v>
      </c>
      <c r="M11" s="134">
        <v>6</v>
      </c>
      <c r="N11" s="134">
        <v>6</v>
      </c>
      <c r="O11" s="134">
        <v>0</v>
      </c>
      <c r="P11" s="134">
        <v>22</v>
      </c>
      <c r="Q11" s="134">
        <v>22</v>
      </c>
      <c r="R11" s="134">
        <v>0</v>
      </c>
      <c r="S11" s="134">
        <v>2</v>
      </c>
      <c r="T11" s="134">
        <v>2</v>
      </c>
      <c r="U11" s="134">
        <v>0</v>
      </c>
      <c r="V11" s="134">
        <v>2</v>
      </c>
      <c r="W11" s="134">
        <v>2</v>
      </c>
      <c r="X11" s="134">
        <v>1</v>
      </c>
      <c r="Y11" s="134">
        <v>75</v>
      </c>
      <c r="Z11" s="134">
        <v>76</v>
      </c>
      <c r="AA11" s="134">
        <v>1</v>
      </c>
      <c r="AB11" s="134">
        <v>32</v>
      </c>
      <c r="AC11" s="134">
        <v>33</v>
      </c>
      <c r="AD11" s="134">
        <v>1</v>
      </c>
      <c r="AE11" s="134">
        <v>30</v>
      </c>
      <c r="AF11" s="134">
        <v>31</v>
      </c>
      <c r="AG11" s="134">
        <v>0</v>
      </c>
      <c r="AH11" s="134">
        <v>2</v>
      </c>
      <c r="AI11" s="134">
        <v>2</v>
      </c>
      <c r="AJ11" s="134">
        <v>0</v>
      </c>
      <c r="AK11" s="134">
        <v>0</v>
      </c>
      <c r="AL11" s="134">
        <v>0</v>
      </c>
      <c r="AM11" s="134">
        <v>0</v>
      </c>
      <c r="AN11" s="134">
        <v>43</v>
      </c>
      <c r="AO11" s="134">
        <v>43</v>
      </c>
      <c r="AP11" s="134">
        <v>55</v>
      </c>
      <c r="AQ11" s="134">
        <v>558</v>
      </c>
      <c r="AR11" s="134">
        <v>613</v>
      </c>
      <c r="AS11" s="134">
        <v>55</v>
      </c>
      <c r="AT11" s="134">
        <v>558</v>
      </c>
      <c r="AU11" s="134">
        <v>613</v>
      </c>
      <c r="AV11" s="134">
        <v>0</v>
      </c>
      <c r="AW11" s="134">
        <v>0</v>
      </c>
      <c r="AX11" s="134">
        <v>0</v>
      </c>
      <c r="AY11" s="134">
        <v>2</v>
      </c>
      <c r="AZ11" s="134">
        <v>71</v>
      </c>
      <c r="BA11" s="134">
        <v>73</v>
      </c>
      <c r="BB11" s="134">
        <v>1</v>
      </c>
      <c r="BC11" s="134">
        <v>0</v>
      </c>
      <c r="BD11" s="134">
        <v>0</v>
      </c>
      <c r="BE11" s="134">
        <v>45</v>
      </c>
      <c r="BF11" s="134">
        <v>0</v>
      </c>
      <c r="BG11" s="134">
        <v>0</v>
      </c>
      <c r="BH11" s="134">
        <v>1</v>
      </c>
      <c r="BI11" s="134">
        <v>45</v>
      </c>
      <c r="BJ11" s="134">
        <v>46</v>
      </c>
      <c r="BK11" s="134">
        <v>-1</v>
      </c>
      <c r="BL11" s="134">
        <v>1</v>
      </c>
      <c r="BM11" s="134">
        <v>0</v>
      </c>
      <c r="BN11" s="134">
        <v>1</v>
      </c>
      <c r="BO11" s="134">
        <v>2</v>
      </c>
      <c r="BP11" s="134">
        <v>3</v>
      </c>
      <c r="BQ11" s="134">
        <v>1</v>
      </c>
      <c r="BR11" s="134">
        <v>5</v>
      </c>
      <c r="BS11" s="134">
        <v>6</v>
      </c>
      <c r="BT11" s="134">
        <v>0</v>
      </c>
      <c r="BU11" s="134">
        <v>18</v>
      </c>
      <c r="BV11" s="134">
        <v>18</v>
      </c>
      <c r="BW11" s="134">
        <v>57</v>
      </c>
      <c r="BX11" s="134">
        <v>629</v>
      </c>
      <c r="BY11" s="134">
        <v>686</v>
      </c>
      <c r="BZ11" s="134">
        <v>57</v>
      </c>
      <c r="CA11" s="134">
        <v>624</v>
      </c>
      <c r="CB11" s="134">
        <v>681</v>
      </c>
      <c r="CC11" s="134">
        <v>1475</v>
      </c>
      <c r="CD11" s="134">
        <v>0</v>
      </c>
      <c r="CE11" s="134">
        <v>5</v>
      </c>
      <c r="CF11" s="134">
        <v>0</v>
      </c>
      <c r="CG11" s="134">
        <v>4</v>
      </c>
      <c r="CH11" s="134">
        <v>4</v>
      </c>
      <c r="CI11" s="134">
        <v>1</v>
      </c>
      <c r="CJ11" s="134">
        <v>0</v>
      </c>
      <c r="CK11" s="134">
        <v>0</v>
      </c>
      <c r="CL11" s="134">
        <v>1</v>
      </c>
      <c r="CM11" s="134">
        <v>1</v>
      </c>
      <c r="CN11" s="134">
        <v>5</v>
      </c>
      <c r="CO11" s="134">
        <v>64</v>
      </c>
      <c r="CP11" s="134">
        <v>69</v>
      </c>
      <c r="CQ11" s="134">
        <v>0</v>
      </c>
      <c r="CR11" s="134">
        <v>0</v>
      </c>
      <c r="CS11" s="134">
        <v>0</v>
      </c>
      <c r="CT11" s="134">
        <v>52</v>
      </c>
      <c r="CU11" s="134">
        <v>565</v>
      </c>
      <c r="CV11" s="134">
        <v>617</v>
      </c>
      <c r="CW11" s="134">
        <v>1</v>
      </c>
      <c r="CX11" s="134">
        <v>24</v>
      </c>
      <c r="CY11" s="134">
        <v>25</v>
      </c>
      <c r="CZ11" s="134">
        <v>1</v>
      </c>
      <c r="DA11" s="134">
        <v>0</v>
      </c>
      <c r="DB11" s="134">
        <v>0</v>
      </c>
      <c r="DC11" s="134">
        <v>24</v>
      </c>
      <c r="DD11" s="134">
        <v>0</v>
      </c>
      <c r="DE11" s="134">
        <v>0</v>
      </c>
      <c r="DF11" s="134">
        <v>1</v>
      </c>
      <c r="DG11" s="134">
        <v>24</v>
      </c>
      <c r="DH11" s="134">
        <v>25</v>
      </c>
      <c r="DI11" s="134">
        <v>0</v>
      </c>
      <c r="DJ11" s="134">
        <v>0</v>
      </c>
      <c r="DK11" s="134">
        <v>0</v>
      </c>
      <c r="DL11" s="134">
        <v>0</v>
      </c>
      <c r="DM11" s="134">
        <v>0</v>
      </c>
      <c r="DN11" s="134">
        <v>0</v>
      </c>
      <c r="DO11" s="134">
        <v>0</v>
      </c>
      <c r="DP11" s="134">
        <v>0</v>
      </c>
      <c r="DQ11" s="134">
        <v>0</v>
      </c>
      <c r="DR11" s="134">
        <v>0</v>
      </c>
      <c r="DS11" s="134">
        <v>0</v>
      </c>
      <c r="DT11" s="135">
        <v>0</v>
      </c>
    </row>
    <row r="12" spans="1:129">
      <c r="A12" s="133" t="s">
        <v>281</v>
      </c>
      <c r="B12" s="134">
        <v>2068</v>
      </c>
      <c r="C12" s="134">
        <v>783</v>
      </c>
      <c r="D12" s="134">
        <v>2010</v>
      </c>
      <c r="E12" s="134">
        <v>972</v>
      </c>
      <c r="F12" s="134">
        <v>3</v>
      </c>
      <c r="G12" s="134">
        <v>17</v>
      </c>
      <c r="H12" s="134">
        <v>20</v>
      </c>
      <c r="I12" s="134">
        <v>0</v>
      </c>
      <c r="J12" s="134">
        <v>967</v>
      </c>
      <c r="K12" s="134">
        <v>967</v>
      </c>
      <c r="L12" s="134">
        <v>0</v>
      </c>
      <c r="M12" s="134">
        <v>234</v>
      </c>
      <c r="N12" s="134">
        <v>234</v>
      </c>
      <c r="O12" s="134">
        <v>0</v>
      </c>
      <c r="P12" s="134">
        <v>733</v>
      </c>
      <c r="Q12" s="134">
        <v>733</v>
      </c>
      <c r="R12" s="134">
        <v>0</v>
      </c>
      <c r="S12" s="134">
        <v>64</v>
      </c>
      <c r="T12" s="134">
        <v>64</v>
      </c>
      <c r="U12" s="134">
        <v>0</v>
      </c>
      <c r="V12" s="134">
        <v>71</v>
      </c>
      <c r="W12" s="134">
        <v>71</v>
      </c>
      <c r="X12" s="134">
        <v>22</v>
      </c>
      <c r="Y12" s="134">
        <v>873</v>
      </c>
      <c r="Z12" s="134">
        <v>895</v>
      </c>
      <c r="AA12" s="134">
        <v>14</v>
      </c>
      <c r="AB12" s="134">
        <v>405</v>
      </c>
      <c r="AC12" s="134">
        <v>419</v>
      </c>
      <c r="AD12" s="134">
        <v>14</v>
      </c>
      <c r="AE12" s="134">
        <v>396</v>
      </c>
      <c r="AF12" s="134">
        <v>410</v>
      </c>
      <c r="AG12" s="134">
        <v>0</v>
      </c>
      <c r="AH12" s="134">
        <v>6</v>
      </c>
      <c r="AI12" s="134">
        <v>6</v>
      </c>
      <c r="AJ12" s="134">
        <v>0</v>
      </c>
      <c r="AK12" s="134">
        <v>3</v>
      </c>
      <c r="AL12" s="134">
        <v>3</v>
      </c>
      <c r="AM12" s="134">
        <v>8</v>
      </c>
      <c r="AN12" s="134">
        <v>468</v>
      </c>
      <c r="AO12" s="134">
        <v>476</v>
      </c>
      <c r="AP12" s="134">
        <v>3382</v>
      </c>
      <c r="AQ12" s="134">
        <v>25733</v>
      </c>
      <c r="AR12" s="134">
        <v>29115</v>
      </c>
      <c r="AS12" s="134">
        <v>3367</v>
      </c>
      <c r="AT12" s="134">
        <v>25484</v>
      </c>
      <c r="AU12" s="134">
        <v>28851</v>
      </c>
      <c r="AV12" s="134">
        <v>15</v>
      </c>
      <c r="AW12" s="134">
        <v>249</v>
      </c>
      <c r="AX12" s="134">
        <v>264</v>
      </c>
      <c r="AY12" s="134">
        <v>139</v>
      </c>
      <c r="AZ12" s="134">
        <v>2358</v>
      </c>
      <c r="BA12" s="134">
        <v>2497</v>
      </c>
      <c r="BB12" s="134">
        <v>70</v>
      </c>
      <c r="BC12" s="134">
        <v>3</v>
      </c>
      <c r="BD12" s="134">
        <v>0</v>
      </c>
      <c r="BE12" s="134">
        <v>884</v>
      </c>
      <c r="BF12" s="134">
        <v>11</v>
      </c>
      <c r="BG12" s="134">
        <v>4</v>
      </c>
      <c r="BH12" s="134">
        <v>73</v>
      </c>
      <c r="BI12" s="134">
        <v>899</v>
      </c>
      <c r="BJ12" s="134">
        <v>972</v>
      </c>
      <c r="BK12" s="134">
        <v>-74</v>
      </c>
      <c r="BL12" s="134">
        <v>74</v>
      </c>
      <c r="BM12" s="134">
        <v>0</v>
      </c>
      <c r="BN12" s="134">
        <v>17</v>
      </c>
      <c r="BO12" s="134">
        <v>79</v>
      </c>
      <c r="BP12" s="134">
        <v>96</v>
      </c>
      <c r="BQ12" s="134">
        <v>9</v>
      </c>
      <c r="BR12" s="134">
        <v>35</v>
      </c>
      <c r="BS12" s="134">
        <v>44</v>
      </c>
      <c r="BT12" s="134">
        <v>114</v>
      </c>
      <c r="BU12" s="134">
        <v>1271</v>
      </c>
      <c r="BV12" s="134">
        <v>1385</v>
      </c>
      <c r="BW12" s="134">
        <v>3521</v>
      </c>
      <c r="BX12" s="134">
        <v>28091</v>
      </c>
      <c r="BY12" s="134">
        <v>31612</v>
      </c>
      <c r="BZ12" s="134">
        <v>3426</v>
      </c>
      <c r="CA12" s="134">
        <v>27548</v>
      </c>
      <c r="CB12" s="134">
        <v>30974</v>
      </c>
      <c r="CC12" s="134">
        <v>63152</v>
      </c>
      <c r="CD12" s="134">
        <v>27</v>
      </c>
      <c r="CE12" s="134">
        <v>686</v>
      </c>
      <c r="CF12" s="134">
        <v>93</v>
      </c>
      <c r="CG12" s="134">
        <v>414</v>
      </c>
      <c r="CH12" s="134">
        <v>507</v>
      </c>
      <c r="CI12" s="134">
        <v>167</v>
      </c>
      <c r="CJ12" s="134">
        <v>15</v>
      </c>
      <c r="CK12" s="134">
        <v>2</v>
      </c>
      <c r="CL12" s="134">
        <v>129</v>
      </c>
      <c r="CM12" s="134">
        <v>131</v>
      </c>
      <c r="CN12" s="134">
        <v>194</v>
      </c>
      <c r="CO12" s="134">
        <v>3128</v>
      </c>
      <c r="CP12" s="134">
        <v>3322</v>
      </c>
      <c r="CQ12" s="134">
        <v>0</v>
      </c>
      <c r="CR12" s="134">
        <v>0</v>
      </c>
      <c r="CS12" s="134">
        <v>0</v>
      </c>
      <c r="CT12" s="134">
        <v>3327</v>
      </c>
      <c r="CU12" s="134">
        <v>24963</v>
      </c>
      <c r="CV12" s="134">
        <v>28290</v>
      </c>
      <c r="CW12" s="134">
        <v>271</v>
      </c>
      <c r="CX12" s="134">
        <v>1172</v>
      </c>
      <c r="CY12" s="134">
        <v>1443</v>
      </c>
      <c r="CZ12" s="134">
        <v>261</v>
      </c>
      <c r="DA12" s="134">
        <v>5</v>
      </c>
      <c r="DB12" s="134">
        <v>0</v>
      </c>
      <c r="DC12" s="134">
        <v>1114</v>
      </c>
      <c r="DD12" s="134">
        <v>25</v>
      </c>
      <c r="DE12" s="134">
        <v>4</v>
      </c>
      <c r="DF12" s="134">
        <v>266</v>
      </c>
      <c r="DG12" s="134">
        <v>1143</v>
      </c>
      <c r="DH12" s="134">
        <v>1409</v>
      </c>
      <c r="DI12" s="134">
        <v>5</v>
      </c>
      <c r="DJ12" s="134">
        <v>0</v>
      </c>
      <c r="DK12" s="134">
        <v>0</v>
      </c>
      <c r="DL12" s="134">
        <v>27</v>
      </c>
      <c r="DM12" s="134">
        <v>2</v>
      </c>
      <c r="DN12" s="134">
        <v>0</v>
      </c>
      <c r="DO12" s="134">
        <v>5</v>
      </c>
      <c r="DP12" s="134">
        <v>29</v>
      </c>
      <c r="DQ12" s="134">
        <v>34</v>
      </c>
      <c r="DR12" s="134">
        <v>0</v>
      </c>
      <c r="DS12" s="134">
        <v>4</v>
      </c>
      <c r="DT12" s="135">
        <v>4</v>
      </c>
    </row>
    <row r="13" spans="1:129">
      <c r="A13" s="133" t="s">
        <v>282</v>
      </c>
      <c r="B13" s="134">
        <v>133</v>
      </c>
      <c r="C13" s="134">
        <v>14</v>
      </c>
      <c r="D13" s="134">
        <v>144</v>
      </c>
      <c r="E13" s="134">
        <v>102</v>
      </c>
      <c r="F13" s="134">
        <v>1</v>
      </c>
      <c r="G13" s="134">
        <v>0</v>
      </c>
      <c r="H13" s="134">
        <v>1</v>
      </c>
      <c r="I13" s="134">
        <v>0</v>
      </c>
      <c r="J13" s="134">
        <v>41</v>
      </c>
      <c r="K13" s="134">
        <v>41</v>
      </c>
      <c r="L13" s="134">
        <v>0</v>
      </c>
      <c r="M13" s="134">
        <v>20</v>
      </c>
      <c r="N13" s="134">
        <v>20</v>
      </c>
      <c r="O13" s="134">
        <v>0</v>
      </c>
      <c r="P13" s="134">
        <v>21</v>
      </c>
      <c r="Q13" s="134">
        <v>21</v>
      </c>
      <c r="R13" s="134">
        <v>0</v>
      </c>
      <c r="S13" s="134">
        <v>0</v>
      </c>
      <c r="T13" s="134">
        <v>0</v>
      </c>
      <c r="U13" s="134">
        <v>0</v>
      </c>
      <c r="V13" s="134">
        <v>1</v>
      </c>
      <c r="W13" s="134">
        <v>1</v>
      </c>
      <c r="X13" s="134">
        <v>4</v>
      </c>
      <c r="Y13" s="134">
        <v>140</v>
      </c>
      <c r="Z13" s="134">
        <v>144</v>
      </c>
      <c r="AA13" s="134">
        <v>3</v>
      </c>
      <c r="AB13" s="134">
        <v>68</v>
      </c>
      <c r="AC13" s="134">
        <v>71</v>
      </c>
      <c r="AD13" s="134">
        <v>2</v>
      </c>
      <c r="AE13" s="134">
        <v>64</v>
      </c>
      <c r="AF13" s="134">
        <v>66</v>
      </c>
      <c r="AG13" s="134">
        <v>1</v>
      </c>
      <c r="AH13" s="134">
        <v>3</v>
      </c>
      <c r="AI13" s="134">
        <v>4</v>
      </c>
      <c r="AJ13" s="134">
        <v>0</v>
      </c>
      <c r="AK13" s="134">
        <v>1</v>
      </c>
      <c r="AL13" s="134">
        <v>1</v>
      </c>
      <c r="AM13" s="134">
        <v>1</v>
      </c>
      <c r="AN13" s="134">
        <v>72</v>
      </c>
      <c r="AO13" s="134">
        <v>73</v>
      </c>
      <c r="AP13" s="134">
        <v>355</v>
      </c>
      <c r="AQ13" s="134">
        <v>2024</v>
      </c>
      <c r="AR13" s="134">
        <v>2379</v>
      </c>
      <c r="AS13" s="134">
        <v>355</v>
      </c>
      <c r="AT13" s="134">
        <v>2024</v>
      </c>
      <c r="AU13" s="134">
        <v>2379</v>
      </c>
      <c r="AV13" s="134">
        <v>0</v>
      </c>
      <c r="AW13" s="134">
        <v>0</v>
      </c>
      <c r="AX13" s="134">
        <v>0</v>
      </c>
      <c r="AY13" s="134">
        <v>10</v>
      </c>
      <c r="AZ13" s="134">
        <v>235</v>
      </c>
      <c r="BA13" s="134">
        <v>245</v>
      </c>
      <c r="BB13" s="134">
        <v>6</v>
      </c>
      <c r="BC13" s="134">
        <v>0</v>
      </c>
      <c r="BD13" s="134">
        <v>0</v>
      </c>
      <c r="BE13" s="134">
        <v>96</v>
      </c>
      <c r="BF13" s="134">
        <v>0</v>
      </c>
      <c r="BG13" s="134">
        <v>0</v>
      </c>
      <c r="BH13" s="134">
        <v>6</v>
      </c>
      <c r="BI13" s="134">
        <v>96</v>
      </c>
      <c r="BJ13" s="134">
        <v>102</v>
      </c>
      <c r="BK13" s="134">
        <v>-7</v>
      </c>
      <c r="BL13" s="134">
        <v>7</v>
      </c>
      <c r="BM13" s="134">
        <v>0</v>
      </c>
      <c r="BN13" s="134">
        <v>0</v>
      </c>
      <c r="BO13" s="134">
        <v>6</v>
      </c>
      <c r="BP13" s="134">
        <v>6</v>
      </c>
      <c r="BQ13" s="134">
        <v>0</v>
      </c>
      <c r="BR13" s="134">
        <v>27</v>
      </c>
      <c r="BS13" s="134">
        <v>27</v>
      </c>
      <c r="BT13" s="134">
        <v>11</v>
      </c>
      <c r="BU13" s="134">
        <v>99</v>
      </c>
      <c r="BV13" s="134">
        <v>110</v>
      </c>
      <c r="BW13" s="134">
        <v>365</v>
      </c>
      <c r="BX13" s="134">
        <v>2259</v>
      </c>
      <c r="BY13" s="134">
        <v>2624</v>
      </c>
      <c r="BZ13" s="134">
        <v>365</v>
      </c>
      <c r="CA13" s="134">
        <v>2258</v>
      </c>
      <c r="CB13" s="134">
        <v>2623</v>
      </c>
      <c r="CC13" s="134">
        <v>5269</v>
      </c>
      <c r="CD13" s="134">
        <v>0</v>
      </c>
      <c r="CE13" s="134">
        <v>1</v>
      </c>
      <c r="CF13" s="134">
        <v>0</v>
      </c>
      <c r="CG13" s="134">
        <v>1</v>
      </c>
      <c r="CH13" s="134">
        <v>1</v>
      </c>
      <c r="CI13" s="134">
        <v>0</v>
      </c>
      <c r="CJ13" s="134">
        <v>0</v>
      </c>
      <c r="CK13" s="134">
        <v>0</v>
      </c>
      <c r="CL13" s="134">
        <v>0</v>
      </c>
      <c r="CM13" s="134">
        <v>0</v>
      </c>
      <c r="CN13" s="134">
        <v>24</v>
      </c>
      <c r="CO13" s="134">
        <v>190</v>
      </c>
      <c r="CP13" s="134">
        <v>214</v>
      </c>
      <c r="CQ13" s="134">
        <v>0</v>
      </c>
      <c r="CR13" s="134">
        <v>0</v>
      </c>
      <c r="CS13" s="134">
        <v>0</v>
      </c>
      <c r="CT13" s="134">
        <v>341</v>
      </c>
      <c r="CU13" s="134">
        <v>2069</v>
      </c>
      <c r="CV13" s="134">
        <v>2410</v>
      </c>
      <c r="CW13" s="134">
        <v>21</v>
      </c>
      <c r="CX13" s="134">
        <v>94</v>
      </c>
      <c r="CY13" s="134">
        <v>115</v>
      </c>
      <c r="CZ13" s="134">
        <v>21</v>
      </c>
      <c r="DA13" s="134">
        <v>0</v>
      </c>
      <c r="DB13" s="134">
        <v>0</v>
      </c>
      <c r="DC13" s="134">
        <v>92</v>
      </c>
      <c r="DD13" s="134">
        <v>0</v>
      </c>
      <c r="DE13" s="134">
        <v>0</v>
      </c>
      <c r="DF13" s="134">
        <v>21</v>
      </c>
      <c r="DG13" s="134">
        <v>92</v>
      </c>
      <c r="DH13" s="134">
        <v>113</v>
      </c>
      <c r="DI13" s="134">
        <v>0</v>
      </c>
      <c r="DJ13" s="134">
        <v>0</v>
      </c>
      <c r="DK13" s="134">
        <v>0</v>
      </c>
      <c r="DL13" s="134">
        <v>2</v>
      </c>
      <c r="DM13" s="134">
        <v>0</v>
      </c>
      <c r="DN13" s="134">
        <v>0</v>
      </c>
      <c r="DO13" s="134">
        <v>0</v>
      </c>
      <c r="DP13" s="134">
        <v>2</v>
      </c>
      <c r="DQ13" s="134">
        <v>2</v>
      </c>
      <c r="DR13" s="134">
        <v>0</v>
      </c>
      <c r="DS13" s="134">
        <v>0</v>
      </c>
      <c r="DT13" s="135">
        <v>0</v>
      </c>
    </row>
    <row r="14" spans="1:129">
      <c r="A14" s="133" t="s">
        <v>283</v>
      </c>
      <c r="B14" s="134">
        <v>541</v>
      </c>
      <c r="C14" s="134">
        <v>104</v>
      </c>
      <c r="D14" s="134">
        <v>547</v>
      </c>
      <c r="E14" s="134">
        <v>334</v>
      </c>
      <c r="F14" s="134">
        <v>0</v>
      </c>
      <c r="G14" s="134">
        <v>6</v>
      </c>
      <c r="H14" s="134">
        <v>6</v>
      </c>
      <c r="I14" s="134">
        <v>0</v>
      </c>
      <c r="J14" s="134">
        <v>196</v>
      </c>
      <c r="K14" s="134">
        <v>196</v>
      </c>
      <c r="L14" s="134">
        <v>0</v>
      </c>
      <c r="M14" s="134">
        <v>45</v>
      </c>
      <c r="N14" s="134">
        <v>45</v>
      </c>
      <c r="O14" s="134">
        <v>0</v>
      </c>
      <c r="P14" s="134">
        <v>151</v>
      </c>
      <c r="Q14" s="134">
        <v>151</v>
      </c>
      <c r="R14" s="134">
        <v>0</v>
      </c>
      <c r="S14" s="134">
        <v>4</v>
      </c>
      <c r="T14" s="134">
        <v>4</v>
      </c>
      <c r="U14" s="134">
        <v>0</v>
      </c>
      <c r="V14" s="134">
        <v>17</v>
      </c>
      <c r="W14" s="134">
        <v>17</v>
      </c>
      <c r="X14" s="134">
        <v>10</v>
      </c>
      <c r="Y14" s="134">
        <v>536</v>
      </c>
      <c r="Z14" s="134">
        <v>546</v>
      </c>
      <c r="AA14" s="134">
        <v>8</v>
      </c>
      <c r="AB14" s="134">
        <v>241</v>
      </c>
      <c r="AC14" s="134">
        <v>249</v>
      </c>
      <c r="AD14" s="134">
        <v>8</v>
      </c>
      <c r="AE14" s="134">
        <v>238</v>
      </c>
      <c r="AF14" s="134">
        <v>246</v>
      </c>
      <c r="AG14" s="134">
        <v>0</v>
      </c>
      <c r="AH14" s="134">
        <v>3</v>
      </c>
      <c r="AI14" s="134">
        <v>3</v>
      </c>
      <c r="AJ14" s="134">
        <v>0</v>
      </c>
      <c r="AK14" s="134">
        <v>0</v>
      </c>
      <c r="AL14" s="134">
        <v>0</v>
      </c>
      <c r="AM14" s="134">
        <v>2</v>
      </c>
      <c r="AN14" s="134">
        <v>295</v>
      </c>
      <c r="AO14" s="134">
        <v>297</v>
      </c>
      <c r="AP14" s="134">
        <v>471</v>
      </c>
      <c r="AQ14" s="134">
        <v>5609</v>
      </c>
      <c r="AR14" s="134">
        <v>6080</v>
      </c>
      <c r="AS14" s="134">
        <v>471</v>
      </c>
      <c r="AT14" s="134">
        <v>5609</v>
      </c>
      <c r="AU14" s="134">
        <v>6080</v>
      </c>
      <c r="AV14" s="134">
        <v>0</v>
      </c>
      <c r="AW14" s="134">
        <v>0</v>
      </c>
      <c r="AX14" s="134">
        <v>0</v>
      </c>
      <c r="AY14" s="134">
        <v>18</v>
      </c>
      <c r="AZ14" s="134">
        <v>592</v>
      </c>
      <c r="BA14" s="134">
        <v>610</v>
      </c>
      <c r="BB14" s="134">
        <v>14</v>
      </c>
      <c r="BC14" s="134">
        <v>0</v>
      </c>
      <c r="BD14" s="134">
        <v>0</v>
      </c>
      <c r="BE14" s="134">
        <v>320</v>
      </c>
      <c r="BF14" s="134">
        <v>0</v>
      </c>
      <c r="BG14" s="134">
        <v>0</v>
      </c>
      <c r="BH14" s="134">
        <v>14</v>
      </c>
      <c r="BI14" s="134">
        <v>320</v>
      </c>
      <c r="BJ14" s="134">
        <v>334</v>
      </c>
      <c r="BK14" s="134">
        <v>-16</v>
      </c>
      <c r="BL14" s="134">
        <v>16</v>
      </c>
      <c r="BM14" s="134">
        <v>0</v>
      </c>
      <c r="BN14" s="134">
        <v>4</v>
      </c>
      <c r="BO14" s="134">
        <v>19</v>
      </c>
      <c r="BP14" s="134">
        <v>23</v>
      </c>
      <c r="BQ14" s="134">
        <v>7</v>
      </c>
      <c r="BR14" s="134">
        <v>88</v>
      </c>
      <c r="BS14" s="134">
        <v>95</v>
      </c>
      <c r="BT14" s="134">
        <v>9</v>
      </c>
      <c r="BU14" s="134">
        <v>149</v>
      </c>
      <c r="BV14" s="134">
        <v>158</v>
      </c>
      <c r="BW14" s="134">
        <v>489</v>
      </c>
      <c r="BX14" s="134">
        <v>6201</v>
      </c>
      <c r="BY14" s="134">
        <v>6690</v>
      </c>
      <c r="BZ14" s="134">
        <v>487</v>
      </c>
      <c r="CA14" s="134">
        <v>6168</v>
      </c>
      <c r="CB14" s="134">
        <v>6655</v>
      </c>
      <c r="CC14" s="134">
        <v>11609</v>
      </c>
      <c r="CD14" s="134">
        <v>3</v>
      </c>
      <c r="CE14" s="134">
        <v>28</v>
      </c>
      <c r="CF14" s="134">
        <v>2</v>
      </c>
      <c r="CG14" s="134">
        <v>24</v>
      </c>
      <c r="CH14" s="134">
        <v>26</v>
      </c>
      <c r="CI14" s="134">
        <v>10</v>
      </c>
      <c r="CJ14" s="134">
        <v>0</v>
      </c>
      <c r="CK14" s="134">
        <v>0</v>
      </c>
      <c r="CL14" s="134">
        <v>9</v>
      </c>
      <c r="CM14" s="134">
        <v>9</v>
      </c>
      <c r="CN14" s="134">
        <v>31</v>
      </c>
      <c r="CO14" s="134">
        <v>611</v>
      </c>
      <c r="CP14" s="134">
        <v>642</v>
      </c>
      <c r="CQ14" s="134">
        <v>0</v>
      </c>
      <c r="CR14" s="134">
        <v>3</v>
      </c>
      <c r="CS14" s="134">
        <v>3</v>
      </c>
      <c r="CT14" s="134">
        <v>458</v>
      </c>
      <c r="CU14" s="134">
        <v>5590</v>
      </c>
      <c r="CV14" s="134">
        <v>6048</v>
      </c>
      <c r="CW14" s="134">
        <v>26</v>
      </c>
      <c r="CX14" s="134">
        <v>192</v>
      </c>
      <c r="CY14" s="134">
        <v>218</v>
      </c>
      <c r="CZ14" s="134">
        <v>26</v>
      </c>
      <c r="DA14" s="134">
        <v>0</v>
      </c>
      <c r="DB14" s="134">
        <v>0</v>
      </c>
      <c r="DC14" s="134">
        <v>186</v>
      </c>
      <c r="DD14" s="134">
        <v>0</v>
      </c>
      <c r="DE14" s="134">
        <v>0</v>
      </c>
      <c r="DF14" s="134">
        <v>26</v>
      </c>
      <c r="DG14" s="134">
        <v>186</v>
      </c>
      <c r="DH14" s="134">
        <v>212</v>
      </c>
      <c r="DI14" s="134">
        <v>0</v>
      </c>
      <c r="DJ14" s="134">
        <v>0</v>
      </c>
      <c r="DK14" s="134">
        <v>0</v>
      </c>
      <c r="DL14" s="134">
        <v>6</v>
      </c>
      <c r="DM14" s="134">
        <v>0</v>
      </c>
      <c r="DN14" s="134">
        <v>0</v>
      </c>
      <c r="DO14" s="134">
        <v>0</v>
      </c>
      <c r="DP14" s="134">
        <v>6</v>
      </c>
      <c r="DQ14" s="134">
        <v>6</v>
      </c>
      <c r="DR14" s="134">
        <v>0</v>
      </c>
      <c r="DS14" s="134">
        <v>0</v>
      </c>
      <c r="DT14" s="135">
        <v>0</v>
      </c>
    </row>
    <row r="15" spans="1:129">
      <c r="A15" s="133" t="s">
        <v>284</v>
      </c>
      <c r="B15" s="134">
        <v>5102</v>
      </c>
      <c r="C15" s="134">
        <v>1924</v>
      </c>
      <c r="D15" s="134">
        <v>5527</v>
      </c>
      <c r="E15" s="134">
        <v>3789</v>
      </c>
      <c r="F15" s="134">
        <v>22</v>
      </c>
      <c r="G15" s="134">
        <v>223</v>
      </c>
      <c r="H15" s="134">
        <v>245</v>
      </c>
      <c r="I15" s="134">
        <v>4</v>
      </c>
      <c r="J15" s="134">
        <v>1654</v>
      </c>
      <c r="K15" s="134">
        <v>1658</v>
      </c>
      <c r="L15" s="134">
        <v>4</v>
      </c>
      <c r="M15" s="134">
        <v>1649</v>
      </c>
      <c r="N15" s="134">
        <v>1653</v>
      </c>
      <c r="O15" s="134">
        <v>0</v>
      </c>
      <c r="P15" s="134">
        <v>5</v>
      </c>
      <c r="Q15" s="134">
        <v>5</v>
      </c>
      <c r="R15" s="134">
        <v>1</v>
      </c>
      <c r="S15" s="134">
        <v>322</v>
      </c>
      <c r="T15" s="134">
        <v>323</v>
      </c>
      <c r="U15" s="134">
        <v>0</v>
      </c>
      <c r="V15" s="134">
        <v>80</v>
      </c>
      <c r="W15" s="134">
        <v>80</v>
      </c>
      <c r="X15" s="134">
        <v>58</v>
      </c>
      <c r="Y15" s="134">
        <v>3674</v>
      </c>
      <c r="Z15" s="134">
        <v>3732</v>
      </c>
      <c r="AA15" s="134">
        <v>28</v>
      </c>
      <c r="AB15" s="134">
        <v>1742</v>
      </c>
      <c r="AC15" s="134">
        <v>1770</v>
      </c>
      <c r="AD15" s="134">
        <v>26</v>
      </c>
      <c r="AE15" s="134">
        <v>1645</v>
      </c>
      <c r="AF15" s="134">
        <v>1671</v>
      </c>
      <c r="AG15" s="134">
        <v>2</v>
      </c>
      <c r="AH15" s="134">
        <v>72</v>
      </c>
      <c r="AI15" s="134">
        <v>74</v>
      </c>
      <c r="AJ15" s="134">
        <v>0</v>
      </c>
      <c r="AK15" s="134">
        <v>25</v>
      </c>
      <c r="AL15" s="134">
        <v>25</v>
      </c>
      <c r="AM15" s="134">
        <v>30</v>
      </c>
      <c r="AN15" s="134">
        <v>1932</v>
      </c>
      <c r="AO15" s="134">
        <v>1962</v>
      </c>
      <c r="AP15" s="134">
        <v>11245</v>
      </c>
      <c r="AQ15" s="134">
        <v>74543</v>
      </c>
      <c r="AR15" s="134">
        <v>85788</v>
      </c>
      <c r="AS15" s="134">
        <v>10689</v>
      </c>
      <c r="AT15" s="134">
        <v>71116</v>
      </c>
      <c r="AU15" s="134">
        <v>81805</v>
      </c>
      <c r="AV15" s="134">
        <v>556</v>
      </c>
      <c r="AW15" s="134">
        <v>3427</v>
      </c>
      <c r="AX15" s="134">
        <v>3983</v>
      </c>
      <c r="AY15" s="134">
        <v>202</v>
      </c>
      <c r="AZ15" s="134">
        <v>3729</v>
      </c>
      <c r="BA15" s="134">
        <v>3931</v>
      </c>
      <c r="BB15" s="134">
        <v>234</v>
      </c>
      <c r="BC15" s="134">
        <v>2</v>
      </c>
      <c r="BD15" s="134">
        <v>1</v>
      </c>
      <c r="BE15" s="134">
        <v>3481</v>
      </c>
      <c r="BF15" s="134">
        <v>39</v>
      </c>
      <c r="BG15" s="134">
        <v>32</v>
      </c>
      <c r="BH15" s="134">
        <v>237</v>
      </c>
      <c r="BI15" s="134">
        <v>3552</v>
      </c>
      <c r="BJ15" s="134">
        <v>3789</v>
      </c>
      <c r="BK15" s="134">
        <v>-54</v>
      </c>
      <c r="BL15" s="134">
        <v>54</v>
      </c>
      <c r="BM15" s="134">
        <v>0</v>
      </c>
      <c r="BN15" s="134">
        <v>15</v>
      </c>
      <c r="BO15" s="134">
        <v>79</v>
      </c>
      <c r="BP15" s="134">
        <v>94</v>
      </c>
      <c r="BQ15" s="134">
        <v>3</v>
      </c>
      <c r="BR15" s="134">
        <v>12</v>
      </c>
      <c r="BS15" s="134">
        <v>15</v>
      </c>
      <c r="BT15" s="134">
        <v>1</v>
      </c>
      <c r="BU15" s="134">
        <v>32</v>
      </c>
      <c r="BV15" s="134">
        <v>33</v>
      </c>
      <c r="BW15" s="134">
        <v>11447</v>
      </c>
      <c r="BX15" s="134">
        <v>78272</v>
      </c>
      <c r="BY15" s="134">
        <v>89719</v>
      </c>
      <c r="BZ15" s="134">
        <v>11269</v>
      </c>
      <c r="CA15" s="134">
        <v>77394</v>
      </c>
      <c r="CB15" s="134">
        <v>88663</v>
      </c>
      <c r="CC15" s="134">
        <v>205084</v>
      </c>
      <c r="CD15" s="134">
        <v>65</v>
      </c>
      <c r="CE15" s="134">
        <v>893</v>
      </c>
      <c r="CF15" s="134">
        <v>165</v>
      </c>
      <c r="CG15" s="134">
        <v>647</v>
      </c>
      <c r="CH15" s="134">
        <v>812</v>
      </c>
      <c r="CI15" s="134">
        <v>271</v>
      </c>
      <c r="CJ15" s="134">
        <v>32</v>
      </c>
      <c r="CK15" s="134">
        <v>13</v>
      </c>
      <c r="CL15" s="134">
        <v>231</v>
      </c>
      <c r="CM15" s="134">
        <v>244</v>
      </c>
      <c r="CN15" s="134">
        <v>786</v>
      </c>
      <c r="CO15" s="134">
        <v>7590</v>
      </c>
      <c r="CP15" s="134">
        <v>8376</v>
      </c>
      <c r="CQ15" s="134">
        <v>0</v>
      </c>
      <c r="CR15" s="134">
        <v>0</v>
      </c>
      <c r="CS15" s="134">
        <v>0</v>
      </c>
      <c r="CT15" s="134">
        <v>10661</v>
      </c>
      <c r="CU15" s="134">
        <v>70682</v>
      </c>
      <c r="CV15" s="134">
        <v>81343</v>
      </c>
      <c r="CW15" s="134">
        <v>903</v>
      </c>
      <c r="CX15" s="134">
        <v>5479</v>
      </c>
      <c r="CY15" s="134">
        <v>6382</v>
      </c>
      <c r="CZ15" s="134">
        <v>745</v>
      </c>
      <c r="DA15" s="134">
        <v>10</v>
      </c>
      <c r="DB15" s="134">
        <v>1</v>
      </c>
      <c r="DC15" s="134">
        <v>4289</v>
      </c>
      <c r="DD15" s="134">
        <v>52</v>
      </c>
      <c r="DE15" s="134">
        <v>17</v>
      </c>
      <c r="DF15" s="134">
        <v>756</v>
      </c>
      <c r="DG15" s="134">
        <v>4358</v>
      </c>
      <c r="DH15" s="134">
        <v>5114</v>
      </c>
      <c r="DI15" s="134">
        <v>145</v>
      </c>
      <c r="DJ15" s="134">
        <v>2</v>
      </c>
      <c r="DK15" s="134">
        <v>0</v>
      </c>
      <c r="DL15" s="134">
        <v>1106</v>
      </c>
      <c r="DM15" s="134">
        <v>15</v>
      </c>
      <c r="DN15" s="134">
        <v>0</v>
      </c>
      <c r="DO15" s="134">
        <v>147</v>
      </c>
      <c r="DP15" s="134">
        <v>1121</v>
      </c>
      <c r="DQ15" s="134">
        <v>1268</v>
      </c>
      <c r="DR15" s="134">
        <v>8</v>
      </c>
      <c r="DS15" s="134">
        <v>71</v>
      </c>
      <c r="DT15" s="135">
        <v>79</v>
      </c>
    </row>
    <row r="16" spans="1:129" s="116" customFormat="1">
      <c r="A16" s="133" t="s">
        <v>285</v>
      </c>
      <c r="B16" s="134">
        <v>108</v>
      </c>
      <c r="C16" s="134">
        <v>13</v>
      </c>
      <c r="D16" s="134">
        <v>103</v>
      </c>
      <c r="E16" s="134">
        <v>68</v>
      </c>
      <c r="F16" s="134">
        <v>0</v>
      </c>
      <c r="G16" s="134">
        <v>3</v>
      </c>
      <c r="H16" s="134">
        <v>3</v>
      </c>
      <c r="I16" s="134">
        <v>0</v>
      </c>
      <c r="J16" s="134">
        <v>35</v>
      </c>
      <c r="K16" s="134">
        <v>35</v>
      </c>
      <c r="L16" s="134">
        <v>0</v>
      </c>
      <c r="M16" s="134">
        <v>10</v>
      </c>
      <c r="N16" s="134">
        <v>10</v>
      </c>
      <c r="O16" s="134">
        <v>0</v>
      </c>
      <c r="P16" s="134">
        <v>25</v>
      </c>
      <c r="Q16" s="134">
        <v>25</v>
      </c>
      <c r="R16" s="134">
        <v>0</v>
      </c>
      <c r="S16" s="134">
        <v>0</v>
      </c>
      <c r="T16" s="134">
        <v>0</v>
      </c>
      <c r="U16" s="134">
        <v>0</v>
      </c>
      <c r="V16" s="134">
        <v>0</v>
      </c>
      <c r="W16" s="134">
        <v>0</v>
      </c>
      <c r="X16" s="134">
        <v>1</v>
      </c>
      <c r="Y16" s="134">
        <v>102</v>
      </c>
      <c r="Z16" s="134">
        <v>103</v>
      </c>
      <c r="AA16" s="134">
        <v>0</v>
      </c>
      <c r="AB16" s="134">
        <v>46</v>
      </c>
      <c r="AC16" s="134">
        <v>46</v>
      </c>
      <c r="AD16" s="134">
        <v>0</v>
      </c>
      <c r="AE16" s="134">
        <v>45</v>
      </c>
      <c r="AF16" s="134">
        <v>45</v>
      </c>
      <c r="AG16" s="134">
        <v>0</v>
      </c>
      <c r="AH16" s="134">
        <v>0</v>
      </c>
      <c r="AI16" s="134">
        <v>0</v>
      </c>
      <c r="AJ16" s="134">
        <v>0</v>
      </c>
      <c r="AK16" s="134">
        <v>1</v>
      </c>
      <c r="AL16" s="134">
        <v>1</v>
      </c>
      <c r="AM16" s="134">
        <v>1</v>
      </c>
      <c r="AN16" s="134">
        <v>56</v>
      </c>
      <c r="AO16" s="134">
        <v>57</v>
      </c>
      <c r="AP16" s="134">
        <v>190</v>
      </c>
      <c r="AQ16" s="134">
        <v>1198</v>
      </c>
      <c r="AR16" s="134">
        <v>1388</v>
      </c>
      <c r="AS16" s="134">
        <v>190</v>
      </c>
      <c r="AT16" s="134">
        <v>1198</v>
      </c>
      <c r="AU16" s="134">
        <v>1388</v>
      </c>
      <c r="AV16" s="134">
        <v>0</v>
      </c>
      <c r="AW16" s="134">
        <v>0</v>
      </c>
      <c r="AX16" s="134">
        <v>0</v>
      </c>
      <c r="AY16" s="134">
        <v>9</v>
      </c>
      <c r="AZ16" s="134">
        <v>113</v>
      </c>
      <c r="BA16" s="134">
        <v>122</v>
      </c>
      <c r="BB16" s="134">
        <v>1</v>
      </c>
      <c r="BC16" s="134">
        <v>0</v>
      </c>
      <c r="BD16" s="134">
        <v>0</v>
      </c>
      <c r="BE16" s="134">
        <v>67</v>
      </c>
      <c r="BF16" s="134">
        <v>0</v>
      </c>
      <c r="BG16" s="134">
        <v>0</v>
      </c>
      <c r="BH16" s="134">
        <v>1</v>
      </c>
      <c r="BI16" s="134">
        <v>67</v>
      </c>
      <c r="BJ16" s="134">
        <v>68</v>
      </c>
      <c r="BK16" s="134">
        <v>2</v>
      </c>
      <c r="BL16" s="134">
        <v>-2</v>
      </c>
      <c r="BM16" s="134">
        <v>0</v>
      </c>
      <c r="BN16" s="134">
        <v>0</v>
      </c>
      <c r="BO16" s="134">
        <v>12</v>
      </c>
      <c r="BP16" s="134">
        <v>12</v>
      </c>
      <c r="BQ16" s="134">
        <v>1</v>
      </c>
      <c r="BR16" s="134">
        <v>12</v>
      </c>
      <c r="BS16" s="134">
        <v>13</v>
      </c>
      <c r="BT16" s="134">
        <v>5</v>
      </c>
      <c r="BU16" s="134">
        <v>24</v>
      </c>
      <c r="BV16" s="134">
        <v>29</v>
      </c>
      <c r="BW16" s="134">
        <v>199</v>
      </c>
      <c r="BX16" s="134">
        <v>1311</v>
      </c>
      <c r="BY16" s="134">
        <v>1510</v>
      </c>
      <c r="BZ16" s="134">
        <v>198</v>
      </c>
      <c r="CA16" s="134">
        <v>1304</v>
      </c>
      <c r="CB16" s="134">
        <v>1502</v>
      </c>
      <c r="CC16" s="134">
        <v>3470</v>
      </c>
      <c r="CD16" s="134">
        <v>0</v>
      </c>
      <c r="CE16" s="134">
        <v>8</v>
      </c>
      <c r="CF16" s="134">
        <v>1</v>
      </c>
      <c r="CG16" s="134">
        <v>7</v>
      </c>
      <c r="CH16" s="134">
        <v>8</v>
      </c>
      <c r="CI16" s="134">
        <v>0</v>
      </c>
      <c r="CJ16" s="134">
        <v>0</v>
      </c>
      <c r="CK16" s="134">
        <v>0</v>
      </c>
      <c r="CL16" s="134">
        <v>0</v>
      </c>
      <c r="CM16" s="134">
        <v>0</v>
      </c>
      <c r="CN16" s="134">
        <v>10</v>
      </c>
      <c r="CO16" s="134">
        <v>118</v>
      </c>
      <c r="CP16" s="134">
        <v>128</v>
      </c>
      <c r="CQ16" s="134">
        <v>0</v>
      </c>
      <c r="CR16" s="134">
        <v>0</v>
      </c>
      <c r="CS16" s="134">
        <v>0</v>
      </c>
      <c r="CT16" s="134">
        <v>189</v>
      </c>
      <c r="CU16" s="134">
        <v>1193</v>
      </c>
      <c r="CV16" s="134">
        <v>1382</v>
      </c>
      <c r="CW16" s="134">
        <v>16</v>
      </c>
      <c r="CX16" s="134">
        <v>54</v>
      </c>
      <c r="CY16" s="134">
        <v>70</v>
      </c>
      <c r="CZ16" s="134">
        <v>15</v>
      </c>
      <c r="DA16" s="134">
        <v>0</v>
      </c>
      <c r="DB16" s="134">
        <v>0</v>
      </c>
      <c r="DC16" s="134">
        <v>53</v>
      </c>
      <c r="DD16" s="134">
        <v>0</v>
      </c>
      <c r="DE16" s="134">
        <v>0</v>
      </c>
      <c r="DF16" s="134">
        <v>15</v>
      </c>
      <c r="DG16" s="134">
        <v>53</v>
      </c>
      <c r="DH16" s="134">
        <v>68</v>
      </c>
      <c r="DI16" s="134">
        <v>1</v>
      </c>
      <c r="DJ16" s="134">
        <v>0</v>
      </c>
      <c r="DK16" s="134">
        <v>0</v>
      </c>
      <c r="DL16" s="134">
        <v>1</v>
      </c>
      <c r="DM16" s="134">
        <v>0</v>
      </c>
      <c r="DN16" s="134">
        <v>0</v>
      </c>
      <c r="DO16" s="134">
        <v>1</v>
      </c>
      <c r="DP16" s="134">
        <v>1</v>
      </c>
      <c r="DQ16" s="134">
        <v>2</v>
      </c>
      <c r="DR16" s="134">
        <v>0</v>
      </c>
      <c r="DS16" s="134">
        <v>0</v>
      </c>
      <c r="DT16" s="135">
        <v>0</v>
      </c>
      <c r="DV16" s="136"/>
      <c r="DW16" s="137"/>
      <c r="DX16" s="136"/>
      <c r="DY16" s="136"/>
    </row>
    <row r="17" spans="1:129" s="116" customFormat="1">
      <c r="A17" s="133" t="s">
        <v>286</v>
      </c>
      <c r="B17" s="134">
        <v>1000</v>
      </c>
      <c r="C17" s="134">
        <v>187</v>
      </c>
      <c r="D17" s="134">
        <v>1142</v>
      </c>
      <c r="E17" s="134">
        <v>587</v>
      </c>
      <c r="F17" s="134">
        <v>1</v>
      </c>
      <c r="G17" s="134">
        <v>24</v>
      </c>
      <c r="H17" s="134">
        <v>25</v>
      </c>
      <c r="I17" s="134">
        <v>0</v>
      </c>
      <c r="J17" s="134">
        <v>518</v>
      </c>
      <c r="K17" s="134">
        <v>518</v>
      </c>
      <c r="L17" s="134">
        <v>0</v>
      </c>
      <c r="M17" s="134">
        <v>112</v>
      </c>
      <c r="N17" s="134">
        <v>112</v>
      </c>
      <c r="O17" s="134">
        <v>0</v>
      </c>
      <c r="P17" s="134">
        <v>406</v>
      </c>
      <c r="Q17" s="134">
        <v>406</v>
      </c>
      <c r="R17" s="134">
        <v>0</v>
      </c>
      <c r="S17" s="134">
        <v>10</v>
      </c>
      <c r="T17" s="134">
        <v>10</v>
      </c>
      <c r="U17" s="134">
        <v>0</v>
      </c>
      <c r="V17" s="134">
        <v>37</v>
      </c>
      <c r="W17" s="134">
        <v>37</v>
      </c>
      <c r="X17" s="134">
        <v>15</v>
      </c>
      <c r="Y17" s="134">
        <v>1127</v>
      </c>
      <c r="Z17" s="134">
        <v>1142</v>
      </c>
      <c r="AA17" s="134">
        <v>9</v>
      </c>
      <c r="AB17" s="134">
        <v>403</v>
      </c>
      <c r="AC17" s="134">
        <v>412</v>
      </c>
      <c r="AD17" s="134">
        <v>7</v>
      </c>
      <c r="AE17" s="134">
        <v>391</v>
      </c>
      <c r="AF17" s="134">
        <v>398</v>
      </c>
      <c r="AG17" s="134">
        <v>0</v>
      </c>
      <c r="AH17" s="134">
        <v>9</v>
      </c>
      <c r="AI17" s="134">
        <v>9</v>
      </c>
      <c r="AJ17" s="134">
        <v>2</v>
      </c>
      <c r="AK17" s="134">
        <v>3</v>
      </c>
      <c r="AL17" s="134">
        <v>5</v>
      </c>
      <c r="AM17" s="134">
        <v>6</v>
      </c>
      <c r="AN17" s="134">
        <v>724</v>
      </c>
      <c r="AO17" s="134">
        <v>730</v>
      </c>
      <c r="AP17" s="134">
        <v>774</v>
      </c>
      <c r="AQ17" s="134">
        <v>10398</v>
      </c>
      <c r="AR17" s="134">
        <v>11172</v>
      </c>
      <c r="AS17" s="134">
        <v>774</v>
      </c>
      <c r="AT17" s="134">
        <v>10398</v>
      </c>
      <c r="AU17" s="134">
        <v>11172</v>
      </c>
      <c r="AV17" s="134">
        <v>0</v>
      </c>
      <c r="AW17" s="134">
        <v>0</v>
      </c>
      <c r="AX17" s="134">
        <v>0</v>
      </c>
      <c r="AY17" s="134">
        <v>28</v>
      </c>
      <c r="AZ17" s="134">
        <v>1046</v>
      </c>
      <c r="BA17" s="134">
        <v>1074</v>
      </c>
      <c r="BB17" s="134">
        <v>15</v>
      </c>
      <c r="BC17" s="134">
        <v>0</v>
      </c>
      <c r="BD17" s="134">
        <v>0</v>
      </c>
      <c r="BE17" s="134">
        <v>570</v>
      </c>
      <c r="BF17" s="134">
        <v>1</v>
      </c>
      <c r="BG17" s="134">
        <v>1</v>
      </c>
      <c r="BH17" s="134">
        <v>15</v>
      </c>
      <c r="BI17" s="134">
        <v>572</v>
      </c>
      <c r="BJ17" s="134">
        <v>587</v>
      </c>
      <c r="BK17" s="134">
        <v>-6</v>
      </c>
      <c r="BL17" s="134">
        <v>6</v>
      </c>
      <c r="BM17" s="134">
        <v>0</v>
      </c>
      <c r="BN17" s="134">
        <v>2</v>
      </c>
      <c r="BO17" s="134">
        <v>31</v>
      </c>
      <c r="BP17" s="134">
        <v>33</v>
      </c>
      <c r="BQ17" s="134">
        <v>0</v>
      </c>
      <c r="BR17" s="134">
        <v>134</v>
      </c>
      <c r="BS17" s="134">
        <v>134</v>
      </c>
      <c r="BT17" s="134">
        <v>17</v>
      </c>
      <c r="BU17" s="134">
        <v>303</v>
      </c>
      <c r="BV17" s="134">
        <v>320</v>
      </c>
      <c r="BW17" s="134">
        <v>802</v>
      </c>
      <c r="BX17" s="134">
        <v>11444</v>
      </c>
      <c r="BY17" s="134">
        <v>12246</v>
      </c>
      <c r="BZ17" s="134">
        <v>801</v>
      </c>
      <c r="CA17" s="134">
        <v>11407</v>
      </c>
      <c r="CB17" s="134">
        <v>12208</v>
      </c>
      <c r="CC17" s="134">
        <v>20326</v>
      </c>
      <c r="CD17" s="134">
        <v>9</v>
      </c>
      <c r="CE17" s="134">
        <v>31</v>
      </c>
      <c r="CF17" s="134">
        <v>1</v>
      </c>
      <c r="CG17" s="134">
        <v>32</v>
      </c>
      <c r="CH17" s="134">
        <v>33</v>
      </c>
      <c r="CI17" s="134">
        <v>5</v>
      </c>
      <c r="CJ17" s="134">
        <v>0</v>
      </c>
      <c r="CK17" s="134">
        <v>0</v>
      </c>
      <c r="CL17" s="134">
        <v>5</v>
      </c>
      <c r="CM17" s="134">
        <v>5</v>
      </c>
      <c r="CN17" s="134">
        <v>45</v>
      </c>
      <c r="CO17" s="134">
        <v>1211</v>
      </c>
      <c r="CP17" s="134">
        <v>1256</v>
      </c>
      <c r="CQ17" s="134">
        <v>0</v>
      </c>
      <c r="CR17" s="134">
        <v>27</v>
      </c>
      <c r="CS17" s="134">
        <v>27</v>
      </c>
      <c r="CT17" s="134">
        <v>757</v>
      </c>
      <c r="CU17" s="134">
        <v>10233</v>
      </c>
      <c r="CV17" s="134">
        <v>10990</v>
      </c>
      <c r="CW17" s="134">
        <v>44</v>
      </c>
      <c r="CX17" s="134">
        <v>392</v>
      </c>
      <c r="CY17" s="134">
        <v>436</v>
      </c>
      <c r="CZ17" s="134">
        <v>44</v>
      </c>
      <c r="DA17" s="134">
        <v>0</v>
      </c>
      <c r="DB17" s="134">
        <v>0</v>
      </c>
      <c r="DC17" s="134">
        <v>386</v>
      </c>
      <c r="DD17" s="134">
        <v>2</v>
      </c>
      <c r="DE17" s="134">
        <v>0</v>
      </c>
      <c r="DF17" s="134">
        <v>44</v>
      </c>
      <c r="DG17" s="134">
        <v>388</v>
      </c>
      <c r="DH17" s="134">
        <v>432</v>
      </c>
      <c r="DI17" s="134">
        <v>0</v>
      </c>
      <c r="DJ17" s="134">
        <v>0</v>
      </c>
      <c r="DK17" s="134">
        <v>0</v>
      </c>
      <c r="DL17" s="134">
        <v>3</v>
      </c>
      <c r="DM17" s="134">
        <v>1</v>
      </c>
      <c r="DN17" s="134">
        <v>0</v>
      </c>
      <c r="DO17" s="134">
        <v>0</v>
      </c>
      <c r="DP17" s="134">
        <v>4</v>
      </c>
      <c r="DQ17" s="134">
        <v>4</v>
      </c>
      <c r="DR17" s="134">
        <v>0</v>
      </c>
      <c r="DS17" s="134">
        <v>0</v>
      </c>
      <c r="DT17" s="135">
        <v>0</v>
      </c>
      <c r="DV17" s="136"/>
      <c r="DW17" s="137"/>
      <c r="DX17" s="136"/>
      <c r="DY17" s="136"/>
    </row>
    <row r="18" spans="1:129" s="116" customFormat="1">
      <c r="A18" s="133" t="s">
        <v>287</v>
      </c>
      <c r="B18" s="134">
        <v>863</v>
      </c>
      <c r="C18" s="134">
        <v>117</v>
      </c>
      <c r="D18" s="134">
        <v>869</v>
      </c>
      <c r="E18" s="134">
        <v>588</v>
      </c>
      <c r="F18" s="134">
        <v>0</v>
      </c>
      <c r="G18" s="134">
        <v>7</v>
      </c>
      <c r="H18" s="134">
        <v>7</v>
      </c>
      <c r="I18" s="134">
        <v>0</v>
      </c>
      <c r="J18" s="134">
        <v>234</v>
      </c>
      <c r="K18" s="134">
        <v>234</v>
      </c>
      <c r="L18" s="134">
        <v>0</v>
      </c>
      <c r="M18" s="134">
        <v>85</v>
      </c>
      <c r="N18" s="134">
        <v>85</v>
      </c>
      <c r="O18" s="134">
        <v>0</v>
      </c>
      <c r="P18" s="134">
        <v>149</v>
      </c>
      <c r="Q18" s="134">
        <v>149</v>
      </c>
      <c r="R18" s="134">
        <v>0</v>
      </c>
      <c r="S18" s="134">
        <v>7</v>
      </c>
      <c r="T18" s="134">
        <v>7</v>
      </c>
      <c r="U18" s="134">
        <v>0</v>
      </c>
      <c r="V18" s="134">
        <v>47</v>
      </c>
      <c r="W18" s="134">
        <v>47</v>
      </c>
      <c r="X18" s="134">
        <v>25</v>
      </c>
      <c r="Y18" s="134">
        <v>844</v>
      </c>
      <c r="Z18" s="134">
        <v>869</v>
      </c>
      <c r="AA18" s="134">
        <v>11</v>
      </c>
      <c r="AB18" s="134">
        <v>342</v>
      </c>
      <c r="AC18" s="134">
        <v>353</v>
      </c>
      <c r="AD18" s="134">
        <v>11</v>
      </c>
      <c r="AE18" s="134">
        <v>315</v>
      </c>
      <c r="AF18" s="134">
        <v>326</v>
      </c>
      <c r="AG18" s="134">
        <v>0</v>
      </c>
      <c r="AH18" s="134">
        <v>17</v>
      </c>
      <c r="AI18" s="134">
        <v>17</v>
      </c>
      <c r="AJ18" s="134">
        <v>0</v>
      </c>
      <c r="AK18" s="134">
        <v>10</v>
      </c>
      <c r="AL18" s="134">
        <v>10</v>
      </c>
      <c r="AM18" s="134">
        <v>14</v>
      </c>
      <c r="AN18" s="134">
        <v>502</v>
      </c>
      <c r="AO18" s="134">
        <v>516</v>
      </c>
      <c r="AP18" s="134">
        <v>2186</v>
      </c>
      <c r="AQ18" s="134">
        <v>14160</v>
      </c>
      <c r="AR18" s="134">
        <v>16346</v>
      </c>
      <c r="AS18" s="134">
        <v>2186</v>
      </c>
      <c r="AT18" s="134">
        <v>14161</v>
      </c>
      <c r="AU18" s="134">
        <v>16347</v>
      </c>
      <c r="AV18" s="134">
        <v>0</v>
      </c>
      <c r="AW18" s="134">
        <v>-1</v>
      </c>
      <c r="AX18" s="134">
        <v>-1</v>
      </c>
      <c r="AY18" s="134">
        <v>68</v>
      </c>
      <c r="AZ18" s="134">
        <v>1000</v>
      </c>
      <c r="BA18" s="134">
        <v>1068</v>
      </c>
      <c r="BB18" s="134">
        <v>30</v>
      </c>
      <c r="BC18" s="134">
        <v>0</v>
      </c>
      <c r="BD18" s="134">
        <v>0</v>
      </c>
      <c r="BE18" s="134">
        <v>540</v>
      </c>
      <c r="BF18" s="134">
        <v>12</v>
      </c>
      <c r="BG18" s="134">
        <v>6</v>
      </c>
      <c r="BH18" s="134">
        <v>30</v>
      </c>
      <c r="BI18" s="134">
        <v>558</v>
      </c>
      <c r="BJ18" s="134">
        <v>588</v>
      </c>
      <c r="BK18" s="134">
        <v>1</v>
      </c>
      <c r="BL18" s="134">
        <v>-1</v>
      </c>
      <c r="BM18" s="134">
        <v>0</v>
      </c>
      <c r="BN18" s="134">
        <v>5</v>
      </c>
      <c r="BO18" s="134">
        <v>20</v>
      </c>
      <c r="BP18" s="134">
        <v>25</v>
      </c>
      <c r="BQ18" s="134">
        <v>6</v>
      </c>
      <c r="BR18" s="134">
        <v>197</v>
      </c>
      <c r="BS18" s="134">
        <v>203</v>
      </c>
      <c r="BT18" s="134">
        <v>26</v>
      </c>
      <c r="BU18" s="134">
        <v>226</v>
      </c>
      <c r="BV18" s="134">
        <v>252</v>
      </c>
      <c r="BW18" s="134">
        <v>2254</v>
      </c>
      <c r="BX18" s="134">
        <v>15160</v>
      </c>
      <c r="BY18" s="134">
        <v>17414</v>
      </c>
      <c r="BZ18" s="134">
        <v>2229</v>
      </c>
      <c r="CA18" s="134">
        <v>14820</v>
      </c>
      <c r="CB18" s="134">
        <v>17049</v>
      </c>
      <c r="CC18" s="134">
        <v>41478</v>
      </c>
      <c r="CD18" s="134">
        <v>21</v>
      </c>
      <c r="CE18" s="134">
        <v>306</v>
      </c>
      <c r="CF18" s="134">
        <v>25</v>
      </c>
      <c r="CG18" s="134">
        <v>277</v>
      </c>
      <c r="CH18" s="134">
        <v>302</v>
      </c>
      <c r="CI18" s="134">
        <v>66</v>
      </c>
      <c r="CJ18" s="134">
        <v>1</v>
      </c>
      <c r="CK18" s="134">
        <v>0</v>
      </c>
      <c r="CL18" s="134">
        <v>63</v>
      </c>
      <c r="CM18" s="134">
        <v>63</v>
      </c>
      <c r="CN18" s="134">
        <v>86</v>
      </c>
      <c r="CO18" s="134">
        <v>1302</v>
      </c>
      <c r="CP18" s="134">
        <v>1388</v>
      </c>
      <c r="CQ18" s="134">
        <v>0</v>
      </c>
      <c r="CR18" s="134">
        <v>0</v>
      </c>
      <c r="CS18" s="134">
        <v>0</v>
      </c>
      <c r="CT18" s="134">
        <v>2168</v>
      </c>
      <c r="CU18" s="134">
        <v>13858</v>
      </c>
      <c r="CV18" s="134">
        <v>16026</v>
      </c>
      <c r="CW18" s="134">
        <v>124</v>
      </c>
      <c r="CX18" s="134">
        <v>551</v>
      </c>
      <c r="CY18" s="134">
        <v>675</v>
      </c>
      <c r="CZ18" s="134">
        <v>122</v>
      </c>
      <c r="DA18" s="134">
        <v>1</v>
      </c>
      <c r="DB18" s="134">
        <v>0</v>
      </c>
      <c r="DC18" s="134">
        <v>536</v>
      </c>
      <c r="DD18" s="134">
        <v>10</v>
      </c>
      <c r="DE18" s="134">
        <v>1</v>
      </c>
      <c r="DF18" s="134">
        <v>123</v>
      </c>
      <c r="DG18" s="134">
        <v>547</v>
      </c>
      <c r="DH18" s="134">
        <v>670</v>
      </c>
      <c r="DI18" s="134">
        <v>1</v>
      </c>
      <c r="DJ18" s="134">
        <v>0</v>
      </c>
      <c r="DK18" s="134">
        <v>0</v>
      </c>
      <c r="DL18" s="134">
        <v>4</v>
      </c>
      <c r="DM18" s="134">
        <v>0</v>
      </c>
      <c r="DN18" s="134">
        <v>0</v>
      </c>
      <c r="DO18" s="134">
        <v>1</v>
      </c>
      <c r="DP18" s="134">
        <v>4</v>
      </c>
      <c r="DQ18" s="134">
        <v>5</v>
      </c>
      <c r="DR18" s="134">
        <v>0</v>
      </c>
      <c r="DS18" s="134">
        <v>0</v>
      </c>
      <c r="DT18" s="135">
        <v>0</v>
      </c>
      <c r="DV18" s="136"/>
      <c r="DW18" s="137"/>
      <c r="DX18" s="136"/>
      <c r="DY18" s="136"/>
    </row>
    <row r="19" spans="1:129" s="116" customFormat="1">
      <c r="A19" s="133" t="s">
        <v>288</v>
      </c>
      <c r="B19" s="134">
        <v>80</v>
      </c>
      <c r="C19" s="134">
        <v>3</v>
      </c>
      <c r="D19" s="134">
        <v>73</v>
      </c>
      <c r="E19" s="134">
        <v>55</v>
      </c>
      <c r="F19" s="134">
        <v>0</v>
      </c>
      <c r="G19" s="134">
        <v>0</v>
      </c>
      <c r="H19" s="134">
        <v>0</v>
      </c>
      <c r="I19" s="134">
        <v>1</v>
      </c>
      <c r="J19" s="134">
        <v>14</v>
      </c>
      <c r="K19" s="134">
        <v>15</v>
      </c>
      <c r="L19" s="134">
        <v>1</v>
      </c>
      <c r="M19" s="134">
        <v>9</v>
      </c>
      <c r="N19" s="134">
        <v>10</v>
      </c>
      <c r="O19" s="134">
        <v>0</v>
      </c>
      <c r="P19" s="134">
        <v>5</v>
      </c>
      <c r="Q19" s="134">
        <v>5</v>
      </c>
      <c r="R19" s="134">
        <v>0</v>
      </c>
      <c r="S19" s="134">
        <v>0</v>
      </c>
      <c r="T19" s="134">
        <v>0</v>
      </c>
      <c r="U19" s="134">
        <v>0</v>
      </c>
      <c r="V19" s="134">
        <v>3</v>
      </c>
      <c r="W19" s="134">
        <v>3</v>
      </c>
      <c r="X19" s="134">
        <v>3</v>
      </c>
      <c r="Y19" s="134">
        <v>70</v>
      </c>
      <c r="Z19" s="134">
        <v>73</v>
      </c>
      <c r="AA19" s="134">
        <v>1</v>
      </c>
      <c r="AB19" s="134">
        <v>33</v>
      </c>
      <c r="AC19" s="134">
        <v>34</v>
      </c>
      <c r="AD19" s="134">
        <v>1</v>
      </c>
      <c r="AE19" s="134">
        <v>28</v>
      </c>
      <c r="AF19" s="134">
        <v>29</v>
      </c>
      <c r="AG19" s="134">
        <v>0</v>
      </c>
      <c r="AH19" s="134">
        <v>1</v>
      </c>
      <c r="AI19" s="134">
        <v>1</v>
      </c>
      <c r="AJ19" s="134">
        <v>0</v>
      </c>
      <c r="AK19" s="134">
        <v>4</v>
      </c>
      <c r="AL19" s="134">
        <v>4</v>
      </c>
      <c r="AM19" s="134">
        <v>2</v>
      </c>
      <c r="AN19" s="134">
        <v>37</v>
      </c>
      <c r="AO19" s="134">
        <v>39</v>
      </c>
      <c r="AP19" s="134">
        <v>75</v>
      </c>
      <c r="AQ19" s="134">
        <v>842</v>
      </c>
      <c r="AR19" s="134">
        <v>917</v>
      </c>
      <c r="AS19" s="134">
        <v>75</v>
      </c>
      <c r="AT19" s="134">
        <v>842</v>
      </c>
      <c r="AU19" s="134">
        <v>917</v>
      </c>
      <c r="AV19" s="134">
        <v>0</v>
      </c>
      <c r="AW19" s="134">
        <v>0</v>
      </c>
      <c r="AX19" s="134">
        <v>0</v>
      </c>
      <c r="AY19" s="134">
        <v>6</v>
      </c>
      <c r="AZ19" s="134">
        <v>83</v>
      </c>
      <c r="BA19" s="134">
        <v>89</v>
      </c>
      <c r="BB19" s="134">
        <v>2</v>
      </c>
      <c r="BC19" s="134">
        <v>0</v>
      </c>
      <c r="BD19" s="134">
        <v>0</v>
      </c>
      <c r="BE19" s="134">
        <v>52</v>
      </c>
      <c r="BF19" s="134">
        <v>1</v>
      </c>
      <c r="BG19" s="134">
        <v>0</v>
      </c>
      <c r="BH19" s="134">
        <v>2</v>
      </c>
      <c r="BI19" s="134">
        <v>53</v>
      </c>
      <c r="BJ19" s="134">
        <v>55</v>
      </c>
      <c r="BK19" s="134">
        <v>2</v>
      </c>
      <c r="BL19" s="134">
        <v>-2</v>
      </c>
      <c r="BM19" s="134">
        <v>0</v>
      </c>
      <c r="BN19" s="134">
        <v>1</v>
      </c>
      <c r="BO19" s="134">
        <v>3</v>
      </c>
      <c r="BP19" s="134">
        <v>4</v>
      </c>
      <c r="BQ19" s="134">
        <v>0</v>
      </c>
      <c r="BR19" s="134">
        <v>10</v>
      </c>
      <c r="BS19" s="134">
        <v>10</v>
      </c>
      <c r="BT19" s="134">
        <v>1</v>
      </c>
      <c r="BU19" s="134">
        <v>19</v>
      </c>
      <c r="BV19" s="134">
        <v>20</v>
      </c>
      <c r="BW19" s="134">
        <v>81</v>
      </c>
      <c r="BX19" s="134">
        <v>925</v>
      </c>
      <c r="BY19" s="134">
        <v>1006</v>
      </c>
      <c r="BZ19" s="134">
        <v>80</v>
      </c>
      <c r="CA19" s="134">
        <v>920</v>
      </c>
      <c r="CB19" s="134">
        <v>1000</v>
      </c>
      <c r="CC19" s="134">
        <v>1929</v>
      </c>
      <c r="CD19" s="134">
        <v>1</v>
      </c>
      <c r="CE19" s="134">
        <v>3</v>
      </c>
      <c r="CF19" s="134">
        <v>1</v>
      </c>
      <c r="CG19" s="134">
        <v>3</v>
      </c>
      <c r="CH19" s="134">
        <v>4</v>
      </c>
      <c r="CI19" s="134">
        <v>2</v>
      </c>
      <c r="CJ19" s="134">
        <v>0</v>
      </c>
      <c r="CK19" s="134">
        <v>0</v>
      </c>
      <c r="CL19" s="134">
        <v>2</v>
      </c>
      <c r="CM19" s="134">
        <v>2</v>
      </c>
      <c r="CN19" s="134">
        <v>6</v>
      </c>
      <c r="CO19" s="134">
        <v>69</v>
      </c>
      <c r="CP19" s="134">
        <v>75</v>
      </c>
      <c r="CQ19" s="134">
        <v>0</v>
      </c>
      <c r="CR19" s="134">
        <v>0</v>
      </c>
      <c r="CS19" s="134">
        <v>0</v>
      </c>
      <c r="CT19" s="134">
        <v>75</v>
      </c>
      <c r="CU19" s="134">
        <v>856</v>
      </c>
      <c r="CV19" s="134">
        <v>931</v>
      </c>
      <c r="CW19" s="134">
        <v>3</v>
      </c>
      <c r="CX19" s="134">
        <v>27</v>
      </c>
      <c r="CY19" s="134">
        <v>30</v>
      </c>
      <c r="CZ19" s="134">
        <v>3</v>
      </c>
      <c r="DA19" s="134">
        <v>0</v>
      </c>
      <c r="DB19" s="134">
        <v>0</v>
      </c>
      <c r="DC19" s="134">
        <v>27</v>
      </c>
      <c r="DD19" s="134">
        <v>0</v>
      </c>
      <c r="DE19" s="134">
        <v>0</v>
      </c>
      <c r="DF19" s="134">
        <v>3</v>
      </c>
      <c r="DG19" s="134">
        <v>27</v>
      </c>
      <c r="DH19" s="134">
        <v>30</v>
      </c>
      <c r="DI19" s="134">
        <v>0</v>
      </c>
      <c r="DJ19" s="134">
        <v>0</v>
      </c>
      <c r="DK19" s="134">
        <v>0</v>
      </c>
      <c r="DL19" s="134">
        <v>0</v>
      </c>
      <c r="DM19" s="134">
        <v>0</v>
      </c>
      <c r="DN19" s="134">
        <v>0</v>
      </c>
      <c r="DO19" s="134">
        <v>0</v>
      </c>
      <c r="DP19" s="134">
        <v>0</v>
      </c>
      <c r="DQ19" s="134">
        <v>0</v>
      </c>
      <c r="DR19" s="134">
        <v>0</v>
      </c>
      <c r="DS19" s="134">
        <v>0</v>
      </c>
      <c r="DT19" s="135">
        <v>0</v>
      </c>
      <c r="DV19" s="136"/>
      <c r="DW19" s="137"/>
      <c r="DX19" s="136"/>
      <c r="DY19" s="136"/>
    </row>
    <row r="20" spans="1:129" s="116" customFormat="1">
      <c r="A20" s="133" t="s">
        <v>289</v>
      </c>
      <c r="B20" s="134">
        <v>4762</v>
      </c>
      <c r="C20" s="134">
        <v>1332</v>
      </c>
      <c r="D20" s="134">
        <v>5269</v>
      </c>
      <c r="E20" s="134">
        <v>3415</v>
      </c>
      <c r="F20" s="134">
        <v>3</v>
      </c>
      <c r="G20" s="134">
        <v>48</v>
      </c>
      <c r="H20" s="134">
        <v>51</v>
      </c>
      <c r="I20" s="134">
        <v>0</v>
      </c>
      <c r="J20" s="134">
        <v>1671</v>
      </c>
      <c r="K20" s="134">
        <v>1671</v>
      </c>
      <c r="L20" s="134">
        <v>0</v>
      </c>
      <c r="M20" s="134">
        <v>467</v>
      </c>
      <c r="N20" s="134">
        <v>467</v>
      </c>
      <c r="O20" s="134">
        <v>0</v>
      </c>
      <c r="P20" s="134">
        <v>1204</v>
      </c>
      <c r="Q20" s="134">
        <v>1204</v>
      </c>
      <c r="R20" s="134">
        <v>0</v>
      </c>
      <c r="S20" s="134">
        <v>19</v>
      </c>
      <c r="T20" s="134">
        <v>19</v>
      </c>
      <c r="U20" s="134">
        <v>0</v>
      </c>
      <c r="V20" s="134">
        <v>183</v>
      </c>
      <c r="W20" s="134">
        <v>183</v>
      </c>
      <c r="X20" s="134">
        <v>145</v>
      </c>
      <c r="Y20" s="134">
        <v>5123</v>
      </c>
      <c r="Z20" s="134">
        <v>5268</v>
      </c>
      <c r="AA20" s="134">
        <v>95</v>
      </c>
      <c r="AB20" s="134">
        <v>2094</v>
      </c>
      <c r="AC20" s="134">
        <v>2189</v>
      </c>
      <c r="AD20" s="134">
        <v>92</v>
      </c>
      <c r="AE20" s="134">
        <v>1958</v>
      </c>
      <c r="AF20" s="134">
        <v>2050</v>
      </c>
      <c r="AG20" s="134">
        <v>2</v>
      </c>
      <c r="AH20" s="134">
        <v>85</v>
      </c>
      <c r="AI20" s="134">
        <v>87</v>
      </c>
      <c r="AJ20" s="134">
        <v>1</v>
      </c>
      <c r="AK20" s="134">
        <v>51</v>
      </c>
      <c r="AL20" s="134">
        <v>52</v>
      </c>
      <c r="AM20" s="134">
        <v>50</v>
      </c>
      <c r="AN20" s="134">
        <v>3029</v>
      </c>
      <c r="AO20" s="134">
        <v>3079</v>
      </c>
      <c r="AP20" s="134">
        <v>9044</v>
      </c>
      <c r="AQ20" s="134">
        <v>54929</v>
      </c>
      <c r="AR20" s="134">
        <v>63973</v>
      </c>
      <c r="AS20" s="134">
        <v>9044</v>
      </c>
      <c r="AT20" s="134">
        <v>54930</v>
      </c>
      <c r="AU20" s="134">
        <v>63974</v>
      </c>
      <c r="AV20" s="134">
        <v>0</v>
      </c>
      <c r="AW20" s="134">
        <v>-1</v>
      </c>
      <c r="AX20" s="134">
        <v>-1</v>
      </c>
      <c r="AY20" s="134">
        <v>424</v>
      </c>
      <c r="AZ20" s="134">
        <v>4846</v>
      </c>
      <c r="BA20" s="134">
        <v>5270</v>
      </c>
      <c r="BB20" s="134">
        <v>211</v>
      </c>
      <c r="BC20" s="134">
        <v>2</v>
      </c>
      <c r="BD20" s="134">
        <v>0</v>
      </c>
      <c r="BE20" s="134">
        <v>3128</v>
      </c>
      <c r="BF20" s="134">
        <v>60</v>
      </c>
      <c r="BG20" s="134">
        <v>14</v>
      </c>
      <c r="BH20" s="134">
        <v>213</v>
      </c>
      <c r="BI20" s="134">
        <v>3202</v>
      </c>
      <c r="BJ20" s="134">
        <v>3415</v>
      </c>
      <c r="BK20" s="134">
        <v>-11</v>
      </c>
      <c r="BL20" s="134">
        <v>11</v>
      </c>
      <c r="BM20" s="134">
        <v>0</v>
      </c>
      <c r="BN20" s="134">
        <v>23</v>
      </c>
      <c r="BO20" s="134">
        <v>137</v>
      </c>
      <c r="BP20" s="134">
        <v>160</v>
      </c>
      <c r="BQ20" s="134">
        <v>58</v>
      </c>
      <c r="BR20" s="134">
        <v>564</v>
      </c>
      <c r="BS20" s="134">
        <v>622</v>
      </c>
      <c r="BT20" s="134">
        <v>141</v>
      </c>
      <c r="BU20" s="134">
        <v>932</v>
      </c>
      <c r="BV20" s="134">
        <v>1073</v>
      </c>
      <c r="BW20" s="134">
        <v>9468</v>
      </c>
      <c r="BX20" s="134">
        <v>59775</v>
      </c>
      <c r="BY20" s="134">
        <v>69243</v>
      </c>
      <c r="BZ20" s="134">
        <v>9418</v>
      </c>
      <c r="CA20" s="134">
        <v>58837</v>
      </c>
      <c r="CB20" s="134">
        <v>68255</v>
      </c>
      <c r="CC20" s="134">
        <v>158259</v>
      </c>
      <c r="CD20" s="134">
        <v>59</v>
      </c>
      <c r="CE20" s="134">
        <v>746</v>
      </c>
      <c r="CF20" s="134">
        <v>48</v>
      </c>
      <c r="CG20" s="134">
        <v>692</v>
      </c>
      <c r="CH20" s="134">
        <v>740</v>
      </c>
      <c r="CI20" s="134">
        <v>315</v>
      </c>
      <c r="CJ20" s="134">
        <v>10</v>
      </c>
      <c r="CK20" s="134">
        <v>2</v>
      </c>
      <c r="CL20" s="134">
        <v>246</v>
      </c>
      <c r="CM20" s="134">
        <v>248</v>
      </c>
      <c r="CN20" s="134">
        <v>483</v>
      </c>
      <c r="CO20" s="134">
        <v>6240</v>
      </c>
      <c r="CP20" s="134">
        <v>6723</v>
      </c>
      <c r="CQ20" s="134">
        <v>1</v>
      </c>
      <c r="CR20" s="134">
        <v>19</v>
      </c>
      <c r="CS20" s="134">
        <v>20</v>
      </c>
      <c r="CT20" s="134">
        <v>8985</v>
      </c>
      <c r="CU20" s="134">
        <v>53535</v>
      </c>
      <c r="CV20" s="134">
        <v>62520</v>
      </c>
      <c r="CW20" s="134">
        <v>507</v>
      </c>
      <c r="CX20" s="134">
        <v>2063</v>
      </c>
      <c r="CY20" s="134">
        <v>2570</v>
      </c>
      <c r="CZ20" s="134">
        <v>500</v>
      </c>
      <c r="DA20" s="134">
        <v>2</v>
      </c>
      <c r="DB20" s="134">
        <v>0</v>
      </c>
      <c r="DC20" s="134">
        <v>1926</v>
      </c>
      <c r="DD20" s="134">
        <v>29</v>
      </c>
      <c r="DE20" s="134">
        <v>1</v>
      </c>
      <c r="DF20" s="134">
        <v>502</v>
      </c>
      <c r="DG20" s="134">
        <v>1956</v>
      </c>
      <c r="DH20" s="134">
        <v>2458</v>
      </c>
      <c r="DI20" s="134">
        <v>5</v>
      </c>
      <c r="DJ20" s="134">
        <v>0</v>
      </c>
      <c r="DK20" s="134">
        <v>0</v>
      </c>
      <c r="DL20" s="134">
        <v>104</v>
      </c>
      <c r="DM20" s="134">
        <v>3</v>
      </c>
      <c r="DN20" s="134">
        <v>0</v>
      </c>
      <c r="DO20" s="134">
        <v>5</v>
      </c>
      <c r="DP20" s="134">
        <v>107</v>
      </c>
      <c r="DQ20" s="134">
        <v>112</v>
      </c>
      <c r="DR20" s="134">
        <v>0</v>
      </c>
      <c r="DS20" s="134">
        <v>0</v>
      </c>
      <c r="DT20" s="135">
        <v>0</v>
      </c>
      <c r="DV20" s="136"/>
      <c r="DW20" s="137"/>
      <c r="DX20" s="136"/>
      <c r="DY20" s="136"/>
    </row>
    <row r="21" spans="1:129" s="116" customFormat="1">
      <c r="A21" s="133" t="s">
        <v>290</v>
      </c>
      <c r="B21" s="134">
        <v>706</v>
      </c>
      <c r="C21" s="134">
        <v>109</v>
      </c>
      <c r="D21" s="134">
        <v>744</v>
      </c>
      <c r="E21" s="134">
        <v>502</v>
      </c>
      <c r="F21" s="134">
        <v>0</v>
      </c>
      <c r="G21" s="134">
        <v>0</v>
      </c>
      <c r="H21" s="134">
        <v>0</v>
      </c>
      <c r="I21" s="134">
        <v>0</v>
      </c>
      <c r="J21" s="134">
        <v>210</v>
      </c>
      <c r="K21" s="134">
        <v>210</v>
      </c>
      <c r="L21" s="134">
        <v>0</v>
      </c>
      <c r="M21" s="134">
        <v>88</v>
      </c>
      <c r="N21" s="134">
        <v>88</v>
      </c>
      <c r="O21" s="134">
        <v>0</v>
      </c>
      <c r="P21" s="134">
        <v>122</v>
      </c>
      <c r="Q21" s="134">
        <v>122</v>
      </c>
      <c r="R21" s="134">
        <v>0</v>
      </c>
      <c r="S21" s="134">
        <v>1</v>
      </c>
      <c r="T21" s="134">
        <v>1</v>
      </c>
      <c r="U21" s="134">
        <v>0</v>
      </c>
      <c r="V21" s="134">
        <v>32</v>
      </c>
      <c r="W21" s="134">
        <v>32</v>
      </c>
      <c r="X21" s="134">
        <v>25</v>
      </c>
      <c r="Y21" s="134">
        <v>718</v>
      </c>
      <c r="Z21" s="134">
        <v>743</v>
      </c>
      <c r="AA21" s="134">
        <v>16</v>
      </c>
      <c r="AB21" s="134">
        <v>307</v>
      </c>
      <c r="AC21" s="134">
        <v>323</v>
      </c>
      <c r="AD21" s="134">
        <v>15</v>
      </c>
      <c r="AE21" s="134">
        <v>295</v>
      </c>
      <c r="AF21" s="134">
        <v>310</v>
      </c>
      <c r="AG21" s="134">
        <v>0</v>
      </c>
      <c r="AH21" s="134">
        <v>9</v>
      </c>
      <c r="AI21" s="134">
        <v>9</v>
      </c>
      <c r="AJ21" s="134">
        <v>1</v>
      </c>
      <c r="AK21" s="134">
        <v>3</v>
      </c>
      <c r="AL21" s="134">
        <v>4</v>
      </c>
      <c r="AM21" s="134">
        <v>9</v>
      </c>
      <c r="AN21" s="134">
        <v>411</v>
      </c>
      <c r="AO21" s="134">
        <v>420</v>
      </c>
      <c r="AP21" s="134">
        <v>1379</v>
      </c>
      <c r="AQ21" s="134">
        <v>8569</v>
      </c>
      <c r="AR21" s="134">
        <v>9948</v>
      </c>
      <c r="AS21" s="134">
        <v>1379</v>
      </c>
      <c r="AT21" s="134">
        <v>8569</v>
      </c>
      <c r="AU21" s="134">
        <v>9948</v>
      </c>
      <c r="AV21" s="134">
        <v>0</v>
      </c>
      <c r="AW21" s="134">
        <v>0</v>
      </c>
      <c r="AX21" s="134">
        <v>0</v>
      </c>
      <c r="AY21" s="134">
        <v>88</v>
      </c>
      <c r="AZ21" s="134">
        <v>765</v>
      </c>
      <c r="BA21" s="134">
        <v>853</v>
      </c>
      <c r="BB21" s="134">
        <v>31</v>
      </c>
      <c r="BC21" s="134">
        <v>0</v>
      </c>
      <c r="BD21" s="134">
        <v>0</v>
      </c>
      <c r="BE21" s="134">
        <v>460</v>
      </c>
      <c r="BF21" s="134">
        <v>8</v>
      </c>
      <c r="BG21" s="134">
        <v>3</v>
      </c>
      <c r="BH21" s="134">
        <v>31</v>
      </c>
      <c r="BI21" s="134">
        <v>471</v>
      </c>
      <c r="BJ21" s="134">
        <v>502</v>
      </c>
      <c r="BK21" s="134">
        <v>14</v>
      </c>
      <c r="BL21" s="134">
        <v>-14</v>
      </c>
      <c r="BM21" s="134">
        <v>0</v>
      </c>
      <c r="BN21" s="134">
        <v>9</v>
      </c>
      <c r="BO21" s="134">
        <v>17</v>
      </c>
      <c r="BP21" s="134">
        <v>26</v>
      </c>
      <c r="BQ21" s="134">
        <v>13</v>
      </c>
      <c r="BR21" s="134">
        <v>132</v>
      </c>
      <c r="BS21" s="134">
        <v>145</v>
      </c>
      <c r="BT21" s="134">
        <v>21</v>
      </c>
      <c r="BU21" s="134">
        <v>159</v>
      </c>
      <c r="BV21" s="134">
        <v>180</v>
      </c>
      <c r="BW21" s="134">
        <v>1467</v>
      </c>
      <c r="BX21" s="134">
        <v>9334</v>
      </c>
      <c r="BY21" s="134">
        <v>10801</v>
      </c>
      <c r="BZ21" s="134">
        <v>1455</v>
      </c>
      <c r="CA21" s="134">
        <v>9175</v>
      </c>
      <c r="CB21" s="134">
        <v>10630</v>
      </c>
      <c r="CC21" s="134">
        <v>23864</v>
      </c>
      <c r="CD21" s="134">
        <v>16</v>
      </c>
      <c r="CE21" s="134">
        <v>129</v>
      </c>
      <c r="CF21" s="134">
        <v>12</v>
      </c>
      <c r="CG21" s="134">
        <v>125</v>
      </c>
      <c r="CH21" s="134">
        <v>137</v>
      </c>
      <c r="CI21" s="134">
        <v>40</v>
      </c>
      <c r="CJ21" s="134">
        <v>1</v>
      </c>
      <c r="CK21" s="134">
        <v>0</v>
      </c>
      <c r="CL21" s="134">
        <v>34</v>
      </c>
      <c r="CM21" s="134">
        <v>34</v>
      </c>
      <c r="CN21" s="134">
        <v>87</v>
      </c>
      <c r="CO21" s="134">
        <v>932</v>
      </c>
      <c r="CP21" s="134">
        <v>1019</v>
      </c>
      <c r="CQ21" s="134">
        <v>0</v>
      </c>
      <c r="CR21" s="134">
        <v>2</v>
      </c>
      <c r="CS21" s="134">
        <v>2</v>
      </c>
      <c r="CT21" s="134">
        <v>1380</v>
      </c>
      <c r="CU21" s="134">
        <v>8402</v>
      </c>
      <c r="CV21" s="134">
        <v>9782</v>
      </c>
      <c r="CW21" s="134">
        <v>81</v>
      </c>
      <c r="CX21" s="134">
        <v>316</v>
      </c>
      <c r="CY21" s="134">
        <v>397</v>
      </c>
      <c r="CZ21" s="134">
        <v>79</v>
      </c>
      <c r="DA21" s="134">
        <v>2</v>
      </c>
      <c r="DB21" s="134">
        <v>0</v>
      </c>
      <c r="DC21" s="134">
        <v>307</v>
      </c>
      <c r="DD21" s="134">
        <v>3</v>
      </c>
      <c r="DE21" s="134">
        <v>1</v>
      </c>
      <c r="DF21" s="134">
        <v>81</v>
      </c>
      <c r="DG21" s="134">
        <v>311</v>
      </c>
      <c r="DH21" s="134">
        <v>392</v>
      </c>
      <c r="DI21" s="134">
        <v>0</v>
      </c>
      <c r="DJ21" s="134">
        <v>0</v>
      </c>
      <c r="DK21" s="134">
        <v>0</v>
      </c>
      <c r="DL21" s="134">
        <v>5</v>
      </c>
      <c r="DM21" s="134">
        <v>0</v>
      </c>
      <c r="DN21" s="134">
        <v>0</v>
      </c>
      <c r="DO21" s="134">
        <v>0</v>
      </c>
      <c r="DP21" s="134">
        <v>5</v>
      </c>
      <c r="DQ21" s="134">
        <v>5</v>
      </c>
      <c r="DR21" s="134">
        <v>0</v>
      </c>
      <c r="DS21" s="134">
        <v>0</v>
      </c>
      <c r="DT21" s="135">
        <v>0</v>
      </c>
      <c r="DV21" s="136"/>
      <c r="DW21" s="137"/>
      <c r="DX21" s="136"/>
      <c r="DY21" s="136"/>
    </row>
    <row r="22" spans="1:129" s="116" customFormat="1">
      <c r="A22" s="133" t="s">
        <v>291</v>
      </c>
      <c r="B22" s="134">
        <v>363</v>
      </c>
      <c r="C22" s="134">
        <v>51</v>
      </c>
      <c r="D22" s="134">
        <v>401</v>
      </c>
      <c r="E22" s="134">
        <v>272</v>
      </c>
      <c r="F22" s="134">
        <v>3</v>
      </c>
      <c r="G22" s="134">
        <v>32</v>
      </c>
      <c r="H22" s="134">
        <v>35</v>
      </c>
      <c r="I22" s="134">
        <v>0</v>
      </c>
      <c r="J22" s="134">
        <v>104</v>
      </c>
      <c r="K22" s="134">
        <v>104</v>
      </c>
      <c r="L22" s="134">
        <v>0</v>
      </c>
      <c r="M22" s="134">
        <v>26</v>
      </c>
      <c r="N22" s="134">
        <v>26</v>
      </c>
      <c r="O22" s="134">
        <v>0</v>
      </c>
      <c r="P22" s="134">
        <v>78</v>
      </c>
      <c r="Q22" s="134">
        <v>78</v>
      </c>
      <c r="R22" s="134">
        <v>0</v>
      </c>
      <c r="S22" s="134">
        <v>8</v>
      </c>
      <c r="T22" s="134">
        <v>8</v>
      </c>
      <c r="U22" s="134">
        <v>0</v>
      </c>
      <c r="V22" s="134">
        <v>25</v>
      </c>
      <c r="W22" s="134">
        <v>25</v>
      </c>
      <c r="X22" s="134">
        <v>6</v>
      </c>
      <c r="Y22" s="134">
        <v>395</v>
      </c>
      <c r="Z22" s="134">
        <v>401</v>
      </c>
      <c r="AA22" s="134">
        <v>1</v>
      </c>
      <c r="AB22" s="134">
        <v>170</v>
      </c>
      <c r="AC22" s="134">
        <v>171</v>
      </c>
      <c r="AD22" s="134">
        <v>1</v>
      </c>
      <c r="AE22" s="134">
        <v>155</v>
      </c>
      <c r="AF22" s="134">
        <v>156</v>
      </c>
      <c r="AG22" s="134">
        <v>0</v>
      </c>
      <c r="AH22" s="134">
        <v>9</v>
      </c>
      <c r="AI22" s="134">
        <v>9</v>
      </c>
      <c r="AJ22" s="134">
        <v>0</v>
      </c>
      <c r="AK22" s="134">
        <v>6</v>
      </c>
      <c r="AL22" s="134">
        <v>6</v>
      </c>
      <c r="AM22" s="134">
        <v>5</v>
      </c>
      <c r="AN22" s="134">
        <v>225</v>
      </c>
      <c r="AO22" s="134">
        <v>230</v>
      </c>
      <c r="AP22" s="134">
        <v>470</v>
      </c>
      <c r="AQ22" s="134">
        <v>5233</v>
      </c>
      <c r="AR22" s="134">
        <v>5703</v>
      </c>
      <c r="AS22" s="134">
        <v>470</v>
      </c>
      <c r="AT22" s="134">
        <v>5233</v>
      </c>
      <c r="AU22" s="134">
        <v>5703</v>
      </c>
      <c r="AV22" s="134">
        <v>0</v>
      </c>
      <c r="AW22" s="134">
        <v>0</v>
      </c>
      <c r="AX22" s="134">
        <v>0</v>
      </c>
      <c r="AY22" s="134">
        <v>54</v>
      </c>
      <c r="AZ22" s="134">
        <v>482</v>
      </c>
      <c r="BA22" s="134">
        <v>536</v>
      </c>
      <c r="BB22" s="134">
        <v>10</v>
      </c>
      <c r="BC22" s="134">
        <v>0</v>
      </c>
      <c r="BD22" s="134">
        <v>0</v>
      </c>
      <c r="BE22" s="134">
        <v>258</v>
      </c>
      <c r="BF22" s="134">
        <v>3</v>
      </c>
      <c r="BG22" s="134">
        <v>1</v>
      </c>
      <c r="BH22" s="134">
        <v>10</v>
      </c>
      <c r="BI22" s="134">
        <v>262</v>
      </c>
      <c r="BJ22" s="134">
        <v>272</v>
      </c>
      <c r="BK22" s="134">
        <v>14</v>
      </c>
      <c r="BL22" s="134">
        <v>-14</v>
      </c>
      <c r="BM22" s="134">
        <v>0</v>
      </c>
      <c r="BN22" s="134">
        <v>3</v>
      </c>
      <c r="BO22" s="134">
        <v>22</v>
      </c>
      <c r="BP22" s="134">
        <v>25</v>
      </c>
      <c r="BQ22" s="134">
        <v>3</v>
      </c>
      <c r="BR22" s="134">
        <v>42</v>
      </c>
      <c r="BS22" s="134">
        <v>45</v>
      </c>
      <c r="BT22" s="134">
        <v>24</v>
      </c>
      <c r="BU22" s="134">
        <v>170</v>
      </c>
      <c r="BV22" s="134">
        <v>194</v>
      </c>
      <c r="BW22" s="134">
        <v>524</v>
      </c>
      <c r="BX22" s="134">
        <v>5715</v>
      </c>
      <c r="BY22" s="134">
        <v>6239</v>
      </c>
      <c r="BZ22" s="134">
        <v>520</v>
      </c>
      <c r="CA22" s="134">
        <v>5688</v>
      </c>
      <c r="CB22" s="134">
        <v>6208</v>
      </c>
      <c r="CC22" s="134">
        <v>11749</v>
      </c>
      <c r="CD22" s="134">
        <v>3</v>
      </c>
      <c r="CE22" s="134">
        <v>27</v>
      </c>
      <c r="CF22" s="134">
        <v>4</v>
      </c>
      <c r="CG22" s="134">
        <v>24</v>
      </c>
      <c r="CH22" s="134">
        <v>28</v>
      </c>
      <c r="CI22" s="134">
        <v>4</v>
      </c>
      <c r="CJ22" s="134">
        <v>0</v>
      </c>
      <c r="CK22" s="134">
        <v>0</v>
      </c>
      <c r="CL22" s="134">
        <v>3</v>
      </c>
      <c r="CM22" s="134">
        <v>3</v>
      </c>
      <c r="CN22" s="134">
        <v>49</v>
      </c>
      <c r="CO22" s="134">
        <v>517</v>
      </c>
      <c r="CP22" s="134">
        <v>566</v>
      </c>
      <c r="CQ22" s="134">
        <v>0</v>
      </c>
      <c r="CR22" s="134">
        <v>0</v>
      </c>
      <c r="CS22" s="134">
        <v>0</v>
      </c>
      <c r="CT22" s="134">
        <v>475</v>
      </c>
      <c r="CU22" s="134">
        <v>5198</v>
      </c>
      <c r="CV22" s="134">
        <v>5673</v>
      </c>
      <c r="CW22" s="134">
        <v>24</v>
      </c>
      <c r="CX22" s="134">
        <v>257</v>
      </c>
      <c r="CY22" s="134">
        <v>281</v>
      </c>
      <c r="CZ22" s="134">
        <v>24</v>
      </c>
      <c r="DA22" s="134">
        <v>0</v>
      </c>
      <c r="DB22" s="134">
        <v>0</v>
      </c>
      <c r="DC22" s="134">
        <v>255</v>
      </c>
      <c r="DD22" s="134">
        <v>0</v>
      </c>
      <c r="DE22" s="134">
        <v>0</v>
      </c>
      <c r="DF22" s="134">
        <v>24</v>
      </c>
      <c r="DG22" s="134">
        <v>255</v>
      </c>
      <c r="DH22" s="134">
        <v>279</v>
      </c>
      <c r="DI22" s="134">
        <v>0</v>
      </c>
      <c r="DJ22" s="134">
        <v>0</v>
      </c>
      <c r="DK22" s="134">
        <v>0</v>
      </c>
      <c r="DL22" s="134">
        <v>2</v>
      </c>
      <c r="DM22" s="134">
        <v>0</v>
      </c>
      <c r="DN22" s="134">
        <v>0</v>
      </c>
      <c r="DO22" s="134">
        <v>0</v>
      </c>
      <c r="DP22" s="134">
        <v>2</v>
      </c>
      <c r="DQ22" s="134">
        <v>2</v>
      </c>
      <c r="DR22" s="134">
        <v>0</v>
      </c>
      <c r="DS22" s="134">
        <v>0</v>
      </c>
      <c r="DT22" s="135">
        <v>0</v>
      </c>
      <c r="DV22" s="136"/>
      <c r="DW22" s="137"/>
      <c r="DX22" s="136"/>
      <c r="DY22" s="136"/>
    </row>
    <row r="23" spans="1:129" s="116" customFormat="1">
      <c r="A23" s="133" t="s">
        <v>292</v>
      </c>
      <c r="B23" s="134">
        <v>84</v>
      </c>
      <c r="C23" s="134">
        <v>9</v>
      </c>
      <c r="D23" s="134">
        <v>89</v>
      </c>
      <c r="E23" s="134">
        <v>60</v>
      </c>
      <c r="F23" s="134">
        <v>1</v>
      </c>
      <c r="G23" s="134">
        <v>3</v>
      </c>
      <c r="H23" s="134">
        <v>4</v>
      </c>
      <c r="I23" s="134">
        <v>1</v>
      </c>
      <c r="J23" s="134">
        <v>26</v>
      </c>
      <c r="K23" s="134">
        <v>27</v>
      </c>
      <c r="L23" s="134">
        <v>1</v>
      </c>
      <c r="M23" s="134">
        <v>6</v>
      </c>
      <c r="N23" s="134">
        <v>7</v>
      </c>
      <c r="O23" s="134">
        <v>0</v>
      </c>
      <c r="P23" s="134">
        <v>20</v>
      </c>
      <c r="Q23" s="134">
        <v>20</v>
      </c>
      <c r="R23" s="134">
        <v>1</v>
      </c>
      <c r="S23" s="134">
        <v>0</v>
      </c>
      <c r="T23" s="134">
        <v>1</v>
      </c>
      <c r="U23" s="134">
        <v>0</v>
      </c>
      <c r="V23" s="134">
        <v>2</v>
      </c>
      <c r="W23" s="134">
        <v>2</v>
      </c>
      <c r="X23" s="134">
        <v>3</v>
      </c>
      <c r="Y23" s="134">
        <v>86</v>
      </c>
      <c r="Z23" s="134">
        <v>89</v>
      </c>
      <c r="AA23" s="134">
        <v>2</v>
      </c>
      <c r="AB23" s="134">
        <v>37</v>
      </c>
      <c r="AC23" s="134">
        <v>39</v>
      </c>
      <c r="AD23" s="134">
        <v>2</v>
      </c>
      <c r="AE23" s="134">
        <v>35</v>
      </c>
      <c r="AF23" s="134">
        <v>37</v>
      </c>
      <c r="AG23" s="134">
        <v>0</v>
      </c>
      <c r="AH23" s="134">
        <v>1</v>
      </c>
      <c r="AI23" s="134">
        <v>1</v>
      </c>
      <c r="AJ23" s="134">
        <v>0</v>
      </c>
      <c r="AK23" s="134">
        <v>1</v>
      </c>
      <c r="AL23" s="134">
        <v>1</v>
      </c>
      <c r="AM23" s="134">
        <v>1</v>
      </c>
      <c r="AN23" s="134">
        <v>49</v>
      </c>
      <c r="AO23" s="134">
        <v>50</v>
      </c>
      <c r="AP23" s="134">
        <v>191</v>
      </c>
      <c r="AQ23" s="134">
        <v>1182</v>
      </c>
      <c r="AR23" s="134">
        <v>1373</v>
      </c>
      <c r="AS23" s="134">
        <v>191</v>
      </c>
      <c r="AT23" s="134">
        <v>1182</v>
      </c>
      <c r="AU23" s="134">
        <v>1373</v>
      </c>
      <c r="AV23" s="134">
        <v>0</v>
      </c>
      <c r="AW23" s="134">
        <v>0</v>
      </c>
      <c r="AX23" s="134">
        <v>0</v>
      </c>
      <c r="AY23" s="134">
        <v>21</v>
      </c>
      <c r="AZ23" s="134">
        <v>117</v>
      </c>
      <c r="BA23" s="134">
        <v>138</v>
      </c>
      <c r="BB23" s="134">
        <v>6</v>
      </c>
      <c r="BC23" s="134">
        <v>0</v>
      </c>
      <c r="BD23" s="134">
        <v>0</v>
      </c>
      <c r="BE23" s="134">
        <v>54</v>
      </c>
      <c r="BF23" s="134">
        <v>0</v>
      </c>
      <c r="BG23" s="134">
        <v>0</v>
      </c>
      <c r="BH23" s="134">
        <v>6</v>
      </c>
      <c r="BI23" s="134">
        <v>54</v>
      </c>
      <c r="BJ23" s="134">
        <v>60</v>
      </c>
      <c r="BK23" s="134">
        <v>-4</v>
      </c>
      <c r="BL23" s="134">
        <v>4</v>
      </c>
      <c r="BM23" s="134">
        <v>0</v>
      </c>
      <c r="BN23" s="134">
        <v>0</v>
      </c>
      <c r="BO23" s="134">
        <v>7</v>
      </c>
      <c r="BP23" s="134">
        <v>7</v>
      </c>
      <c r="BQ23" s="134">
        <v>8</v>
      </c>
      <c r="BR23" s="134">
        <v>22</v>
      </c>
      <c r="BS23" s="134">
        <v>30</v>
      </c>
      <c r="BT23" s="134">
        <v>11</v>
      </c>
      <c r="BU23" s="134">
        <v>30</v>
      </c>
      <c r="BV23" s="134">
        <v>41</v>
      </c>
      <c r="BW23" s="134">
        <v>212</v>
      </c>
      <c r="BX23" s="134">
        <v>1299</v>
      </c>
      <c r="BY23" s="134">
        <v>1511</v>
      </c>
      <c r="BZ23" s="134">
        <v>212</v>
      </c>
      <c r="CA23" s="134">
        <v>1296</v>
      </c>
      <c r="CB23" s="134">
        <v>1508</v>
      </c>
      <c r="CC23" s="134">
        <v>3042</v>
      </c>
      <c r="CD23" s="134">
        <v>1</v>
      </c>
      <c r="CE23" s="134">
        <v>2</v>
      </c>
      <c r="CF23" s="134">
        <v>0</v>
      </c>
      <c r="CG23" s="134">
        <v>3</v>
      </c>
      <c r="CH23" s="134">
        <v>3</v>
      </c>
      <c r="CI23" s="134">
        <v>0</v>
      </c>
      <c r="CJ23" s="134">
        <v>0</v>
      </c>
      <c r="CK23" s="134">
        <v>0</v>
      </c>
      <c r="CL23" s="134">
        <v>0</v>
      </c>
      <c r="CM23" s="134">
        <v>0</v>
      </c>
      <c r="CN23" s="134">
        <v>28</v>
      </c>
      <c r="CO23" s="134">
        <v>133</v>
      </c>
      <c r="CP23" s="134">
        <v>161</v>
      </c>
      <c r="CQ23" s="134">
        <v>0</v>
      </c>
      <c r="CR23" s="134">
        <v>0</v>
      </c>
      <c r="CS23" s="134">
        <v>0</v>
      </c>
      <c r="CT23" s="134">
        <v>184</v>
      </c>
      <c r="CU23" s="134">
        <v>1166</v>
      </c>
      <c r="CV23" s="134">
        <v>1350</v>
      </c>
      <c r="CW23" s="134">
        <v>15</v>
      </c>
      <c r="CX23" s="134">
        <v>46</v>
      </c>
      <c r="CY23" s="134">
        <v>61</v>
      </c>
      <c r="CZ23" s="134">
        <v>15</v>
      </c>
      <c r="DA23" s="134">
        <v>0</v>
      </c>
      <c r="DB23" s="134">
        <v>0</v>
      </c>
      <c r="DC23" s="134">
        <v>46</v>
      </c>
      <c r="DD23" s="134">
        <v>0</v>
      </c>
      <c r="DE23" s="134">
        <v>0</v>
      </c>
      <c r="DF23" s="134">
        <v>15</v>
      </c>
      <c r="DG23" s="134">
        <v>46</v>
      </c>
      <c r="DH23" s="134">
        <v>61</v>
      </c>
      <c r="DI23" s="134">
        <v>0</v>
      </c>
      <c r="DJ23" s="134">
        <v>0</v>
      </c>
      <c r="DK23" s="134">
        <v>0</v>
      </c>
      <c r="DL23" s="134">
        <v>0</v>
      </c>
      <c r="DM23" s="134">
        <v>0</v>
      </c>
      <c r="DN23" s="134">
        <v>0</v>
      </c>
      <c r="DO23" s="134">
        <v>0</v>
      </c>
      <c r="DP23" s="134">
        <v>0</v>
      </c>
      <c r="DQ23" s="134">
        <v>0</v>
      </c>
      <c r="DR23" s="134">
        <v>0</v>
      </c>
      <c r="DS23" s="134">
        <v>0</v>
      </c>
      <c r="DT23" s="135">
        <v>0</v>
      </c>
      <c r="DV23" s="136"/>
      <c r="DW23" s="137"/>
      <c r="DX23" s="136"/>
      <c r="DY23" s="136"/>
    </row>
    <row r="24" spans="1:129" s="116" customFormat="1">
      <c r="A24" s="133" t="s">
        <v>293</v>
      </c>
      <c r="B24" s="134">
        <v>40259</v>
      </c>
      <c r="C24" s="134">
        <v>14241</v>
      </c>
      <c r="D24" s="134">
        <v>43883</v>
      </c>
      <c r="E24" s="134">
        <v>28625</v>
      </c>
      <c r="F24" s="134">
        <v>37</v>
      </c>
      <c r="G24" s="134">
        <v>288</v>
      </c>
      <c r="H24" s="134">
        <v>325</v>
      </c>
      <c r="I24" s="134">
        <v>22</v>
      </c>
      <c r="J24" s="134">
        <v>13688</v>
      </c>
      <c r="K24" s="134">
        <v>13710</v>
      </c>
      <c r="L24" s="134">
        <v>10</v>
      </c>
      <c r="M24" s="134">
        <v>3610</v>
      </c>
      <c r="N24" s="134">
        <v>3620</v>
      </c>
      <c r="O24" s="134">
        <v>12</v>
      </c>
      <c r="P24" s="134">
        <v>10078</v>
      </c>
      <c r="Q24" s="134">
        <v>10090</v>
      </c>
      <c r="R24" s="134">
        <v>3</v>
      </c>
      <c r="S24" s="134">
        <v>181</v>
      </c>
      <c r="T24" s="134">
        <v>184</v>
      </c>
      <c r="U24" s="134">
        <v>0</v>
      </c>
      <c r="V24" s="134">
        <v>1548</v>
      </c>
      <c r="W24" s="134">
        <v>1548</v>
      </c>
      <c r="X24" s="134">
        <v>1856</v>
      </c>
      <c r="Y24" s="134">
        <v>42020</v>
      </c>
      <c r="Z24" s="134">
        <v>43876</v>
      </c>
      <c r="AA24" s="134">
        <v>1247</v>
      </c>
      <c r="AB24" s="134">
        <v>17397</v>
      </c>
      <c r="AC24" s="134">
        <v>18644</v>
      </c>
      <c r="AD24" s="134">
        <v>1059</v>
      </c>
      <c r="AE24" s="134">
        <v>16032</v>
      </c>
      <c r="AF24" s="134">
        <v>17091</v>
      </c>
      <c r="AG24" s="134">
        <v>71</v>
      </c>
      <c r="AH24" s="134">
        <v>573</v>
      </c>
      <c r="AI24" s="134">
        <v>644</v>
      </c>
      <c r="AJ24" s="134">
        <v>117</v>
      </c>
      <c r="AK24" s="134">
        <v>792</v>
      </c>
      <c r="AL24" s="134">
        <v>909</v>
      </c>
      <c r="AM24" s="134">
        <v>609</v>
      </c>
      <c r="AN24" s="134">
        <v>24623</v>
      </c>
      <c r="AO24" s="134">
        <v>25232</v>
      </c>
      <c r="AP24" s="134">
        <v>75963</v>
      </c>
      <c r="AQ24" s="134">
        <v>441893</v>
      </c>
      <c r="AR24" s="134">
        <v>517856</v>
      </c>
      <c r="AS24" s="134">
        <v>77479</v>
      </c>
      <c r="AT24" s="134">
        <v>458987</v>
      </c>
      <c r="AU24" s="134">
        <v>536466</v>
      </c>
      <c r="AV24" s="134">
        <v>-1516</v>
      </c>
      <c r="AW24" s="134">
        <v>-17094</v>
      </c>
      <c r="AX24" s="134">
        <v>-18610</v>
      </c>
      <c r="AY24" s="134">
        <v>3756</v>
      </c>
      <c r="AZ24" s="134">
        <v>40966</v>
      </c>
      <c r="BA24" s="134">
        <v>44722</v>
      </c>
      <c r="BB24" s="134">
        <v>2026</v>
      </c>
      <c r="BC24" s="134">
        <v>41</v>
      </c>
      <c r="BD24" s="134">
        <v>4</v>
      </c>
      <c r="BE24" s="134">
        <v>26061</v>
      </c>
      <c r="BF24" s="134">
        <v>266</v>
      </c>
      <c r="BG24" s="134">
        <v>227</v>
      </c>
      <c r="BH24" s="134">
        <v>2071</v>
      </c>
      <c r="BI24" s="134">
        <v>26554</v>
      </c>
      <c r="BJ24" s="134">
        <v>28625</v>
      </c>
      <c r="BK24" s="134">
        <v>-915</v>
      </c>
      <c r="BL24" s="134">
        <v>915</v>
      </c>
      <c r="BM24" s="134">
        <v>0</v>
      </c>
      <c r="BN24" s="134">
        <v>62</v>
      </c>
      <c r="BO24" s="134">
        <v>341</v>
      </c>
      <c r="BP24" s="134">
        <v>403</v>
      </c>
      <c r="BQ24" s="134">
        <v>480</v>
      </c>
      <c r="BR24" s="134">
        <v>4052</v>
      </c>
      <c r="BS24" s="134">
        <v>4532</v>
      </c>
      <c r="BT24" s="134">
        <v>2058</v>
      </c>
      <c r="BU24" s="134">
        <v>9104</v>
      </c>
      <c r="BV24" s="134">
        <v>11162</v>
      </c>
      <c r="BW24" s="134">
        <v>79719</v>
      </c>
      <c r="BX24" s="134">
        <v>482859</v>
      </c>
      <c r="BY24" s="134">
        <v>562578</v>
      </c>
      <c r="BZ24" s="134">
        <v>77360</v>
      </c>
      <c r="CA24" s="134">
        <v>473822</v>
      </c>
      <c r="CB24" s="134">
        <v>551182</v>
      </c>
      <c r="CC24" s="134">
        <v>1096239</v>
      </c>
      <c r="CD24" s="134">
        <v>751</v>
      </c>
      <c r="CE24" s="134">
        <v>9220</v>
      </c>
      <c r="CF24" s="134">
        <v>2194</v>
      </c>
      <c r="CG24" s="134">
        <v>5643</v>
      </c>
      <c r="CH24" s="134">
        <v>7837</v>
      </c>
      <c r="CI24" s="134">
        <v>4053</v>
      </c>
      <c r="CJ24" s="134">
        <v>495</v>
      </c>
      <c r="CK24" s="134">
        <v>165</v>
      </c>
      <c r="CL24" s="134">
        <v>3394</v>
      </c>
      <c r="CM24" s="134">
        <v>3559</v>
      </c>
      <c r="CN24" s="134">
        <v>3283</v>
      </c>
      <c r="CO24" s="134">
        <v>26675</v>
      </c>
      <c r="CP24" s="134">
        <v>29958</v>
      </c>
      <c r="CQ24" s="134">
        <v>64</v>
      </c>
      <c r="CR24" s="134">
        <v>295</v>
      </c>
      <c r="CS24" s="134">
        <v>359</v>
      </c>
      <c r="CT24" s="134">
        <v>76436</v>
      </c>
      <c r="CU24" s="134">
        <v>456184</v>
      </c>
      <c r="CV24" s="134">
        <v>532620</v>
      </c>
      <c r="CW24" s="134">
        <v>4392</v>
      </c>
      <c r="CX24" s="134">
        <v>18031</v>
      </c>
      <c r="CY24" s="134">
        <v>22423</v>
      </c>
      <c r="CZ24" s="134">
        <v>4235</v>
      </c>
      <c r="DA24" s="134">
        <v>107</v>
      </c>
      <c r="DB24" s="134">
        <v>5</v>
      </c>
      <c r="DC24" s="134">
        <v>17240</v>
      </c>
      <c r="DD24" s="134">
        <v>285</v>
      </c>
      <c r="DE24" s="134">
        <v>87</v>
      </c>
      <c r="DF24" s="134">
        <v>4347</v>
      </c>
      <c r="DG24" s="134">
        <v>17612</v>
      </c>
      <c r="DH24" s="134">
        <v>21959</v>
      </c>
      <c r="DI24" s="134">
        <v>45</v>
      </c>
      <c r="DJ24" s="134">
        <v>0</v>
      </c>
      <c r="DK24" s="134">
        <v>0</v>
      </c>
      <c r="DL24" s="134">
        <v>405</v>
      </c>
      <c r="DM24" s="134">
        <v>13</v>
      </c>
      <c r="DN24" s="134">
        <v>1</v>
      </c>
      <c r="DO24" s="134">
        <v>45</v>
      </c>
      <c r="DP24" s="134">
        <v>419</v>
      </c>
      <c r="DQ24" s="134">
        <v>464</v>
      </c>
      <c r="DR24" s="134">
        <v>0</v>
      </c>
      <c r="DS24" s="134">
        <v>0</v>
      </c>
      <c r="DT24" s="135">
        <v>0</v>
      </c>
      <c r="DV24" s="136"/>
      <c r="DW24" s="137"/>
      <c r="DX24" s="136"/>
      <c r="DY24" s="136"/>
    </row>
    <row r="25" spans="1:129" s="116" customFormat="1">
      <c r="A25" s="133" t="s">
        <v>294</v>
      </c>
      <c r="B25" s="134">
        <v>652</v>
      </c>
      <c r="C25" s="134">
        <v>80</v>
      </c>
      <c r="D25" s="134">
        <v>693</v>
      </c>
      <c r="E25" s="134">
        <v>478</v>
      </c>
      <c r="F25" s="134">
        <v>0</v>
      </c>
      <c r="G25" s="134">
        <v>8</v>
      </c>
      <c r="H25" s="134">
        <v>8</v>
      </c>
      <c r="I25" s="134">
        <v>0</v>
      </c>
      <c r="J25" s="134">
        <v>201</v>
      </c>
      <c r="K25" s="134">
        <v>201</v>
      </c>
      <c r="L25" s="134">
        <v>0</v>
      </c>
      <c r="M25" s="134">
        <v>71</v>
      </c>
      <c r="N25" s="134">
        <v>71</v>
      </c>
      <c r="O25" s="134">
        <v>0</v>
      </c>
      <c r="P25" s="134">
        <v>130</v>
      </c>
      <c r="Q25" s="134">
        <v>130</v>
      </c>
      <c r="R25" s="134">
        <v>0</v>
      </c>
      <c r="S25" s="134">
        <v>0</v>
      </c>
      <c r="T25" s="134">
        <v>0</v>
      </c>
      <c r="U25" s="134">
        <v>0</v>
      </c>
      <c r="V25" s="134">
        <v>14</v>
      </c>
      <c r="W25" s="134">
        <v>14</v>
      </c>
      <c r="X25" s="134">
        <v>21</v>
      </c>
      <c r="Y25" s="134">
        <v>672</v>
      </c>
      <c r="Z25" s="134">
        <v>693</v>
      </c>
      <c r="AA25" s="134">
        <v>10</v>
      </c>
      <c r="AB25" s="134">
        <v>290</v>
      </c>
      <c r="AC25" s="134">
        <v>300</v>
      </c>
      <c r="AD25" s="134">
        <v>9</v>
      </c>
      <c r="AE25" s="134">
        <v>285</v>
      </c>
      <c r="AF25" s="134">
        <v>294</v>
      </c>
      <c r="AG25" s="134">
        <v>1</v>
      </c>
      <c r="AH25" s="134">
        <v>2</v>
      </c>
      <c r="AI25" s="134">
        <v>3</v>
      </c>
      <c r="AJ25" s="134">
        <v>0</v>
      </c>
      <c r="AK25" s="134">
        <v>3</v>
      </c>
      <c r="AL25" s="134">
        <v>3</v>
      </c>
      <c r="AM25" s="134">
        <v>11</v>
      </c>
      <c r="AN25" s="134">
        <v>382</v>
      </c>
      <c r="AO25" s="134">
        <v>393</v>
      </c>
      <c r="AP25" s="134">
        <v>1458</v>
      </c>
      <c r="AQ25" s="134">
        <v>9106</v>
      </c>
      <c r="AR25" s="134">
        <v>10564</v>
      </c>
      <c r="AS25" s="134">
        <v>1458</v>
      </c>
      <c r="AT25" s="134">
        <v>9106</v>
      </c>
      <c r="AU25" s="134">
        <v>10564</v>
      </c>
      <c r="AV25" s="134">
        <v>0</v>
      </c>
      <c r="AW25" s="134">
        <v>0</v>
      </c>
      <c r="AX25" s="134">
        <v>0</v>
      </c>
      <c r="AY25" s="134">
        <v>138</v>
      </c>
      <c r="AZ25" s="134">
        <v>765</v>
      </c>
      <c r="BA25" s="134">
        <v>903</v>
      </c>
      <c r="BB25" s="134">
        <v>28</v>
      </c>
      <c r="BC25" s="134">
        <v>0</v>
      </c>
      <c r="BD25" s="134">
        <v>0</v>
      </c>
      <c r="BE25" s="134">
        <v>445</v>
      </c>
      <c r="BF25" s="134">
        <v>2</v>
      </c>
      <c r="BG25" s="134">
        <v>3</v>
      </c>
      <c r="BH25" s="134">
        <v>28</v>
      </c>
      <c r="BI25" s="134">
        <v>450</v>
      </c>
      <c r="BJ25" s="134">
        <v>478</v>
      </c>
      <c r="BK25" s="134">
        <v>57</v>
      </c>
      <c r="BL25" s="134">
        <v>-57</v>
      </c>
      <c r="BM25" s="134">
        <v>0</v>
      </c>
      <c r="BN25" s="134">
        <v>11</v>
      </c>
      <c r="BO25" s="134">
        <v>29</v>
      </c>
      <c r="BP25" s="134">
        <v>40</v>
      </c>
      <c r="BQ25" s="134">
        <v>4</v>
      </c>
      <c r="BR25" s="134">
        <v>189</v>
      </c>
      <c r="BS25" s="134">
        <v>193</v>
      </c>
      <c r="BT25" s="134">
        <v>38</v>
      </c>
      <c r="BU25" s="134">
        <v>154</v>
      </c>
      <c r="BV25" s="134">
        <v>192</v>
      </c>
      <c r="BW25" s="134">
        <v>1596</v>
      </c>
      <c r="BX25" s="134">
        <v>9871</v>
      </c>
      <c r="BY25" s="134">
        <v>11467</v>
      </c>
      <c r="BZ25" s="134">
        <v>1571</v>
      </c>
      <c r="CA25" s="134">
        <v>9801</v>
      </c>
      <c r="CB25" s="134">
        <v>11372</v>
      </c>
      <c r="CC25" s="134">
        <v>27537</v>
      </c>
      <c r="CD25" s="134">
        <v>1</v>
      </c>
      <c r="CE25" s="134">
        <v>92</v>
      </c>
      <c r="CF25" s="134">
        <v>24</v>
      </c>
      <c r="CG25" s="134">
        <v>62</v>
      </c>
      <c r="CH25" s="134">
        <v>86</v>
      </c>
      <c r="CI25" s="134">
        <v>9</v>
      </c>
      <c r="CJ25" s="134">
        <v>2</v>
      </c>
      <c r="CK25" s="134">
        <v>1</v>
      </c>
      <c r="CL25" s="134">
        <v>8</v>
      </c>
      <c r="CM25" s="134">
        <v>9</v>
      </c>
      <c r="CN25" s="134">
        <v>75</v>
      </c>
      <c r="CO25" s="134">
        <v>840</v>
      </c>
      <c r="CP25" s="134">
        <v>915</v>
      </c>
      <c r="CQ25" s="134">
        <v>0</v>
      </c>
      <c r="CR25" s="134">
        <v>0</v>
      </c>
      <c r="CS25" s="134">
        <v>0</v>
      </c>
      <c r="CT25" s="134">
        <v>1521</v>
      </c>
      <c r="CU25" s="134">
        <v>9031</v>
      </c>
      <c r="CV25" s="134">
        <v>10552</v>
      </c>
      <c r="CW25" s="134">
        <v>111</v>
      </c>
      <c r="CX25" s="134">
        <v>584</v>
      </c>
      <c r="CY25" s="134">
        <v>695</v>
      </c>
      <c r="CZ25" s="134">
        <v>109</v>
      </c>
      <c r="DA25" s="134">
        <v>2</v>
      </c>
      <c r="DB25" s="134">
        <v>0</v>
      </c>
      <c r="DC25" s="134">
        <v>574</v>
      </c>
      <c r="DD25" s="134">
        <v>2</v>
      </c>
      <c r="DE25" s="134">
        <v>0</v>
      </c>
      <c r="DF25" s="134">
        <v>111</v>
      </c>
      <c r="DG25" s="134">
        <v>576</v>
      </c>
      <c r="DH25" s="134">
        <v>687</v>
      </c>
      <c r="DI25" s="134">
        <v>0</v>
      </c>
      <c r="DJ25" s="134">
        <v>0</v>
      </c>
      <c r="DK25" s="134">
        <v>0</v>
      </c>
      <c r="DL25" s="134">
        <v>8</v>
      </c>
      <c r="DM25" s="134">
        <v>0</v>
      </c>
      <c r="DN25" s="134">
        <v>0</v>
      </c>
      <c r="DO25" s="134">
        <v>0</v>
      </c>
      <c r="DP25" s="134">
        <v>8</v>
      </c>
      <c r="DQ25" s="134">
        <v>8</v>
      </c>
      <c r="DR25" s="134">
        <v>0</v>
      </c>
      <c r="DS25" s="134">
        <v>0</v>
      </c>
      <c r="DT25" s="135">
        <v>0</v>
      </c>
      <c r="DV25" s="136"/>
      <c r="DW25" s="137"/>
      <c r="DX25" s="136"/>
      <c r="DY25" s="136"/>
    </row>
    <row r="26" spans="1:129" s="116" customFormat="1">
      <c r="A26" s="133" t="s">
        <v>295</v>
      </c>
      <c r="B26" s="134">
        <v>387</v>
      </c>
      <c r="C26" s="134">
        <v>120</v>
      </c>
      <c r="D26" s="134">
        <v>415</v>
      </c>
      <c r="E26" s="134">
        <v>267</v>
      </c>
      <c r="F26" s="134">
        <v>0</v>
      </c>
      <c r="G26" s="134">
        <v>7</v>
      </c>
      <c r="H26" s="134">
        <v>7</v>
      </c>
      <c r="I26" s="134">
        <v>0</v>
      </c>
      <c r="J26" s="134">
        <v>132</v>
      </c>
      <c r="K26" s="134">
        <v>132</v>
      </c>
      <c r="L26" s="134">
        <v>0</v>
      </c>
      <c r="M26" s="134">
        <v>40</v>
      </c>
      <c r="N26" s="134">
        <v>40</v>
      </c>
      <c r="O26" s="134">
        <v>0</v>
      </c>
      <c r="P26" s="134">
        <v>92</v>
      </c>
      <c r="Q26" s="134">
        <v>92</v>
      </c>
      <c r="R26" s="134">
        <v>0</v>
      </c>
      <c r="S26" s="134">
        <v>3</v>
      </c>
      <c r="T26" s="134">
        <v>3</v>
      </c>
      <c r="U26" s="134">
        <v>0</v>
      </c>
      <c r="V26" s="134">
        <v>16</v>
      </c>
      <c r="W26" s="134">
        <v>16</v>
      </c>
      <c r="X26" s="134">
        <v>5</v>
      </c>
      <c r="Y26" s="134">
        <v>410</v>
      </c>
      <c r="Z26" s="134">
        <v>415</v>
      </c>
      <c r="AA26" s="134">
        <v>5</v>
      </c>
      <c r="AB26" s="134">
        <v>164</v>
      </c>
      <c r="AC26" s="134">
        <v>169</v>
      </c>
      <c r="AD26" s="134">
        <v>5</v>
      </c>
      <c r="AE26" s="134">
        <v>156</v>
      </c>
      <c r="AF26" s="134">
        <v>161</v>
      </c>
      <c r="AG26" s="134">
        <v>0</v>
      </c>
      <c r="AH26" s="134">
        <v>7</v>
      </c>
      <c r="AI26" s="134">
        <v>7</v>
      </c>
      <c r="AJ26" s="134">
        <v>0</v>
      </c>
      <c r="AK26" s="134">
        <v>1</v>
      </c>
      <c r="AL26" s="134">
        <v>1</v>
      </c>
      <c r="AM26" s="134">
        <v>0</v>
      </c>
      <c r="AN26" s="134">
        <v>246</v>
      </c>
      <c r="AO26" s="134">
        <v>246</v>
      </c>
      <c r="AP26" s="134">
        <v>500</v>
      </c>
      <c r="AQ26" s="134">
        <v>5076</v>
      </c>
      <c r="AR26" s="134">
        <v>5576</v>
      </c>
      <c r="AS26" s="134">
        <v>500</v>
      </c>
      <c r="AT26" s="134">
        <v>5076</v>
      </c>
      <c r="AU26" s="134">
        <v>5576</v>
      </c>
      <c r="AV26" s="134">
        <v>0</v>
      </c>
      <c r="AW26" s="134">
        <v>0</v>
      </c>
      <c r="AX26" s="134">
        <v>0</v>
      </c>
      <c r="AY26" s="134">
        <v>30</v>
      </c>
      <c r="AZ26" s="134">
        <v>415</v>
      </c>
      <c r="BA26" s="134">
        <v>445</v>
      </c>
      <c r="BB26" s="134">
        <v>6</v>
      </c>
      <c r="BC26" s="134">
        <v>1</v>
      </c>
      <c r="BD26" s="134">
        <v>0</v>
      </c>
      <c r="BE26" s="134">
        <v>249</v>
      </c>
      <c r="BF26" s="134">
        <v>8</v>
      </c>
      <c r="BG26" s="134">
        <v>3</v>
      </c>
      <c r="BH26" s="134">
        <v>7</v>
      </c>
      <c r="BI26" s="134">
        <v>260</v>
      </c>
      <c r="BJ26" s="134">
        <v>267</v>
      </c>
      <c r="BK26" s="134">
        <v>8</v>
      </c>
      <c r="BL26" s="134">
        <v>-8</v>
      </c>
      <c r="BM26" s="134">
        <v>0</v>
      </c>
      <c r="BN26" s="134">
        <v>1</v>
      </c>
      <c r="BO26" s="134">
        <v>14</v>
      </c>
      <c r="BP26" s="134">
        <v>15</v>
      </c>
      <c r="BQ26" s="134">
        <v>0</v>
      </c>
      <c r="BR26" s="134">
        <v>41</v>
      </c>
      <c r="BS26" s="134">
        <v>41</v>
      </c>
      <c r="BT26" s="134">
        <v>14</v>
      </c>
      <c r="BU26" s="134">
        <v>108</v>
      </c>
      <c r="BV26" s="134">
        <v>122</v>
      </c>
      <c r="BW26" s="134">
        <v>530</v>
      </c>
      <c r="BX26" s="134">
        <v>5491</v>
      </c>
      <c r="BY26" s="134">
        <v>6021</v>
      </c>
      <c r="BZ26" s="134">
        <v>490</v>
      </c>
      <c r="CA26" s="134">
        <v>5193</v>
      </c>
      <c r="CB26" s="134">
        <v>5683</v>
      </c>
      <c r="CC26" s="134">
        <v>9527</v>
      </c>
      <c r="CD26" s="134">
        <v>8</v>
      </c>
      <c r="CE26" s="134">
        <v>304</v>
      </c>
      <c r="CF26" s="134">
        <v>38</v>
      </c>
      <c r="CG26" s="134">
        <v>231</v>
      </c>
      <c r="CH26" s="134">
        <v>269</v>
      </c>
      <c r="CI26" s="134">
        <v>71</v>
      </c>
      <c r="CJ26" s="134">
        <v>15</v>
      </c>
      <c r="CK26" s="134">
        <v>2</v>
      </c>
      <c r="CL26" s="134">
        <v>67</v>
      </c>
      <c r="CM26" s="134">
        <v>69</v>
      </c>
      <c r="CN26" s="134">
        <v>22</v>
      </c>
      <c r="CO26" s="134">
        <v>459</v>
      </c>
      <c r="CP26" s="134">
        <v>481</v>
      </c>
      <c r="CQ26" s="134">
        <v>0</v>
      </c>
      <c r="CR26" s="134">
        <v>0</v>
      </c>
      <c r="CS26" s="134">
        <v>0</v>
      </c>
      <c r="CT26" s="134">
        <v>508</v>
      </c>
      <c r="CU26" s="134">
        <v>5032</v>
      </c>
      <c r="CV26" s="134">
        <v>5540</v>
      </c>
      <c r="CW26" s="134">
        <v>36</v>
      </c>
      <c r="CX26" s="134">
        <v>190</v>
      </c>
      <c r="CY26" s="134">
        <v>226</v>
      </c>
      <c r="CZ26" s="134">
        <v>33</v>
      </c>
      <c r="DA26" s="134">
        <v>3</v>
      </c>
      <c r="DB26" s="134">
        <v>0</v>
      </c>
      <c r="DC26" s="134">
        <v>175</v>
      </c>
      <c r="DD26" s="134">
        <v>11</v>
      </c>
      <c r="DE26" s="134">
        <v>2</v>
      </c>
      <c r="DF26" s="134">
        <v>36</v>
      </c>
      <c r="DG26" s="134">
        <v>188</v>
      </c>
      <c r="DH26" s="134">
        <v>224</v>
      </c>
      <c r="DI26" s="134">
        <v>0</v>
      </c>
      <c r="DJ26" s="134">
        <v>0</v>
      </c>
      <c r="DK26" s="134">
        <v>0</v>
      </c>
      <c r="DL26" s="134">
        <v>2</v>
      </c>
      <c r="DM26" s="134">
        <v>0</v>
      </c>
      <c r="DN26" s="134">
        <v>0</v>
      </c>
      <c r="DO26" s="134">
        <v>0</v>
      </c>
      <c r="DP26" s="134">
        <v>2</v>
      </c>
      <c r="DQ26" s="134">
        <v>2</v>
      </c>
      <c r="DR26" s="134">
        <v>0</v>
      </c>
      <c r="DS26" s="134">
        <v>0</v>
      </c>
      <c r="DT26" s="135">
        <v>0</v>
      </c>
      <c r="DV26" s="136"/>
      <c r="DW26" s="137"/>
      <c r="DX26" s="136"/>
      <c r="DY26" s="136"/>
    </row>
    <row r="27" spans="1:129" s="116" customFormat="1">
      <c r="A27" s="133" t="s">
        <v>296</v>
      </c>
      <c r="B27" s="134">
        <v>78</v>
      </c>
      <c r="C27" s="134">
        <v>8</v>
      </c>
      <c r="D27" s="134">
        <v>71</v>
      </c>
      <c r="E27" s="134">
        <v>53</v>
      </c>
      <c r="F27" s="134">
        <v>0</v>
      </c>
      <c r="G27" s="134">
        <v>0</v>
      </c>
      <c r="H27" s="134">
        <v>0</v>
      </c>
      <c r="I27" s="134">
        <v>0</v>
      </c>
      <c r="J27" s="134">
        <v>15</v>
      </c>
      <c r="K27" s="134">
        <v>15</v>
      </c>
      <c r="L27" s="134">
        <v>0</v>
      </c>
      <c r="M27" s="134">
        <v>4</v>
      </c>
      <c r="N27" s="134">
        <v>4</v>
      </c>
      <c r="O27" s="134">
        <v>0</v>
      </c>
      <c r="P27" s="134">
        <v>11</v>
      </c>
      <c r="Q27" s="134">
        <v>11</v>
      </c>
      <c r="R27" s="134">
        <v>0</v>
      </c>
      <c r="S27" s="134">
        <v>0</v>
      </c>
      <c r="T27" s="134">
        <v>0</v>
      </c>
      <c r="U27" s="134">
        <v>0</v>
      </c>
      <c r="V27" s="134">
        <v>3</v>
      </c>
      <c r="W27" s="134">
        <v>3</v>
      </c>
      <c r="X27" s="134">
        <v>6</v>
      </c>
      <c r="Y27" s="134">
        <v>65</v>
      </c>
      <c r="Z27" s="134">
        <v>71</v>
      </c>
      <c r="AA27" s="134">
        <v>3</v>
      </c>
      <c r="AB27" s="134">
        <v>38</v>
      </c>
      <c r="AC27" s="134">
        <v>41</v>
      </c>
      <c r="AD27" s="134">
        <v>3</v>
      </c>
      <c r="AE27" s="134">
        <v>38</v>
      </c>
      <c r="AF27" s="134">
        <v>41</v>
      </c>
      <c r="AG27" s="134">
        <v>0</v>
      </c>
      <c r="AH27" s="134">
        <v>0</v>
      </c>
      <c r="AI27" s="134">
        <v>0</v>
      </c>
      <c r="AJ27" s="134">
        <v>0</v>
      </c>
      <c r="AK27" s="134">
        <v>0</v>
      </c>
      <c r="AL27" s="134">
        <v>0</v>
      </c>
      <c r="AM27" s="134">
        <v>3</v>
      </c>
      <c r="AN27" s="134">
        <v>27</v>
      </c>
      <c r="AO27" s="134">
        <v>30</v>
      </c>
      <c r="AP27" s="134">
        <v>87</v>
      </c>
      <c r="AQ27" s="134">
        <v>874</v>
      </c>
      <c r="AR27" s="134">
        <v>961</v>
      </c>
      <c r="AS27" s="134">
        <v>87</v>
      </c>
      <c r="AT27" s="134">
        <v>874</v>
      </c>
      <c r="AU27" s="134">
        <v>961</v>
      </c>
      <c r="AV27" s="134">
        <v>0</v>
      </c>
      <c r="AW27" s="134">
        <v>0</v>
      </c>
      <c r="AX27" s="134">
        <v>0</v>
      </c>
      <c r="AY27" s="134">
        <v>12</v>
      </c>
      <c r="AZ27" s="134">
        <v>76</v>
      </c>
      <c r="BA27" s="134">
        <v>88</v>
      </c>
      <c r="BB27" s="134">
        <v>6</v>
      </c>
      <c r="BC27" s="134">
        <v>0</v>
      </c>
      <c r="BD27" s="134">
        <v>0</v>
      </c>
      <c r="BE27" s="134">
        <v>47</v>
      </c>
      <c r="BF27" s="134">
        <v>0</v>
      </c>
      <c r="BG27" s="134">
        <v>0</v>
      </c>
      <c r="BH27" s="134">
        <v>6</v>
      </c>
      <c r="BI27" s="134">
        <v>47</v>
      </c>
      <c r="BJ27" s="134">
        <v>53</v>
      </c>
      <c r="BK27" s="134">
        <v>4</v>
      </c>
      <c r="BL27" s="134">
        <v>-4</v>
      </c>
      <c r="BM27" s="134">
        <v>0</v>
      </c>
      <c r="BN27" s="134">
        <v>1</v>
      </c>
      <c r="BO27" s="134">
        <v>9</v>
      </c>
      <c r="BP27" s="134">
        <v>10</v>
      </c>
      <c r="BQ27" s="134">
        <v>0</v>
      </c>
      <c r="BR27" s="134">
        <v>13</v>
      </c>
      <c r="BS27" s="134">
        <v>13</v>
      </c>
      <c r="BT27" s="134">
        <v>1</v>
      </c>
      <c r="BU27" s="134">
        <v>11</v>
      </c>
      <c r="BV27" s="134">
        <v>12</v>
      </c>
      <c r="BW27" s="134">
        <v>99</v>
      </c>
      <c r="BX27" s="134">
        <v>950</v>
      </c>
      <c r="BY27" s="134">
        <v>1049</v>
      </c>
      <c r="BZ27" s="134">
        <v>98</v>
      </c>
      <c r="CA27" s="134">
        <v>946</v>
      </c>
      <c r="CB27" s="134">
        <v>1044</v>
      </c>
      <c r="CC27" s="134">
        <v>1941</v>
      </c>
      <c r="CD27" s="134">
        <v>1</v>
      </c>
      <c r="CE27" s="134">
        <v>2</v>
      </c>
      <c r="CF27" s="134">
        <v>1</v>
      </c>
      <c r="CG27" s="134">
        <v>2</v>
      </c>
      <c r="CH27" s="134">
        <v>3</v>
      </c>
      <c r="CI27" s="134">
        <v>2</v>
      </c>
      <c r="CJ27" s="134">
        <v>0</v>
      </c>
      <c r="CK27" s="134">
        <v>0</v>
      </c>
      <c r="CL27" s="134">
        <v>2</v>
      </c>
      <c r="CM27" s="134">
        <v>2</v>
      </c>
      <c r="CN27" s="134">
        <v>1</v>
      </c>
      <c r="CO27" s="134">
        <v>70</v>
      </c>
      <c r="CP27" s="134">
        <v>71</v>
      </c>
      <c r="CQ27" s="134">
        <v>0</v>
      </c>
      <c r="CR27" s="134">
        <v>1</v>
      </c>
      <c r="CS27" s="134">
        <v>1</v>
      </c>
      <c r="CT27" s="134">
        <v>98</v>
      </c>
      <c r="CU27" s="134">
        <v>880</v>
      </c>
      <c r="CV27" s="134">
        <v>978</v>
      </c>
      <c r="CW27" s="134">
        <v>5</v>
      </c>
      <c r="CX27" s="134">
        <v>39</v>
      </c>
      <c r="CY27" s="134">
        <v>44</v>
      </c>
      <c r="CZ27" s="134">
        <v>5</v>
      </c>
      <c r="DA27" s="134">
        <v>0</v>
      </c>
      <c r="DB27" s="134">
        <v>0</v>
      </c>
      <c r="DC27" s="134">
        <v>39</v>
      </c>
      <c r="DD27" s="134">
        <v>0</v>
      </c>
      <c r="DE27" s="134">
        <v>0</v>
      </c>
      <c r="DF27" s="134">
        <v>5</v>
      </c>
      <c r="DG27" s="134">
        <v>39</v>
      </c>
      <c r="DH27" s="134">
        <v>44</v>
      </c>
      <c r="DI27" s="134">
        <v>0</v>
      </c>
      <c r="DJ27" s="134">
        <v>0</v>
      </c>
      <c r="DK27" s="134">
        <v>0</v>
      </c>
      <c r="DL27" s="134">
        <v>0</v>
      </c>
      <c r="DM27" s="134">
        <v>0</v>
      </c>
      <c r="DN27" s="134">
        <v>0</v>
      </c>
      <c r="DO27" s="134">
        <v>0</v>
      </c>
      <c r="DP27" s="134">
        <v>0</v>
      </c>
      <c r="DQ27" s="134">
        <v>0</v>
      </c>
      <c r="DR27" s="134">
        <v>0</v>
      </c>
      <c r="DS27" s="134">
        <v>0</v>
      </c>
      <c r="DT27" s="135">
        <v>0</v>
      </c>
      <c r="DV27" s="136"/>
      <c r="DW27" s="137"/>
      <c r="DX27" s="136"/>
      <c r="DY27" s="136"/>
    </row>
    <row r="28" spans="1:129" s="116" customFormat="1">
      <c r="A28" s="133" t="s">
        <v>297</v>
      </c>
      <c r="B28" s="134">
        <v>410</v>
      </c>
      <c r="C28" s="134">
        <v>53</v>
      </c>
      <c r="D28" s="134">
        <v>424</v>
      </c>
      <c r="E28" s="134">
        <v>321</v>
      </c>
      <c r="F28" s="134">
        <v>1</v>
      </c>
      <c r="G28" s="134">
        <v>24</v>
      </c>
      <c r="H28" s="134">
        <v>25</v>
      </c>
      <c r="I28" s="134">
        <v>0</v>
      </c>
      <c r="J28" s="134">
        <v>97</v>
      </c>
      <c r="K28" s="134">
        <v>97</v>
      </c>
      <c r="L28" s="134">
        <v>0</v>
      </c>
      <c r="M28" s="134">
        <v>36</v>
      </c>
      <c r="N28" s="134">
        <v>36</v>
      </c>
      <c r="O28" s="134">
        <v>0</v>
      </c>
      <c r="P28" s="134">
        <v>61</v>
      </c>
      <c r="Q28" s="134">
        <v>61</v>
      </c>
      <c r="R28" s="134">
        <v>0</v>
      </c>
      <c r="S28" s="134">
        <v>6</v>
      </c>
      <c r="T28" s="134">
        <v>6</v>
      </c>
      <c r="U28" s="134">
        <v>0</v>
      </c>
      <c r="V28" s="134">
        <v>6</v>
      </c>
      <c r="W28" s="134">
        <v>6</v>
      </c>
      <c r="X28" s="134">
        <v>3</v>
      </c>
      <c r="Y28" s="134">
        <v>421</v>
      </c>
      <c r="Z28" s="134">
        <v>424</v>
      </c>
      <c r="AA28" s="134">
        <v>1</v>
      </c>
      <c r="AB28" s="134">
        <v>233</v>
      </c>
      <c r="AC28" s="134">
        <v>234</v>
      </c>
      <c r="AD28" s="134">
        <v>1</v>
      </c>
      <c r="AE28" s="134">
        <v>204</v>
      </c>
      <c r="AF28" s="134">
        <v>205</v>
      </c>
      <c r="AG28" s="134">
        <v>0</v>
      </c>
      <c r="AH28" s="134">
        <v>12</v>
      </c>
      <c r="AI28" s="134">
        <v>12</v>
      </c>
      <c r="AJ28" s="134">
        <v>0</v>
      </c>
      <c r="AK28" s="134">
        <v>17</v>
      </c>
      <c r="AL28" s="134">
        <v>17</v>
      </c>
      <c r="AM28" s="134">
        <v>2</v>
      </c>
      <c r="AN28" s="134">
        <v>188</v>
      </c>
      <c r="AO28" s="134">
        <v>190</v>
      </c>
      <c r="AP28" s="134">
        <v>452</v>
      </c>
      <c r="AQ28" s="134">
        <v>5403</v>
      </c>
      <c r="AR28" s="134">
        <v>5855</v>
      </c>
      <c r="AS28" s="134">
        <v>452</v>
      </c>
      <c r="AT28" s="134">
        <v>5403</v>
      </c>
      <c r="AU28" s="134">
        <v>5855</v>
      </c>
      <c r="AV28" s="134">
        <v>0</v>
      </c>
      <c r="AW28" s="134">
        <v>0</v>
      </c>
      <c r="AX28" s="134">
        <v>0</v>
      </c>
      <c r="AY28" s="134">
        <v>21</v>
      </c>
      <c r="AZ28" s="134">
        <v>529</v>
      </c>
      <c r="BA28" s="134">
        <v>550</v>
      </c>
      <c r="BB28" s="134">
        <v>5</v>
      </c>
      <c r="BC28" s="134">
        <v>0</v>
      </c>
      <c r="BD28" s="134">
        <v>0</v>
      </c>
      <c r="BE28" s="134">
        <v>314</v>
      </c>
      <c r="BF28" s="134">
        <v>0</v>
      </c>
      <c r="BG28" s="134">
        <v>2</v>
      </c>
      <c r="BH28" s="134">
        <v>5</v>
      </c>
      <c r="BI28" s="134">
        <v>316</v>
      </c>
      <c r="BJ28" s="134">
        <v>321</v>
      </c>
      <c r="BK28" s="134">
        <v>-8</v>
      </c>
      <c r="BL28" s="134">
        <v>8</v>
      </c>
      <c r="BM28" s="134">
        <v>0</v>
      </c>
      <c r="BN28" s="134">
        <v>2</v>
      </c>
      <c r="BO28" s="134">
        <v>13</v>
      </c>
      <c r="BP28" s="134">
        <v>15</v>
      </c>
      <c r="BQ28" s="134">
        <v>2</v>
      </c>
      <c r="BR28" s="134">
        <v>77</v>
      </c>
      <c r="BS28" s="134">
        <v>79</v>
      </c>
      <c r="BT28" s="134">
        <v>20</v>
      </c>
      <c r="BU28" s="134">
        <v>115</v>
      </c>
      <c r="BV28" s="134">
        <v>135</v>
      </c>
      <c r="BW28" s="134">
        <v>473</v>
      </c>
      <c r="BX28" s="134">
        <v>5932</v>
      </c>
      <c r="BY28" s="134">
        <v>6405</v>
      </c>
      <c r="BZ28" s="134">
        <v>472</v>
      </c>
      <c r="CA28" s="134">
        <v>5872</v>
      </c>
      <c r="CB28" s="134">
        <v>6344</v>
      </c>
      <c r="CC28" s="134">
        <v>11717</v>
      </c>
      <c r="CD28" s="134">
        <v>2</v>
      </c>
      <c r="CE28" s="134">
        <v>45</v>
      </c>
      <c r="CF28" s="134">
        <v>1</v>
      </c>
      <c r="CG28" s="134">
        <v>46</v>
      </c>
      <c r="CH28" s="134">
        <v>47</v>
      </c>
      <c r="CI28" s="134">
        <v>17</v>
      </c>
      <c r="CJ28" s="134">
        <v>1</v>
      </c>
      <c r="CK28" s="134">
        <v>0</v>
      </c>
      <c r="CL28" s="134">
        <v>14</v>
      </c>
      <c r="CM28" s="134">
        <v>14</v>
      </c>
      <c r="CN28" s="134">
        <v>46</v>
      </c>
      <c r="CO28" s="134">
        <v>683</v>
      </c>
      <c r="CP28" s="134">
        <v>729</v>
      </c>
      <c r="CQ28" s="134">
        <v>0</v>
      </c>
      <c r="CR28" s="134">
        <v>1</v>
      </c>
      <c r="CS28" s="134">
        <v>1</v>
      </c>
      <c r="CT28" s="134">
        <v>427</v>
      </c>
      <c r="CU28" s="134">
        <v>5249</v>
      </c>
      <c r="CV28" s="134">
        <v>5676</v>
      </c>
      <c r="CW28" s="134">
        <v>36</v>
      </c>
      <c r="CX28" s="134">
        <v>197</v>
      </c>
      <c r="CY28" s="134">
        <v>233</v>
      </c>
      <c r="CZ28" s="134">
        <v>36</v>
      </c>
      <c r="DA28" s="134">
        <v>0</v>
      </c>
      <c r="DB28" s="134">
        <v>0</v>
      </c>
      <c r="DC28" s="134">
        <v>195</v>
      </c>
      <c r="DD28" s="134">
        <v>2</v>
      </c>
      <c r="DE28" s="134">
        <v>0</v>
      </c>
      <c r="DF28" s="134">
        <v>36</v>
      </c>
      <c r="DG28" s="134">
        <v>197</v>
      </c>
      <c r="DH28" s="134">
        <v>233</v>
      </c>
      <c r="DI28" s="134">
        <v>0</v>
      </c>
      <c r="DJ28" s="134">
        <v>0</v>
      </c>
      <c r="DK28" s="134">
        <v>0</v>
      </c>
      <c r="DL28" s="134">
        <v>0</v>
      </c>
      <c r="DM28" s="134">
        <v>0</v>
      </c>
      <c r="DN28" s="134">
        <v>0</v>
      </c>
      <c r="DO28" s="134">
        <v>0</v>
      </c>
      <c r="DP28" s="134">
        <v>0</v>
      </c>
      <c r="DQ28" s="134">
        <v>0</v>
      </c>
      <c r="DR28" s="134">
        <v>0</v>
      </c>
      <c r="DS28" s="134">
        <v>0</v>
      </c>
      <c r="DT28" s="135">
        <v>0</v>
      </c>
      <c r="DV28" s="136"/>
      <c r="DW28" s="137"/>
      <c r="DX28" s="136"/>
      <c r="DY28" s="136"/>
    </row>
    <row r="29" spans="1:129" s="116" customFormat="1">
      <c r="A29" s="133" t="s">
        <v>298</v>
      </c>
      <c r="B29" s="134">
        <v>1461</v>
      </c>
      <c r="C29" s="134">
        <v>260</v>
      </c>
      <c r="D29" s="134">
        <v>1589</v>
      </c>
      <c r="E29" s="134">
        <v>951</v>
      </c>
      <c r="F29" s="134">
        <v>2</v>
      </c>
      <c r="G29" s="134">
        <v>12</v>
      </c>
      <c r="H29" s="134">
        <v>14</v>
      </c>
      <c r="I29" s="134">
        <v>0</v>
      </c>
      <c r="J29" s="134">
        <v>526</v>
      </c>
      <c r="K29" s="134">
        <v>526</v>
      </c>
      <c r="L29" s="134">
        <v>0</v>
      </c>
      <c r="M29" s="134">
        <v>133</v>
      </c>
      <c r="N29" s="134">
        <v>133</v>
      </c>
      <c r="O29" s="134">
        <v>0</v>
      </c>
      <c r="P29" s="134">
        <v>393</v>
      </c>
      <c r="Q29" s="134">
        <v>393</v>
      </c>
      <c r="R29" s="134">
        <v>0</v>
      </c>
      <c r="S29" s="134">
        <v>9</v>
      </c>
      <c r="T29" s="134">
        <v>9</v>
      </c>
      <c r="U29" s="134">
        <v>0</v>
      </c>
      <c r="V29" s="134">
        <v>112</v>
      </c>
      <c r="W29" s="134">
        <v>112</v>
      </c>
      <c r="X29" s="134">
        <v>52</v>
      </c>
      <c r="Y29" s="134">
        <v>1537</v>
      </c>
      <c r="Z29" s="134">
        <v>1589</v>
      </c>
      <c r="AA29" s="134">
        <v>30</v>
      </c>
      <c r="AB29" s="134">
        <v>619</v>
      </c>
      <c r="AC29" s="134">
        <v>649</v>
      </c>
      <c r="AD29" s="134">
        <v>29</v>
      </c>
      <c r="AE29" s="134">
        <v>603</v>
      </c>
      <c r="AF29" s="134">
        <v>632</v>
      </c>
      <c r="AG29" s="134">
        <v>1</v>
      </c>
      <c r="AH29" s="134">
        <v>9</v>
      </c>
      <c r="AI29" s="134">
        <v>10</v>
      </c>
      <c r="AJ29" s="134">
        <v>0</v>
      </c>
      <c r="AK29" s="134">
        <v>7</v>
      </c>
      <c r="AL29" s="134">
        <v>7</v>
      </c>
      <c r="AM29" s="134">
        <v>22</v>
      </c>
      <c r="AN29" s="134">
        <v>918</v>
      </c>
      <c r="AO29" s="134">
        <v>940</v>
      </c>
      <c r="AP29" s="134">
        <v>3083</v>
      </c>
      <c r="AQ29" s="134">
        <v>18483</v>
      </c>
      <c r="AR29" s="134">
        <v>21566</v>
      </c>
      <c r="AS29" s="134">
        <v>3083</v>
      </c>
      <c r="AT29" s="134">
        <v>18484</v>
      </c>
      <c r="AU29" s="134">
        <v>21567</v>
      </c>
      <c r="AV29" s="134">
        <v>0</v>
      </c>
      <c r="AW29" s="134">
        <v>-1</v>
      </c>
      <c r="AX29" s="134">
        <v>-1</v>
      </c>
      <c r="AY29" s="134">
        <v>216</v>
      </c>
      <c r="AZ29" s="134">
        <v>1672</v>
      </c>
      <c r="BA29" s="134">
        <v>1888</v>
      </c>
      <c r="BB29" s="134">
        <v>58</v>
      </c>
      <c r="BC29" s="134">
        <v>0</v>
      </c>
      <c r="BD29" s="134">
        <v>0</v>
      </c>
      <c r="BE29" s="134">
        <v>886</v>
      </c>
      <c r="BF29" s="134">
        <v>6</v>
      </c>
      <c r="BG29" s="134">
        <v>1</v>
      </c>
      <c r="BH29" s="134">
        <v>58</v>
      </c>
      <c r="BI29" s="134">
        <v>893</v>
      </c>
      <c r="BJ29" s="134">
        <v>951</v>
      </c>
      <c r="BK29" s="134">
        <v>55</v>
      </c>
      <c r="BL29" s="134">
        <v>-55</v>
      </c>
      <c r="BM29" s="134">
        <v>0</v>
      </c>
      <c r="BN29" s="134">
        <v>17</v>
      </c>
      <c r="BO29" s="134">
        <v>43</v>
      </c>
      <c r="BP29" s="134">
        <v>60</v>
      </c>
      <c r="BQ29" s="134">
        <v>18</v>
      </c>
      <c r="BR29" s="134">
        <v>319</v>
      </c>
      <c r="BS29" s="134">
        <v>337</v>
      </c>
      <c r="BT29" s="134">
        <v>68</v>
      </c>
      <c r="BU29" s="134">
        <v>472</v>
      </c>
      <c r="BV29" s="134">
        <v>540</v>
      </c>
      <c r="BW29" s="134">
        <v>3299</v>
      </c>
      <c r="BX29" s="134">
        <v>20155</v>
      </c>
      <c r="BY29" s="134">
        <v>23454</v>
      </c>
      <c r="BZ29" s="134">
        <v>3281</v>
      </c>
      <c r="CA29" s="134">
        <v>20055</v>
      </c>
      <c r="CB29" s="134">
        <v>23336</v>
      </c>
      <c r="CC29" s="134">
        <v>53659</v>
      </c>
      <c r="CD29" s="134">
        <v>5</v>
      </c>
      <c r="CE29" s="134">
        <v>110</v>
      </c>
      <c r="CF29" s="134">
        <v>18</v>
      </c>
      <c r="CG29" s="134">
        <v>84</v>
      </c>
      <c r="CH29" s="134">
        <v>102</v>
      </c>
      <c r="CI29" s="134">
        <v>14</v>
      </c>
      <c r="CJ29" s="134">
        <v>2</v>
      </c>
      <c r="CK29" s="134">
        <v>0</v>
      </c>
      <c r="CL29" s="134">
        <v>16</v>
      </c>
      <c r="CM29" s="134">
        <v>16</v>
      </c>
      <c r="CN29" s="134">
        <v>143</v>
      </c>
      <c r="CO29" s="134">
        <v>1844</v>
      </c>
      <c r="CP29" s="134">
        <v>1987</v>
      </c>
      <c r="CQ29" s="134">
        <v>0</v>
      </c>
      <c r="CR29" s="134">
        <v>54</v>
      </c>
      <c r="CS29" s="134">
        <v>54</v>
      </c>
      <c r="CT29" s="134">
        <v>3156</v>
      </c>
      <c r="CU29" s="134">
        <v>18311</v>
      </c>
      <c r="CV29" s="134">
        <v>21467</v>
      </c>
      <c r="CW29" s="134">
        <v>194</v>
      </c>
      <c r="CX29" s="134">
        <v>1063</v>
      </c>
      <c r="CY29" s="134">
        <v>1257</v>
      </c>
      <c r="CZ29" s="134">
        <v>190</v>
      </c>
      <c r="DA29" s="134">
        <v>2</v>
      </c>
      <c r="DB29" s="134">
        <v>0</v>
      </c>
      <c r="DC29" s="134">
        <v>1045</v>
      </c>
      <c r="DD29" s="134">
        <v>6</v>
      </c>
      <c r="DE29" s="134">
        <v>0</v>
      </c>
      <c r="DF29" s="134">
        <v>192</v>
      </c>
      <c r="DG29" s="134">
        <v>1051</v>
      </c>
      <c r="DH29" s="134">
        <v>1243</v>
      </c>
      <c r="DI29" s="134">
        <v>2</v>
      </c>
      <c r="DJ29" s="134">
        <v>0</v>
      </c>
      <c r="DK29" s="134">
        <v>0</v>
      </c>
      <c r="DL29" s="134">
        <v>12</v>
      </c>
      <c r="DM29" s="134">
        <v>0</v>
      </c>
      <c r="DN29" s="134">
        <v>0</v>
      </c>
      <c r="DO29" s="134">
        <v>2</v>
      </c>
      <c r="DP29" s="134">
        <v>12</v>
      </c>
      <c r="DQ29" s="134">
        <v>14</v>
      </c>
      <c r="DR29" s="134">
        <v>0</v>
      </c>
      <c r="DS29" s="134">
        <v>0</v>
      </c>
      <c r="DT29" s="135">
        <v>0</v>
      </c>
      <c r="DV29" s="136"/>
      <c r="DW29" s="137"/>
      <c r="DX29" s="136"/>
      <c r="DY29" s="136"/>
    </row>
    <row r="30" spans="1:129" s="116" customFormat="1">
      <c r="A30" s="133" t="s">
        <v>299</v>
      </c>
      <c r="B30" s="134">
        <v>39</v>
      </c>
      <c r="C30" s="134">
        <v>7</v>
      </c>
      <c r="D30" s="134">
        <v>49</v>
      </c>
      <c r="E30" s="134">
        <v>35</v>
      </c>
      <c r="F30" s="134">
        <v>0</v>
      </c>
      <c r="G30" s="134">
        <v>4</v>
      </c>
      <c r="H30" s="134">
        <v>4</v>
      </c>
      <c r="I30" s="134">
        <v>0</v>
      </c>
      <c r="J30" s="134">
        <v>9</v>
      </c>
      <c r="K30" s="134">
        <v>9</v>
      </c>
      <c r="L30" s="134">
        <v>0</v>
      </c>
      <c r="M30" s="134">
        <v>1</v>
      </c>
      <c r="N30" s="134">
        <v>1</v>
      </c>
      <c r="O30" s="134">
        <v>0</v>
      </c>
      <c r="P30" s="134">
        <v>8</v>
      </c>
      <c r="Q30" s="134">
        <v>8</v>
      </c>
      <c r="R30" s="134">
        <v>0</v>
      </c>
      <c r="S30" s="134">
        <v>0</v>
      </c>
      <c r="T30" s="134">
        <v>0</v>
      </c>
      <c r="U30" s="134">
        <v>0</v>
      </c>
      <c r="V30" s="134">
        <v>5</v>
      </c>
      <c r="W30" s="134">
        <v>5</v>
      </c>
      <c r="X30" s="134">
        <v>1</v>
      </c>
      <c r="Y30" s="134">
        <v>48</v>
      </c>
      <c r="Z30" s="134">
        <v>49</v>
      </c>
      <c r="AA30" s="134">
        <v>1</v>
      </c>
      <c r="AB30" s="134">
        <v>24</v>
      </c>
      <c r="AC30" s="134">
        <v>25</v>
      </c>
      <c r="AD30" s="134">
        <v>1</v>
      </c>
      <c r="AE30" s="134">
        <v>22</v>
      </c>
      <c r="AF30" s="134">
        <v>23</v>
      </c>
      <c r="AG30" s="134">
        <v>0</v>
      </c>
      <c r="AH30" s="134">
        <v>2</v>
      </c>
      <c r="AI30" s="134">
        <v>2</v>
      </c>
      <c r="AJ30" s="134">
        <v>0</v>
      </c>
      <c r="AK30" s="134">
        <v>0</v>
      </c>
      <c r="AL30" s="134">
        <v>0</v>
      </c>
      <c r="AM30" s="134">
        <v>0</v>
      </c>
      <c r="AN30" s="134">
        <v>24</v>
      </c>
      <c r="AO30" s="134">
        <v>24</v>
      </c>
      <c r="AP30" s="134">
        <v>76</v>
      </c>
      <c r="AQ30" s="134">
        <v>459</v>
      </c>
      <c r="AR30" s="134">
        <v>535</v>
      </c>
      <c r="AS30" s="134">
        <v>76</v>
      </c>
      <c r="AT30" s="134">
        <v>459</v>
      </c>
      <c r="AU30" s="134">
        <v>535</v>
      </c>
      <c r="AV30" s="134">
        <v>0</v>
      </c>
      <c r="AW30" s="134">
        <v>0</v>
      </c>
      <c r="AX30" s="134">
        <v>0</v>
      </c>
      <c r="AY30" s="134">
        <v>9</v>
      </c>
      <c r="AZ30" s="134">
        <v>50</v>
      </c>
      <c r="BA30" s="134">
        <v>59</v>
      </c>
      <c r="BB30" s="134">
        <v>1</v>
      </c>
      <c r="BC30" s="134">
        <v>0</v>
      </c>
      <c r="BD30" s="134">
        <v>0</v>
      </c>
      <c r="BE30" s="134">
        <v>34</v>
      </c>
      <c r="BF30" s="134">
        <v>0</v>
      </c>
      <c r="BG30" s="134">
        <v>0</v>
      </c>
      <c r="BH30" s="134">
        <v>1</v>
      </c>
      <c r="BI30" s="134">
        <v>34</v>
      </c>
      <c r="BJ30" s="134">
        <v>35</v>
      </c>
      <c r="BK30" s="134">
        <v>3</v>
      </c>
      <c r="BL30" s="134">
        <v>-3</v>
      </c>
      <c r="BM30" s="134">
        <v>0</v>
      </c>
      <c r="BN30" s="134">
        <v>2</v>
      </c>
      <c r="BO30" s="134">
        <v>2</v>
      </c>
      <c r="BP30" s="134">
        <v>4</v>
      </c>
      <c r="BQ30" s="134">
        <v>2</v>
      </c>
      <c r="BR30" s="134">
        <v>7</v>
      </c>
      <c r="BS30" s="134">
        <v>9</v>
      </c>
      <c r="BT30" s="134">
        <v>1</v>
      </c>
      <c r="BU30" s="134">
        <v>10</v>
      </c>
      <c r="BV30" s="134">
        <v>11</v>
      </c>
      <c r="BW30" s="134">
        <v>85</v>
      </c>
      <c r="BX30" s="134">
        <v>509</v>
      </c>
      <c r="BY30" s="134">
        <v>594</v>
      </c>
      <c r="BZ30" s="134">
        <v>85</v>
      </c>
      <c r="CA30" s="134">
        <v>508</v>
      </c>
      <c r="CB30" s="134">
        <v>593</v>
      </c>
      <c r="CC30" s="134">
        <v>1236</v>
      </c>
      <c r="CD30" s="134">
        <v>0</v>
      </c>
      <c r="CE30" s="134">
        <v>1</v>
      </c>
      <c r="CF30" s="134">
        <v>0</v>
      </c>
      <c r="CG30" s="134">
        <v>1</v>
      </c>
      <c r="CH30" s="134">
        <v>1</v>
      </c>
      <c r="CI30" s="134">
        <v>0</v>
      </c>
      <c r="CJ30" s="134">
        <v>0</v>
      </c>
      <c r="CK30" s="134">
        <v>0</v>
      </c>
      <c r="CL30" s="134">
        <v>0</v>
      </c>
      <c r="CM30" s="134">
        <v>0</v>
      </c>
      <c r="CN30" s="134">
        <v>7</v>
      </c>
      <c r="CO30" s="134">
        <v>51</v>
      </c>
      <c r="CP30" s="134">
        <v>58</v>
      </c>
      <c r="CQ30" s="134">
        <v>0</v>
      </c>
      <c r="CR30" s="134">
        <v>0</v>
      </c>
      <c r="CS30" s="134">
        <v>0</v>
      </c>
      <c r="CT30" s="134">
        <v>78</v>
      </c>
      <c r="CU30" s="134">
        <v>458</v>
      </c>
      <c r="CV30" s="134">
        <v>536</v>
      </c>
      <c r="CW30" s="134">
        <v>3</v>
      </c>
      <c r="CX30" s="134">
        <v>26</v>
      </c>
      <c r="CY30" s="134">
        <v>29</v>
      </c>
      <c r="CZ30" s="134">
        <v>3</v>
      </c>
      <c r="DA30" s="134">
        <v>0</v>
      </c>
      <c r="DB30" s="134">
        <v>0</v>
      </c>
      <c r="DC30" s="134">
        <v>24</v>
      </c>
      <c r="DD30" s="134">
        <v>1</v>
      </c>
      <c r="DE30" s="134">
        <v>0</v>
      </c>
      <c r="DF30" s="134">
        <v>3</v>
      </c>
      <c r="DG30" s="134">
        <v>25</v>
      </c>
      <c r="DH30" s="134">
        <v>28</v>
      </c>
      <c r="DI30" s="134">
        <v>0</v>
      </c>
      <c r="DJ30" s="134">
        <v>0</v>
      </c>
      <c r="DK30" s="134">
        <v>0</v>
      </c>
      <c r="DL30" s="134">
        <v>1</v>
      </c>
      <c r="DM30" s="134">
        <v>0</v>
      </c>
      <c r="DN30" s="134">
        <v>0</v>
      </c>
      <c r="DO30" s="134">
        <v>0</v>
      </c>
      <c r="DP30" s="134">
        <v>1</v>
      </c>
      <c r="DQ30" s="134">
        <v>1</v>
      </c>
      <c r="DR30" s="134">
        <v>0</v>
      </c>
      <c r="DS30" s="134">
        <v>0</v>
      </c>
      <c r="DT30" s="135">
        <v>0</v>
      </c>
      <c r="DV30" s="136"/>
      <c r="DW30" s="137"/>
      <c r="DX30" s="136"/>
      <c r="DY30" s="136"/>
    </row>
    <row r="31" spans="1:129" s="116" customFormat="1">
      <c r="A31" s="133" t="s">
        <v>300</v>
      </c>
      <c r="B31" s="134">
        <v>52</v>
      </c>
      <c r="C31" s="134">
        <v>12</v>
      </c>
      <c r="D31" s="134">
        <v>57</v>
      </c>
      <c r="E31" s="134">
        <v>40</v>
      </c>
      <c r="F31" s="134">
        <v>0</v>
      </c>
      <c r="G31" s="134">
        <v>3</v>
      </c>
      <c r="H31" s="134">
        <v>3</v>
      </c>
      <c r="I31" s="134">
        <v>0</v>
      </c>
      <c r="J31" s="134">
        <v>17</v>
      </c>
      <c r="K31" s="134">
        <v>17</v>
      </c>
      <c r="L31" s="134">
        <v>0</v>
      </c>
      <c r="M31" s="134">
        <v>2</v>
      </c>
      <c r="N31" s="134">
        <v>2</v>
      </c>
      <c r="O31" s="134">
        <v>0</v>
      </c>
      <c r="P31" s="134">
        <v>15</v>
      </c>
      <c r="Q31" s="134">
        <v>15</v>
      </c>
      <c r="R31" s="134">
        <v>0</v>
      </c>
      <c r="S31" s="134">
        <v>0</v>
      </c>
      <c r="T31" s="134">
        <v>0</v>
      </c>
      <c r="U31" s="134">
        <v>0</v>
      </c>
      <c r="V31" s="134">
        <v>0</v>
      </c>
      <c r="W31" s="134">
        <v>0</v>
      </c>
      <c r="X31" s="134">
        <v>0</v>
      </c>
      <c r="Y31" s="134">
        <v>57</v>
      </c>
      <c r="Z31" s="134">
        <v>57</v>
      </c>
      <c r="AA31" s="134">
        <v>0</v>
      </c>
      <c r="AB31" s="134">
        <v>25</v>
      </c>
      <c r="AC31" s="134">
        <v>25</v>
      </c>
      <c r="AD31" s="134">
        <v>0</v>
      </c>
      <c r="AE31" s="134">
        <v>23</v>
      </c>
      <c r="AF31" s="134">
        <v>23</v>
      </c>
      <c r="AG31" s="134">
        <v>0</v>
      </c>
      <c r="AH31" s="134">
        <v>0</v>
      </c>
      <c r="AI31" s="134">
        <v>0</v>
      </c>
      <c r="AJ31" s="134">
        <v>0</v>
      </c>
      <c r="AK31" s="134">
        <v>2</v>
      </c>
      <c r="AL31" s="134">
        <v>2</v>
      </c>
      <c r="AM31" s="134">
        <v>0</v>
      </c>
      <c r="AN31" s="134">
        <v>32</v>
      </c>
      <c r="AO31" s="134">
        <v>32</v>
      </c>
      <c r="AP31" s="134">
        <v>9</v>
      </c>
      <c r="AQ31" s="134">
        <v>359</v>
      </c>
      <c r="AR31" s="134">
        <v>368</v>
      </c>
      <c r="AS31" s="134">
        <v>9</v>
      </c>
      <c r="AT31" s="134">
        <v>359</v>
      </c>
      <c r="AU31" s="134">
        <v>368</v>
      </c>
      <c r="AV31" s="134">
        <v>0</v>
      </c>
      <c r="AW31" s="134">
        <v>0</v>
      </c>
      <c r="AX31" s="134">
        <v>0</v>
      </c>
      <c r="AY31" s="134">
        <v>0</v>
      </c>
      <c r="AZ31" s="134">
        <v>58</v>
      </c>
      <c r="BA31" s="134">
        <v>58</v>
      </c>
      <c r="BB31" s="134">
        <v>0</v>
      </c>
      <c r="BC31" s="134">
        <v>0</v>
      </c>
      <c r="BD31" s="134">
        <v>0</v>
      </c>
      <c r="BE31" s="134">
        <v>40</v>
      </c>
      <c r="BF31" s="134">
        <v>0</v>
      </c>
      <c r="BG31" s="134">
        <v>0</v>
      </c>
      <c r="BH31" s="134">
        <v>0</v>
      </c>
      <c r="BI31" s="134">
        <v>40</v>
      </c>
      <c r="BJ31" s="134">
        <v>40</v>
      </c>
      <c r="BK31" s="134">
        <v>0</v>
      </c>
      <c r="BL31" s="134">
        <v>0</v>
      </c>
      <c r="BM31" s="134">
        <v>0</v>
      </c>
      <c r="BN31" s="134">
        <v>0</v>
      </c>
      <c r="BO31" s="134">
        <v>0</v>
      </c>
      <c r="BP31" s="134">
        <v>0</v>
      </c>
      <c r="BQ31" s="134">
        <v>0</v>
      </c>
      <c r="BR31" s="134">
        <v>6</v>
      </c>
      <c r="BS31" s="134">
        <v>6</v>
      </c>
      <c r="BT31" s="134">
        <v>0</v>
      </c>
      <c r="BU31" s="134">
        <v>12</v>
      </c>
      <c r="BV31" s="134">
        <v>12</v>
      </c>
      <c r="BW31" s="134">
        <v>9</v>
      </c>
      <c r="BX31" s="134">
        <v>417</v>
      </c>
      <c r="BY31" s="134">
        <v>426</v>
      </c>
      <c r="BZ31" s="134">
        <v>9</v>
      </c>
      <c r="CA31" s="134">
        <v>414</v>
      </c>
      <c r="CB31" s="134">
        <v>423</v>
      </c>
      <c r="CC31" s="134">
        <v>720</v>
      </c>
      <c r="CD31" s="134">
        <v>0</v>
      </c>
      <c r="CE31" s="134">
        <v>3</v>
      </c>
      <c r="CF31" s="134">
        <v>0</v>
      </c>
      <c r="CG31" s="134">
        <v>3</v>
      </c>
      <c r="CH31" s="134">
        <v>3</v>
      </c>
      <c r="CI31" s="134">
        <v>0</v>
      </c>
      <c r="CJ31" s="134">
        <v>0</v>
      </c>
      <c r="CK31" s="134">
        <v>0</v>
      </c>
      <c r="CL31" s="134">
        <v>0</v>
      </c>
      <c r="CM31" s="134">
        <v>0</v>
      </c>
      <c r="CN31" s="134">
        <v>1</v>
      </c>
      <c r="CO31" s="134">
        <v>47</v>
      </c>
      <c r="CP31" s="134">
        <v>48</v>
      </c>
      <c r="CQ31" s="134">
        <v>0</v>
      </c>
      <c r="CR31" s="134">
        <v>0</v>
      </c>
      <c r="CS31" s="134">
        <v>0</v>
      </c>
      <c r="CT31" s="134">
        <v>8</v>
      </c>
      <c r="CU31" s="134">
        <v>370</v>
      </c>
      <c r="CV31" s="134">
        <v>378</v>
      </c>
      <c r="CW31" s="134">
        <v>0</v>
      </c>
      <c r="CX31" s="134">
        <v>7</v>
      </c>
      <c r="CY31" s="134">
        <v>7</v>
      </c>
      <c r="CZ31" s="134">
        <v>0</v>
      </c>
      <c r="DA31" s="134">
        <v>0</v>
      </c>
      <c r="DB31" s="134">
        <v>0</v>
      </c>
      <c r="DC31" s="134">
        <v>6</v>
      </c>
      <c r="DD31" s="134">
        <v>1</v>
      </c>
      <c r="DE31" s="134">
        <v>0</v>
      </c>
      <c r="DF31" s="134">
        <v>0</v>
      </c>
      <c r="DG31" s="134">
        <v>7</v>
      </c>
      <c r="DH31" s="134">
        <v>7</v>
      </c>
      <c r="DI31" s="134">
        <v>0</v>
      </c>
      <c r="DJ31" s="134">
        <v>0</v>
      </c>
      <c r="DK31" s="134">
        <v>0</v>
      </c>
      <c r="DL31" s="134">
        <v>0</v>
      </c>
      <c r="DM31" s="134">
        <v>0</v>
      </c>
      <c r="DN31" s="134">
        <v>0</v>
      </c>
      <c r="DO31" s="134">
        <v>0</v>
      </c>
      <c r="DP31" s="134">
        <v>0</v>
      </c>
      <c r="DQ31" s="134">
        <v>0</v>
      </c>
      <c r="DR31" s="134">
        <v>0</v>
      </c>
      <c r="DS31" s="134">
        <v>0</v>
      </c>
      <c r="DT31" s="135">
        <v>0</v>
      </c>
      <c r="DV31" s="136"/>
      <c r="DW31" s="137"/>
      <c r="DX31" s="136"/>
      <c r="DY31" s="136"/>
    </row>
    <row r="32" spans="1:129" s="116" customFormat="1">
      <c r="A32" s="133" t="s">
        <v>301</v>
      </c>
      <c r="B32" s="134">
        <v>2940</v>
      </c>
      <c r="C32" s="134">
        <v>615</v>
      </c>
      <c r="D32" s="134">
        <v>3477</v>
      </c>
      <c r="E32" s="134">
        <v>2330</v>
      </c>
      <c r="F32" s="134">
        <v>2</v>
      </c>
      <c r="G32" s="134">
        <v>49</v>
      </c>
      <c r="H32" s="134">
        <v>51</v>
      </c>
      <c r="I32" s="134">
        <v>1</v>
      </c>
      <c r="J32" s="134">
        <v>1066</v>
      </c>
      <c r="K32" s="134">
        <v>1067</v>
      </c>
      <c r="L32" s="134">
        <v>1</v>
      </c>
      <c r="M32" s="134">
        <v>365</v>
      </c>
      <c r="N32" s="134">
        <v>366</v>
      </c>
      <c r="O32" s="134">
        <v>0</v>
      </c>
      <c r="P32" s="134">
        <v>701</v>
      </c>
      <c r="Q32" s="134">
        <v>701</v>
      </c>
      <c r="R32" s="134">
        <v>0</v>
      </c>
      <c r="S32" s="134">
        <v>5</v>
      </c>
      <c r="T32" s="134">
        <v>5</v>
      </c>
      <c r="U32" s="134">
        <v>0</v>
      </c>
      <c r="V32" s="134">
        <v>80</v>
      </c>
      <c r="W32" s="134">
        <v>80</v>
      </c>
      <c r="X32" s="134">
        <v>47</v>
      </c>
      <c r="Y32" s="134">
        <v>3430</v>
      </c>
      <c r="Z32" s="134">
        <v>3477</v>
      </c>
      <c r="AA32" s="134">
        <v>21</v>
      </c>
      <c r="AB32" s="134">
        <v>922</v>
      </c>
      <c r="AC32" s="134">
        <v>943</v>
      </c>
      <c r="AD32" s="134">
        <v>21</v>
      </c>
      <c r="AE32" s="134">
        <v>855</v>
      </c>
      <c r="AF32" s="134">
        <v>876</v>
      </c>
      <c r="AG32" s="134">
        <v>0</v>
      </c>
      <c r="AH32" s="134">
        <v>32</v>
      </c>
      <c r="AI32" s="134">
        <v>32</v>
      </c>
      <c r="AJ32" s="134">
        <v>0</v>
      </c>
      <c r="AK32" s="134">
        <v>35</v>
      </c>
      <c r="AL32" s="134">
        <v>35</v>
      </c>
      <c r="AM32" s="134">
        <v>26</v>
      </c>
      <c r="AN32" s="134">
        <v>2508</v>
      </c>
      <c r="AO32" s="134">
        <v>2534</v>
      </c>
      <c r="AP32" s="134">
        <v>1756</v>
      </c>
      <c r="AQ32" s="134">
        <v>15494</v>
      </c>
      <c r="AR32" s="134">
        <v>17250</v>
      </c>
      <c r="AS32" s="134">
        <v>1756</v>
      </c>
      <c r="AT32" s="134">
        <v>15495</v>
      </c>
      <c r="AU32" s="134">
        <v>17251</v>
      </c>
      <c r="AV32" s="134">
        <v>0</v>
      </c>
      <c r="AW32" s="134">
        <v>-1</v>
      </c>
      <c r="AX32" s="134">
        <v>-1</v>
      </c>
      <c r="AY32" s="134">
        <v>353</v>
      </c>
      <c r="AZ32" s="134">
        <v>3127</v>
      </c>
      <c r="BA32" s="134">
        <v>3480</v>
      </c>
      <c r="BB32" s="134">
        <v>156</v>
      </c>
      <c r="BC32" s="134">
        <v>2</v>
      </c>
      <c r="BD32" s="134">
        <v>0</v>
      </c>
      <c r="BE32" s="134">
        <v>2137</v>
      </c>
      <c r="BF32" s="134">
        <v>30</v>
      </c>
      <c r="BG32" s="134">
        <v>5</v>
      </c>
      <c r="BH32" s="134">
        <v>158</v>
      </c>
      <c r="BI32" s="134">
        <v>2172</v>
      </c>
      <c r="BJ32" s="134">
        <v>2330</v>
      </c>
      <c r="BK32" s="134">
        <v>112</v>
      </c>
      <c r="BL32" s="134">
        <v>-112</v>
      </c>
      <c r="BM32" s="134">
        <v>0</v>
      </c>
      <c r="BN32" s="134">
        <v>4</v>
      </c>
      <c r="BO32" s="134">
        <v>32</v>
      </c>
      <c r="BP32" s="134">
        <v>36</v>
      </c>
      <c r="BQ32" s="134">
        <v>11</v>
      </c>
      <c r="BR32" s="134">
        <v>154</v>
      </c>
      <c r="BS32" s="134">
        <v>165</v>
      </c>
      <c r="BT32" s="134">
        <v>68</v>
      </c>
      <c r="BU32" s="134">
        <v>881</v>
      </c>
      <c r="BV32" s="134">
        <v>949</v>
      </c>
      <c r="BW32" s="134">
        <v>2109</v>
      </c>
      <c r="BX32" s="134">
        <v>18621</v>
      </c>
      <c r="BY32" s="134">
        <v>20730</v>
      </c>
      <c r="BZ32" s="134">
        <v>2084</v>
      </c>
      <c r="CA32" s="134">
        <v>18385</v>
      </c>
      <c r="CB32" s="134">
        <v>20469</v>
      </c>
      <c r="CC32" s="134">
        <v>45489</v>
      </c>
      <c r="CD32" s="134">
        <v>9</v>
      </c>
      <c r="CE32" s="134">
        <v>248</v>
      </c>
      <c r="CF32" s="134">
        <v>25</v>
      </c>
      <c r="CG32" s="134">
        <v>201</v>
      </c>
      <c r="CH32" s="134">
        <v>226</v>
      </c>
      <c r="CI32" s="134">
        <v>37</v>
      </c>
      <c r="CJ32" s="134">
        <v>7</v>
      </c>
      <c r="CK32" s="134">
        <v>0</v>
      </c>
      <c r="CL32" s="134">
        <v>35</v>
      </c>
      <c r="CM32" s="134">
        <v>35</v>
      </c>
      <c r="CN32" s="134">
        <v>125</v>
      </c>
      <c r="CO32" s="134">
        <v>1942</v>
      </c>
      <c r="CP32" s="134">
        <v>2067</v>
      </c>
      <c r="CQ32" s="134">
        <v>0</v>
      </c>
      <c r="CR32" s="134">
        <v>5</v>
      </c>
      <c r="CS32" s="134">
        <v>5</v>
      </c>
      <c r="CT32" s="134">
        <v>1984</v>
      </c>
      <c r="CU32" s="134">
        <v>16679</v>
      </c>
      <c r="CV32" s="134">
        <v>18663</v>
      </c>
      <c r="CW32" s="134">
        <v>119</v>
      </c>
      <c r="CX32" s="134">
        <v>763</v>
      </c>
      <c r="CY32" s="134">
        <v>882</v>
      </c>
      <c r="CZ32" s="134">
        <v>117</v>
      </c>
      <c r="DA32" s="134">
        <v>1</v>
      </c>
      <c r="DB32" s="134">
        <v>0</v>
      </c>
      <c r="DC32" s="134">
        <v>743</v>
      </c>
      <c r="DD32" s="134">
        <v>10</v>
      </c>
      <c r="DE32" s="134">
        <v>0</v>
      </c>
      <c r="DF32" s="134">
        <v>118</v>
      </c>
      <c r="DG32" s="134">
        <v>753</v>
      </c>
      <c r="DH32" s="134">
        <v>871</v>
      </c>
      <c r="DI32" s="134">
        <v>0</v>
      </c>
      <c r="DJ32" s="134">
        <v>1</v>
      </c>
      <c r="DK32" s="134">
        <v>0</v>
      </c>
      <c r="DL32" s="134">
        <v>10</v>
      </c>
      <c r="DM32" s="134">
        <v>0</v>
      </c>
      <c r="DN32" s="134">
        <v>0</v>
      </c>
      <c r="DO32" s="134">
        <v>1</v>
      </c>
      <c r="DP32" s="134">
        <v>10</v>
      </c>
      <c r="DQ32" s="134">
        <v>11</v>
      </c>
      <c r="DR32" s="134">
        <v>0</v>
      </c>
      <c r="DS32" s="134">
        <v>0</v>
      </c>
      <c r="DT32" s="135">
        <v>0</v>
      </c>
      <c r="DV32" s="136"/>
      <c r="DW32" s="137"/>
      <c r="DX32" s="136"/>
      <c r="DY32" s="136"/>
    </row>
    <row r="33" spans="1:129" s="116" customFormat="1">
      <c r="A33" s="133" t="s">
        <v>302</v>
      </c>
      <c r="B33" s="134">
        <v>289</v>
      </c>
      <c r="C33" s="134">
        <v>58</v>
      </c>
      <c r="D33" s="134">
        <v>346</v>
      </c>
      <c r="E33" s="134">
        <v>180</v>
      </c>
      <c r="F33" s="134">
        <v>1</v>
      </c>
      <c r="G33" s="134">
        <v>18</v>
      </c>
      <c r="H33" s="134">
        <v>19</v>
      </c>
      <c r="I33" s="134">
        <v>0</v>
      </c>
      <c r="J33" s="134">
        <v>136</v>
      </c>
      <c r="K33" s="134">
        <v>136</v>
      </c>
      <c r="L33" s="134">
        <v>0</v>
      </c>
      <c r="M33" s="134">
        <v>25</v>
      </c>
      <c r="N33" s="134">
        <v>25</v>
      </c>
      <c r="O33" s="134">
        <v>0</v>
      </c>
      <c r="P33" s="134">
        <v>111</v>
      </c>
      <c r="Q33" s="134">
        <v>111</v>
      </c>
      <c r="R33" s="134">
        <v>0</v>
      </c>
      <c r="S33" s="134">
        <v>5</v>
      </c>
      <c r="T33" s="134">
        <v>5</v>
      </c>
      <c r="U33" s="134">
        <v>0</v>
      </c>
      <c r="V33" s="134">
        <v>30</v>
      </c>
      <c r="W33" s="134">
        <v>30</v>
      </c>
      <c r="X33" s="134">
        <v>4</v>
      </c>
      <c r="Y33" s="134">
        <v>342</v>
      </c>
      <c r="Z33" s="134">
        <v>346</v>
      </c>
      <c r="AA33" s="134">
        <v>1</v>
      </c>
      <c r="AB33" s="134">
        <v>105</v>
      </c>
      <c r="AC33" s="134">
        <v>106</v>
      </c>
      <c r="AD33" s="134">
        <v>1</v>
      </c>
      <c r="AE33" s="134">
        <v>94</v>
      </c>
      <c r="AF33" s="134">
        <v>95</v>
      </c>
      <c r="AG33" s="134">
        <v>0</v>
      </c>
      <c r="AH33" s="134">
        <v>4</v>
      </c>
      <c r="AI33" s="134">
        <v>4</v>
      </c>
      <c r="AJ33" s="134">
        <v>0</v>
      </c>
      <c r="AK33" s="134">
        <v>7</v>
      </c>
      <c r="AL33" s="134">
        <v>7</v>
      </c>
      <c r="AM33" s="134">
        <v>3</v>
      </c>
      <c r="AN33" s="134">
        <v>237</v>
      </c>
      <c r="AO33" s="134">
        <v>240</v>
      </c>
      <c r="AP33" s="134">
        <v>233</v>
      </c>
      <c r="AQ33" s="134">
        <v>2519</v>
      </c>
      <c r="AR33" s="134">
        <v>2752</v>
      </c>
      <c r="AS33" s="134">
        <v>233</v>
      </c>
      <c r="AT33" s="134">
        <v>2519</v>
      </c>
      <c r="AU33" s="134">
        <v>2752</v>
      </c>
      <c r="AV33" s="134">
        <v>0</v>
      </c>
      <c r="AW33" s="134">
        <v>0</v>
      </c>
      <c r="AX33" s="134">
        <v>0</v>
      </c>
      <c r="AY33" s="134">
        <v>10</v>
      </c>
      <c r="AZ33" s="134">
        <v>352</v>
      </c>
      <c r="BA33" s="134">
        <v>362</v>
      </c>
      <c r="BB33" s="134">
        <v>4</v>
      </c>
      <c r="BC33" s="134">
        <v>0</v>
      </c>
      <c r="BD33" s="134">
        <v>0</v>
      </c>
      <c r="BE33" s="134">
        <v>174</v>
      </c>
      <c r="BF33" s="134">
        <v>2</v>
      </c>
      <c r="BG33" s="134">
        <v>0</v>
      </c>
      <c r="BH33" s="134">
        <v>4</v>
      </c>
      <c r="BI33" s="134">
        <v>176</v>
      </c>
      <c r="BJ33" s="134">
        <v>180</v>
      </c>
      <c r="BK33" s="134">
        <v>-1</v>
      </c>
      <c r="BL33" s="134">
        <v>1</v>
      </c>
      <c r="BM33" s="134">
        <v>0</v>
      </c>
      <c r="BN33" s="134">
        <v>0</v>
      </c>
      <c r="BO33" s="134">
        <v>14</v>
      </c>
      <c r="BP33" s="134">
        <v>14</v>
      </c>
      <c r="BQ33" s="134">
        <v>2</v>
      </c>
      <c r="BR33" s="134">
        <v>9</v>
      </c>
      <c r="BS33" s="134">
        <v>11</v>
      </c>
      <c r="BT33" s="134">
        <v>5</v>
      </c>
      <c r="BU33" s="134">
        <v>152</v>
      </c>
      <c r="BV33" s="134">
        <v>157</v>
      </c>
      <c r="BW33" s="134">
        <v>243</v>
      </c>
      <c r="BX33" s="134">
        <v>2871</v>
      </c>
      <c r="BY33" s="134">
        <v>3114</v>
      </c>
      <c r="BZ33" s="134">
        <v>238</v>
      </c>
      <c r="CA33" s="134">
        <v>2815</v>
      </c>
      <c r="CB33" s="134">
        <v>3053</v>
      </c>
      <c r="CC33" s="134">
        <v>6139</v>
      </c>
      <c r="CD33" s="134">
        <v>3</v>
      </c>
      <c r="CE33" s="134">
        <v>61</v>
      </c>
      <c r="CF33" s="134">
        <v>5</v>
      </c>
      <c r="CG33" s="134">
        <v>52</v>
      </c>
      <c r="CH33" s="134">
        <v>57</v>
      </c>
      <c r="CI33" s="134">
        <v>4</v>
      </c>
      <c r="CJ33" s="134">
        <v>1</v>
      </c>
      <c r="CK33" s="134">
        <v>0</v>
      </c>
      <c r="CL33" s="134">
        <v>4</v>
      </c>
      <c r="CM33" s="134">
        <v>4</v>
      </c>
      <c r="CN33" s="134">
        <v>10</v>
      </c>
      <c r="CO33" s="134">
        <v>291</v>
      </c>
      <c r="CP33" s="134">
        <v>301</v>
      </c>
      <c r="CQ33" s="134">
        <v>0</v>
      </c>
      <c r="CR33" s="134">
        <v>2</v>
      </c>
      <c r="CS33" s="134">
        <v>2</v>
      </c>
      <c r="CT33" s="134">
        <v>233</v>
      </c>
      <c r="CU33" s="134">
        <v>2580</v>
      </c>
      <c r="CV33" s="134">
        <v>2813</v>
      </c>
      <c r="CW33" s="134">
        <v>15</v>
      </c>
      <c r="CX33" s="134">
        <v>139</v>
      </c>
      <c r="CY33" s="134">
        <v>154</v>
      </c>
      <c r="CZ33" s="134">
        <v>15</v>
      </c>
      <c r="DA33" s="134">
        <v>0</v>
      </c>
      <c r="DB33" s="134">
        <v>0</v>
      </c>
      <c r="DC33" s="134">
        <v>135</v>
      </c>
      <c r="DD33" s="134">
        <v>4</v>
      </c>
      <c r="DE33" s="134">
        <v>0</v>
      </c>
      <c r="DF33" s="134">
        <v>15</v>
      </c>
      <c r="DG33" s="134">
        <v>139</v>
      </c>
      <c r="DH33" s="134">
        <v>154</v>
      </c>
      <c r="DI33" s="134">
        <v>0</v>
      </c>
      <c r="DJ33" s="134">
        <v>0</v>
      </c>
      <c r="DK33" s="134">
        <v>0</v>
      </c>
      <c r="DL33" s="134">
        <v>0</v>
      </c>
      <c r="DM33" s="134">
        <v>0</v>
      </c>
      <c r="DN33" s="134">
        <v>0</v>
      </c>
      <c r="DO33" s="134">
        <v>0</v>
      </c>
      <c r="DP33" s="134">
        <v>0</v>
      </c>
      <c r="DQ33" s="134">
        <v>0</v>
      </c>
      <c r="DR33" s="134">
        <v>0</v>
      </c>
      <c r="DS33" s="134">
        <v>0</v>
      </c>
      <c r="DT33" s="135">
        <v>0</v>
      </c>
      <c r="DV33" s="136"/>
      <c r="DW33" s="137"/>
      <c r="DX33" s="136"/>
      <c r="DY33" s="136"/>
    </row>
    <row r="34" spans="1:129" s="116" customFormat="1">
      <c r="A34" s="133" t="s">
        <v>303</v>
      </c>
      <c r="B34" s="134">
        <v>402</v>
      </c>
      <c r="C34" s="134">
        <v>163</v>
      </c>
      <c r="D34" s="134">
        <v>318</v>
      </c>
      <c r="E34" s="134">
        <v>180</v>
      </c>
      <c r="F34" s="134">
        <v>2</v>
      </c>
      <c r="G34" s="134">
        <v>36</v>
      </c>
      <c r="H34" s="134">
        <v>38</v>
      </c>
      <c r="I34" s="134">
        <v>0</v>
      </c>
      <c r="J34" s="134">
        <v>131</v>
      </c>
      <c r="K34" s="134">
        <v>131</v>
      </c>
      <c r="L34" s="134">
        <v>0</v>
      </c>
      <c r="M34" s="134">
        <v>25</v>
      </c>
      <c r="N34" s="134">
        <v>25</v>
      </c>
      <c r="O34" s="134">
        <v>0</v>
      </c>
      <c r="P34" s="134">
        <v>106</v>
      </c>
      <c r="Q34" s="134">
        <v>106</v>
      </c>
      <c r="R34" s="134">
        <v>0</v>
      </c>
      <c r="S34" s="134">
        <v>5</v>
      </c>
      <c r="T34" s="134">
        <v>5</v>
      </c>
      <c r="U34" s="134">
        <v>0</v>
      </c>
      <c r="V34" s="134">
        <v>7</v>
      </c>
      <c r="W34" s="134">
        <v>7</v>
      </c>
      <c r="X34" s="134">
        <v>3</v>
      </c>
      <c r="Y34" s="134">
        <v>315</v>
      </c>
      <c r="Z34" s="134">
        <v>318</v>
      </c>
      <c r="AA34" s="134">
        <v>1</v>
      </c>
      <c r="AB34" s="134">
        <v>133</v>
      </c>
      <c r="AC34" s="134">
        <v>134</v>
      </c>
      <c r="AD34" s="134">
        <v>1</v>
      </c>
      <c r="AE34" s="134">
        <v>101</v>
      </c>
      <c r="AF34" s="134">
        <v>102</v>
      </c>
      <c r="AG34" s="134">
        <v>0</v>
      </c>
      <c r="AH34" s="134">
        <v>10</v>
      </c>
      <c r="AI34" s="134">
        <v>10</v>
      </c>
      <c r="AJ34" s="134">
        <v>0</v>
      </c>
      <c r="AK34" s="134">
        <v>22</v>
      </c>
      <c r="AL34" s="134">
        <v>22</v>
      </c>
      <c r="AM34" s="134">
        <v>2</v>
      </c>
      <c r="AN34" s="134">
        <v>182</v>
      </c>
      <c r="AO34" s="134">
        <v>184</v>
      </c>
      <c r="AP34" s="134">
        <v>224</v>
      </c>
      <c r="AQ34" s="134">
        <v>3521</v>
      </c>
      <c r="AR34" s="134">
        <v>3745</v>
      </c>
      <c r="AS34" s="134">
        <v>224</v>
      </c>
      <c r="AT34" s="134">
        <v>3521</v>
      </c>
      <c r="AU34" s="134">
        <v>3745</v>
      </c>
      <c r="AV34" s="134">
        <v>0</v>
      </c>
      <c r="AW34" s="134">
        <v>0</v>
      </c>
      <c r="AX34" s="134">
        <v>0</v>
      </c>
      <c r="AY34" s="134">
        <v>9</v>
      </c>
      <c r="AZ34" s="134">
        <v>332</v>
      </c>
      <c r="BA34" s="134">
        <v>341</v>
      </c>
      <c r="BB34" s="134">
        <v>6</v>
      </c>
      <c r="BC34" s="134">
        <v>0</v>
      </c>
      <c r="BD34" s="134">
        <v>0</v>
      </c>
      <c r="BE34" s="134">
        <v>174</v>
      </c>
      <c r="BF34" s="134">
        <v>0</v>
      </c>
      <c r="BG34" s="134">
        <v>0</v>
      </c>
      <c r="BH34" s="134">
        <v>6</v>
      </c>
      <c r="BI34" s="134">
        <v>174</v>
      </c>
      <c r="BJ34" s="134">
        <v>180</v>
      </c>
      <c r="BK34" s="134">
        <v>-9</v>
      </c>
      <c r="BL34" s="134">
        <v>9</v>
      </c>
      <c r="BM34" s="134">
        <v>0</v>
      </c>
      <c r="BN34" s="134">
        <v>2</v>
      </c>
      <c r="BO34" s="134">
        <v>11</v>
      </c>
      <c r="BP34" s="134">
        <v>13</v>
      </c>
      <c r="BQ34" s="134">
        <v>0</v>
      </c>
      <c r="BR34" s="134">
        <v>54</v>
      </c>
      <c r="BS34" s="134">
        <v>54</v>
      </c>
      <c r="BT34" s="134">
        <v>10</v>
      </c>
      <c r="BU34" s="134">
        <v>84</v>
      </c>
      <c r="BV34" s="134">
        <v>94</v>
      </c>
      <c r="BW34" s="134">
        <v>233</v>
      </c>
      <c r="BX34" s="134">
        <v>3853</v>
      </c>
      <c r="BY34" s="134">
        <v>4086</v>
      </c>
      <c r="BZ34" s="134">
        <v>232</v>
      </c>
      <c r="CA34" s="134">
        <v>3844</v>
      </c>
      <c r="CB34" s="134">
        <v>4076</v>
      </c>
      <c r="CC34" s="134">
        <v>7027</v>
      </c>
      <c r="CD34" s="134">
        <v>1</v>
      </c>
      <c r="CE34" s="134">
        <v>8</v>
      </c>
      <c r="CF34" s="134">
        <v>1</v>
      </c>
      <c r="CG34" s="134">
        <v>8</v>
      </c>
      <c r="CH34" s="134">
        <v>9</v>
      </c>
      <c r="CI34" s="134">
        <v>1</v>
      </c>
      <c r="CJ34" s="134">
        <v>0</v>
      </c>
      <c r="CK34" s="134">
        <v>0</v>
      </c>
      <c r="CL34" s="134">
        <v>1</v>
      </c>
      <c r="CM34" s="134">
        <v>1</v>
      </c>
      <c r="CN34" s="134">
        <v>8</v>
      </c>
      <c r="CO34" s="134">
        <v>356</v>
      </c>
      <c r="CP34" s="134">
        <v>364</v>
      </c>
      <c r="CQ34" s="134">
        <v>0</v>
      </c>
      <c r="CR34" s="134">
        <v>4</v>
      </c>
      <c r="CS34" s="134">
        <v>4</v>
      </c>
      <c r="CT34" s="134">
        <v>225</v>
      </c>
      <c r="CU34" s="134">
        <v>3497</v>
      </c>
      <c r="CV34" s="134">
        <v>3722</v>
      </c>
      <c r="CW34" s="134">
        <v>16</v>
      </c>
      <c r="CX34" s="134">
        <v>189</v>
      </c>
      <c r="CY34" s="134">
        <v>205</v>
      </c>
      <c r="CZ34" s="134">
        <v>16</v>
      </c>
      <c r="DA34" s="134">
        <v>0</v>
      </c>
      <c r="DB34" s="134">
        <v>0</v>
      </c>
      <c r="DC34" s="134">
        <v>185</v>
      </c>
      <c r="DD34" s="134">
        <v>1</v>
      </c>
      <c r="DE34" s="134">
        <v>1</v>
      </c>
      <c r="DF34" s="134">
        <v>16</v>
      </c>
      <c r="DG34" s="134">
        <v>187</v>
      </c>
      <c r="DH34" s="134">
        <v>203</v>
      </c>
      <c r="DI34" s="134">
        <v>0</v>
      </c>
      <c r="DJ34" s="134">
        <v>0</v>
      </c>
      <c r="DK34" s="134">
        <v>0</v>
      </c>
      <c r="DL34" s="134">
        <v>2</v>
      </c>
      <c r="DM34" s="134">
        <v>0</v>
      </c>
      <c r="DN34" s="134">
        <v>0</v>
      </c>
      <c r="DO34" s="134">
        <v>0</v>
      </c>
      <c r="DP34" s="134">
        <v>2</v>
      </c>
      <c r="DQ34" s="134">
        <v>2</v>
      </c>
      <c r="DR34" s="134">
        <v>0</v>
      </c>
      <c r="DS34" s="134">
        <v>0</v>
      </c>
      <c r="DT34" s="135">
        <v>0</v>
      </c>
      <c r="DV34" s="136"/>
      <c r="DW34" s="137"/>
      <c r="DX34" s="136"/>
      <c r="DY34" s="136"/>
    </row>
    <row r="35" spans="1:129" s="116" customFormat="1">
      <c r="A35" s="133" t="s">
        <v>304</v>
      </c>
      <c r="B35" s="134">
        <v>6340</v>
      </c>
      <c r="C35" s="134">
        <v>1437</v>
      </c>
      <c r="D35" s="134">
        <v>6245</v>
      </c>
      <c r="E35" s="134">
        <v>4385</v>
      </c>
      <c r="F35" s="134">
        <v>1</v>
      </c>
      <c r="G35" s="134">
        <v>18</v>
      </c>
      <c r="H35" s="134">
        <v>19</v>
      </c>
      <c r="I35" s="134">
        <v>71</v>
      </c>
      <c r="J35" s="134">
        <v>1500</v>
      </c>
      <c r="K35" s="134">
        <v>1571</v>
      </c>
      <c r="L35" s="134">
        <v>32</v>
      </c>
      <c r="M35" s="134">
        <v>675</v>
      </c>
      <c r="N35" s="134">
        <v>707</v>
      </c>
      <c r="O35" s="134">
        <v>39</v>
      </c>
      <c r="P35" s="134">
        <v>825</v>
      </c>
      <c r="Q35" s="134">
        <v>864</v>
      </c>
      <c r="R35" s="134">
        <v>2</v>
      </c>
      <c r="S35" s="134">
        <v>60</v>
      </c>
      <c r="T35" s="134">
        <v>62</v>
      </c>
      <c r="U35" s="134">
        <v>49</v>
      </c>
      <c r="V35" s="134">
        <v>240</v>
      </c>
      <c r="W35" s="134">
        <v>289</v>
      </c>
      <c r="X35" s="134">
        <v>270</v>
      </c>
      <c r="Y35" s="134">
        <v>4611</v>
      </c>
      <c r="Z35" s="134">
        <v>4881</v>
      </c>
      <c r="AA35" s="134">
        <v>72</v>
      </c>
      <c r="AB35" s="134">
        <v>1963</v>
      </c>
      <c r="AC35" s="134">
        <v>2035</v>
      </c>
      <c r="AD35" s="134">
        <v>72</v>
      </c>
      <c r="AE35" s="134">
        <v>1957</v>
      </c>
      <c r="AF35" s="134">
        <v>2029</v>
      </c>
      <c r="AG35" s="134">
        <v>0</v>
      </c>
      <c r="AH35" s="134">
        <v>5</v>
      </c>
      <c r="AI35" s="134">
        <v>5</v>
      </c>
      <c r="AJ35" s="134">
        <v>0</v>
      </c>
      <c r="AK35" s="134">
        <v>1</v>
      </c>
      <c r="AL35" s="134">
        <v>1</v>
      </c>
      <c r="AM35" s="134">
        <v>198</v>
      </c>
      <c r="AN35" s="134">
        <v>2648</v>
      </c>
      <c r="AO35" s="134">
        <v>2846</v>
      </c>
      <c r="AP35" s="134">
        <v>8686</v>
      </c>
      <c r="AQ35" s="134">
        <v>96727</v>
      </c>
      <c r="AR35" s="134">
        <v>105413</v>
      </c>
      <c r="AS35" s="134">
        <v>8724</v>
      </c>
      <c r="AT35" s="134">
        <v>96797</v>
      </c>
      <c r="AU35" s="134">
        <v>105521</v>
      </c>
      <c r="AV35" s="134">
        <v>-38</v>
      </c>
      <c r="AW35" s="134">
        <v>-70</v>
      </c>
      <c r="AX35" s="134">
        <v>-108</v>
      </c>
      <c r="AY35" s="134">
        <v>463</v>
      </c>
      <c r="AZ35" s="134">
        <v>8471</v>
      </c>
      <c r="BA35" s="134">
        <v>8934</v>
      </c>
      <c r="BB35" s="134">
        <v>223</v>
      </c>
      <c r="BC35" s="134">
        <v>6</v>
      </c>
      <c r="BD35" s="134">
        <v>0</v>
      </c>
      <c r="BE35" s="134">
        <v>4030</v>
      </c>
      <c r="BF35" s="134">
        <v>77</v>
      </c>
      <c r="BG35" s="134">
        <v>49</v>
      </c>
      <c r="BH35" s="134">
        <v>229</v>
      </c>
      <c r="BI35" s="134">
        <v>4156</v>
      </c>
      <c r="BJ35" s="134">
        <v>4385</v>
      </c>
      <c r="BK35" s="134">
        <v>-100</v>
      </c>
      <c r="BL35" s="134">
        <v>100</v>
      </c>
      <c r="BM35" s="134">
        <v>0</v>
      </c>
      <c r="BN35" s="134">
        <v>8</v>
      </c>
      <c r="BO35" s="134">
        <v>96</v>
      </c>
      <c r="BP35" s="134">
        <v>104</v>
      </c>
      <c r="BQ35" s="134">
        <v>48</v>
      </c>
      <c r="BR35" s="134">
        <v>873</v>
      </c>
      <c r="BS35" s="134">
        <v>921</v>
      </c>
      <c r="BT35" s="134">
        <v>278</v>
      </c>
      <c r="BU35" s="134">
        <v>3246</v>
      </c>
      <c r="BV35" s="134">
        <v>3524</v>
      </c>
      <c r="BW35" s="134">
        <v>9149</v>
      </c>
      <c r="BX35" s="134">
        <v>105198</v>
      </c>
      <c r="BY35" s="134">
        <v>114347</v>
      </c>
      <c r="BZ35" s="134">
        <v>8969</v>
      </c>
      <c r="CA35" s="134">
        <v>102147</v>
      </c>
      <c r="CB35" s="134">
        <v>111116</v>
      </c>
      <c r="CC35" s="134">
        <v>230618</v>
      </c>
      <c r="CD35" s="134">
        <v>269</v>
      </c>
      <c r="CE35" s="134">
        <v>2875</v>
      </c>
      <c r="CF35" s="134">
        <v>180</v>
      </c>
      <c r="CG35" s="134">
        <v>2015</v>
      </c>
      <c r="CH35" s="134">
        <v>2195</v>
      </c>
      <c r="CI35" s="134">
        <v>1402</v>
      </c>
      <c r="CJ35" s="134">
        <v>20</v>
      </c>
      <c r="CK35" s="134">
        <v>0</v>
      </c>
      <c r="CL35" s="134">
        <v>1036</v>
      </c>
      <c r="CM35" s="134">
        <v>1036</v>
      </c>
      <c r="CN35" s="134">
        <v>540</v>
      </c>
      <c r="CO35" s="134">
        <v>10618</v>
      </c>
      <c r="CP35" s="134">
        <v>11158</v>
      </c>
      <c r="CQ35" s="134">
        <v>0</v>
      </c>
      <c r="CR35" s="134">
        <v>0</v>
      </c>
      <c r="CS35" s="134">
        <v>0</v>
      </c>
      <c r="CT35" s="134">
        <v>8609</v>
      </c>
      <c r="CU35" s="134">
        <v>94580</v>
      </c>
      <c r="CV35" s="134">
        <v>103189</v>
      </c>
      <c r="CW35" s="134">
        <v>685</v>
      </c>
      <c r="CX35" s="134">
        <v>6167</v>
      </c>
      <c r="CY35" s="134">
        <v>6852</v>
      </c>
      <c r="CZ35" s="134">
        <v>659</v>
      </c>
      <c r="DA35" s="134">
        <v>10</v>
      </c>
      <c r="DB35" s="134">
        <v>0</v>
      </c>
      <c r="DC35" s="134">
        <v>4662</v>
      </c>
      <c r="DD35" s="134">
        <v>102</v>
      </c>
      <c r="DE35" s="134">
        <v>28</v>
      </c>
      <c r="DF35" s="134">
        <v>669</v>
      </c>
      <c r="DG35" s="134">
        <v>4792</v>
      </c>
      <c r="DH35" s="134">
        <v>5461</v>
      </c>
      <c r="DI35" s="134">
        <v>16</v>
      </c>
      <c r="DJ35" s="134">
        <v>0</v>
      </c>
      <c r="DK35" s="134">
        <v>0</v>
      </c>
      <c r="DL35" s="134">
        <v>1324</v>
      </c>
      <c r="DM35" s="134">
        <v>31</v>
      </c>
      <c r="DN35" s="134">
        <v>20</v>
      </c>
      <c r="DO35" s="134">
        <v>16</v>
      </c>
      <c r="DP35" s="134">
        <v>1375</v>
      </c>
      <c r="DQ35" s="134">
        <v>1391</v>
      </c>
      <c r="DR35" s="134">
        <v>1</v>
      </c>
      <c r="DS35" s="134">
        <v>2</v>
      </c>
      <c r="DT35" s="135">
        <v>3</v>
      </c>
      <c r="DV35" s="136"/>
      <c r="DW35" s="137"/>
      <c r="DX35" s="136"/>
      <c r="DY35" s="136"/>
    </row>
    <row r="36" spans="1:129" s="116" customFormat="1">
      <c r="A36" s="133" t="s">
        <v>305</v>
      </c>
      <c r="B36" s="134">
        <v>539</v>
      </c>
      <c r="C36" s="134">
        <v>242</v>
      </c>
      <c r="D36" s="134">
        <v>536</v>
      </c>
      <c r="E36" s="134">
        <v>260</v>
      </c>
      <c r="F36" s="134">
        <v>0</v>
      </c>
      <c r="G36" s="134">
        <v>3</v>
      </c>
      <c r="H36" s="134">
        <v>3</v>
      </c>
      <c r="I36" s="134">
        <v>1</v>
      </c>
      <c r="J36" s="134">
        <v>238</v>
      </c>
      <c r="K36" s="134">
        <v>239</v>
      </c>
      <c r="L36" s="134">
        <v>0</v>
      </c>
      <c r="M36" s="134">
        <v>44</v>
      </c>
      <c r="N36" s="134">
        <v>44</v>
      </c>
      <c r="O36" s="134">
        <v>1</v>
      </c>
      <c r="P36" s="134">
        <v>194</v>
      </c>
      <c r="Q36" s="134">
        <v>195</v>
      </c>
      <c r="R36" s="134">
        <v>0</v>
      </c>
      <c r="S36" s="134">
        <v>10</v>
      </c>
      <c r="T36" s="134">
        <v>10</v>
      </c>
      <c r="U36" s="134">
        <v>0</v>
      </c>
      <c r="V36" s="134">
        <v>37</v>
      </c>
      <c r="W36" s="134">
        <v>37</v>
      </c>
      <c r="X36" s="134">
        <v>4</v>
      </c>
      <c r="Y36" s="134">
        <v>383</v>
      </c>
      <c r="Z36" s="134">
        <v>387</v>
      </c>
      <c r="AA36" s="134">
        <v>1</v>
      </c>
      <c r="AB36" s="134">
        <v>203</v>
      </c>
      <c r="AC36" s="134">
        <v>204</v>
      </c>
      <c r="AD36" s="134">
        <v>1</v>
      </c>
      <c r="AE36" s="134">
        <v>184</v>
      </c>
      <c r="AF36" s="134">
        <v>185</v>
      </c>
      <c r="AG36" s="134">
        <v>0</v>
      </c>
      <c r="AH36" s="134">
        <v>10</v>
      </c>
      <c r="AI36" s="134">
        <v>10</v>
      </c>
      <c r="AJ36" s="134">
        <v>0</v>
      </c>
      <c r="AK36" s="134">
        <v>9</v>
      </c>
      <c r="AL36" s="134">
        <v>9</v>
      </c>
      <c r="AM36" s="134">
        <v>3</v>
      </c>
      <c r="AN36" s="134">
        <v>180</v>
      </c>
      <c r="AO36" s="134">
        <v>183</v>
      </c>
      <c r="AP36" s="134">
        <v>572</v>
      </c>
      <c r="AQ36" s="134">
        <v>7455</v>
      </c>
      <c r="AR36" s="134">
        <v>8027</v>
      </c>
      <c r="AS36" s="134">
        <v>557</v>
      </c>
      <c r="AT36" s="134">
        <v>7220</v>
      </c>
      <c r="AU36" s="134">
        <v>7777</v>
      </c>
      <c r="AV36" s="134">
        <v>15</v>
      </c>
      <c r="AW36" s="134">
        <v>235</v>
      </c>
      <c r="AX36" s="134">
        <v>250</v>
      </c>
      <c r="AY36" s="134">
        <v>14</v>
      </c>
      <c r="AZ36" s="134">
        <v>551</v>
      </c>
      <c r="BA36" s="134">
        <v>565</v>
      </c>
      <c r="BB36" s="134">
        <v>15</v>
      </c>
      <c r="BC36" s="134">
        <v>1</v>
      </c>
      <c r="BD36" s="134">
        <v>0</v>
      </c>
      <c r="BE36" s="134">
        <v>243</v>
      </c>
      <c r="BF36" s="134">
        <v>0</v>
      </c>
      <c r="BG36" s="134">
        <v>1</v>
      </c>
      <c r="BH36" s="134">
        <v>16</v>
      </c>
      <c r="BI36" s="134">
        <v>244</v>
      </c>
      <c r="BJ36" s="134">
        <v>260</v>
      </c>
      <c r="BK36" s="134">
        <v>-30</v>
      </c>
      <c r="BL36" s="134">
        <v>30</v>
      </c>
      <c r="BM36" s="134">
        <v>0</v>
      </c>
      <c r="BN36" s="134">
        <v>1</v>
      </c>
      <c r="BO36" s="134">
        <v>25</v>
      </c>
      <c r="BP36" s="134">
        <v>26</v>
      </c>
      <c r="BQ36" s="134">
        <v>8</v>
      </c>
      <c r="BR36" s="134">
        <v>83</v>
      </c>
      <c r="BS36" s="134">
        <v>91</v>
      </c>
      <c r="BT36" s="134">
        <v>19</v>
      </c>
      <c r="BU36" s="134">
        <v>169</v>
      </c>
      <c r="BV36" s="134">
        <v>188</v>
      </c>
      <c r="BW36" s="134">
        <v>586</v>
      </c>
      <c r="BX36" s="134">
        <v>8006</v>
      </c>
      <c r="BY36" s="134">
        <v>8592</v>
      </c>
      <c r="BZ36" s="134">
        <v>574</v>
      </c>
      <c r="CA36" s="134">
        <v>7933</v>
      </c>
      <c r="CB36" s="134">
        <v>8507</v>
      </c>
      <c r="CC36" s="134">
        <v>15620</v>
      </c>
      <c r="CD36" s="134">
        <v>1</v>
      </c>
      <c r="CE36" s="134">
        <v>86</v>
      </c>
      <c r="CF36" s="134">
        <v>11</v>
      </c>
      <c r="CG36" s="134">
        <v>45</v>
      </c>
      <c r="CH36" s="134">
        <v>56</v>
      </c>
      <c r="CI36" s="134">
        <v>36</v>
      </c>
      <c r="CJ36" s="134">
        <v>3</v>
      </c>
      <c r="CK36" s="134">
        <v>1</v>
      </c>
      <c r="CL36" s="134">
        <v>28</v>
      </c>
      <c r="CM36" s="134">
        <v>29</v>
      </c>
      <c r="CN36" s="134">
        <v>52</v>
      </c>
      <c r="CO36" s="134">
        <v>874</v>
      </c>
      <c r="CP36" s="134">
        <v>926</v>
      </c>
      <c r="CQ36" s="134">
        <v>0</v>
      </c>
      <c r="CR36" s="134">
        <v>0</v>
      </c>
      <c r="CS36" s="134">
        <v>0</v>
      </c>
      <c r="CT36" s="134">
        <v>534</v>
      </c>
      <c r="CU36" s="134">
        <v>7132</v>
      </c>
      <c r="CV36" s="134">
        <v>7666</v>
      </c>
      <c r="CW36" s="134">
        <v>39</v>
      </c>
      <c r="CX36" s="134">
        <v>291</v>
      </c>
      <c r="CY36" s="134">
        <v>330</v>
      </c>
      <c r="CZ36" s="134">
        <v>36</v>
      </c>
      <c r="DA36" s="134">
        <v>3</v>
      </c>
      <c r="DB36" s="134">
        <v>0</v>
      </c>
      <c r="DC36" s="134">
        <v>278</v>
      </c>
      <c r="DD36" s="134">
        <v>2</v>
      </c>
      <c r="DE36" s="134">
        <v>0</v>
      </c>
      <c r="DF36" s="134">
        <v>39</v>
      </c>
      <c r="DG36" s="134">
        <v>280</v>
      </c>
      <c r="DH36" s="134">
        <v>319</v>
      </c>
      <c r="DI36" s="134">
        <v>0</v>
      </c>
      <c r="DJ36" s="134">
        <v>0</v>
      </c>
      <c r="DK36" s="134">
        <v>0</v>
      </c>
      <c r="DL36" s="134">
        <v>10</v>
      </c>
      <c r="DM36" s="134">
        <v>1</v>
      </c>
      <c r="DN36" s="134">
        <v>0</v>
      </c>
      <c r="DO36" s="134">
        <v>0</v>
      </c>
      <c r="DP36" s="134">
        <v>11</v>
      </c>
      <c r="DQ36" s="134">
        <v>11</v>
      </c>
      <c r="DR36" s="134">
        <v>0</v>
      </c>
      <c r="DS36" s="134">
        <v>0</v>
      </c>
      <c r="DT36" s="135">
        <v>0</v>
      </c>
      <c r="DV36" s="136"/>
      <c r="DW36" s="137"/>
      <c r="DX36" s="136"/>
      <c r="DY36" s="136"/>
    </row>
    <row r="37" spans="1:129" s="116" customFormat="1">
      <c r="A37" s="133" t="s">
        <v>306</v>
      </c>
      <c r="B37" s="134">
        <v>80</v>
      </c>
      <c r="C37" s="134">
        <v>14</v>
      </c>
      <c r="D37" s="134">
        <v>87</v>
      </c>
      <c r="E37" s="134">
        <v>61</v>
      </c>
      <c r="F37" s="134">
        <v>0</v>
      </c>
      <c r="G37" s="134">
        <v>3</v>
      </c>
      <c r="H37" s="134">
        <v>3</v>
      </c>
      <c r="I37" s="134">
        <v>0</v>
      </c>
      <c r="J37" s="134">
        <v>26</v>
      </c>
      <c r="K37" s="134">
        <v>26</v>
      </c>
      <c r="L37" s="134">
        <v>0</v>
      </c>
      <c r="M37" s="134">
        <v>11</v>
      </c>
      <c r="N37" s="134">
        <v>11</v>
      </c>
      <c r="O37" s="134">
        <v>0</v>
      </c>
      <c r="P37" s="134">
        <v>15</v>
      </c>
      <c r="Q37" s="134">
        <v>15</v>
      </c>
      <c r="R37" s="134">
        <v>0</v>
      </c>
      <c r="S37" s="134">
        <v>0</v>
      </c>
      <c r="T37" s="134">
        <v>0</v>
      </c>
      <c r="U37" s="134">
        <v>0</v>
      </c>
      <c r="V37" s="134">
        <v>0</v>
      </c>
      <c r="W37" s="134">
        <v>0</v>
      </c>
      <c r="X37" s="134">
        <v>0</v>
      </c>
      <c r="Y37" s="134">
        <v>87</v>
      </c>
      <c r="Z37" s="134">
        <v>87</v>
      </c>
      <c r="AA37" s="134">
        <v>0</v>
      </c>
      <c r="AB37" s="134">
        <v>35</v>
      </c>
      <c r="AC37" s="134">
        <v>35</v>
      </c>
      <c r="AD37" s="134">
        <v>0</v>
      </c>
      <c r="AE37" s="134">
        <v>34</v>
      </c>
      <c r="AF37" s="134">
        <v>34</v>
      </c>
      <c r="AG37" s="134">
        <v>0</v>
      </c>
      <c r="AH37" s="134">
        <v>0</v>
      </c>
      <c r="AI37" s="134">
        <v>0</v>
      </c>
      <c r="AJ37" s="134">
        <v>0</v>
      </c>
      <c r="AK37" s="134">
        <v>1</v>
      </c>
      <c r="AL37" s="134">
        <v>1</v>
      </c>
      <c r="AM37" s="134">
        <v>0</v>
      </c>
      <c r="AN37" s="134">
        <v>52</v>
      </c>
      <c r="AO37" s="134">
        <v>52</v>
      </c>
      <c r="AP37" s="134">
        <v>61</v>
      </c>
      <c r="AQ37" s="134">
        <v>1037</v>
      </c>
      <c r="AR37" s="134">
        <v>1098</v>
      </c>
      <c r="AS37" s="134">
        <v>61</v>
      </c>
      <c r="AT37" s="134">
        <v>1037</v>
      </c>
      <c r="AU37" s="134">
        <v>1098</v>
      </c>
      <c r="AV37" s="134">
        <v>0</v>
      </c>
      <c r="AW37" s="134">
        <v>0</v>
      </c>
      <c r="AX37" s="134">
        <v>0</v>
      </c>
      <c r="AY37" s="134">
        <v>6</v>
      </c>
      <c r="AZ37" s="134">
        <v>97</v>
      </c>
      <c r="BA37" s="134">
        <v>103</v>
      </c>
      <c r="BB37" s="134">
        <v>0</v>
      </c>
      <c r="BC37" s="134">
        <v>0</v>
      </c>
      <c r="BD37" s="134">
        <v>0</v>
      </c>
      <c r="BE37" s="134">
        <v>61</v>
      </c>
      <c r="BF37" s="134">
        <v>0</v>
      </c>
      <c r="BG37" s="134">
        <v>0</v>
      </c>
      <c r="BH37" s="134">
        <v>0</v>
      </c>
      <c r="BI37" s="134">
        <v>61</v>
      </c>
      <c r="BJ37" s="134">
        <v>61</v>
      </c>
      <c r="BK37" s="134">
        <v>1</v>
      </c>
      <c r="BL37" s="134">
        <v>-1</v>
      </c>
      <c r="BM37" s="134">
        <v>0</v>
      </c>
      <c r="BN37" s="134">
        <v>0</v>
      </c>
      <c r="BO37" s="134">
        <v>6</v>
      </c>
      <c r="BP37" s="134">
        <v>6</v>
      </c>
      <c r="BQ37" s="134">
        <v>1</v>
      </c>
      <c r="BR37" s="134">
        <v>15</v>
      </c>
      <c r="BS37" s="134">
        <v>16</v>
      </c>
      <c r="BT37" s="134">
        <v>4</v>
      </c>
      <c r="BU37" s="134">
        <v>16</v>
      </c>
      <c r="BV37" s="134">
        <v>20</v>
      </c>
      <c r="BW37" s="134">
        <v>67</v>
      </c>
      <c r="BX37" s="134">
        <v>1134</v>
      </c>
      <c r="BY37" s="134">
        <v>1201</v>
      </c>
      <c r="BZ37" s="134">
        <v>67</v>
      </c>
      <c r="CA37" s="134">
        <v>1133</v>
      </c>
      <c r="CB37" s="134">
        <v>1200</v>
      </c>
      <c r="CC37" s="134">
        <v>2155</v>
      </c>
      <c r="CD37" s="134">
        <v>0</v>
      </c>
      <c r="CE37" s="134">
        <v>0</v>
      </c>
      <c r="CF37" s="134">
        <v>0</v>
      </c>
      <c r="CG37" s="134">
        <v>0</v>
      </c>
      <c r="CH37" s="134">
        <v>0</v>
      </c>
      <c r="CI37" s="134">
        <v>1</v>
      </c>
      <c r="CJ37" s="134">
        <v>0</v>
      </c>
      <c r="CK37" s="134">
        <v>0</v>
      </c>
      <c r="CL37" s="134">
        <v>1</v>
      </c>
      <c r="CM37" s="134">
        <v>1</v>
      </c>
      <c r="CN37" s="134">
        <v>3</v>
      </c>
      <c r="CO37" s="134">
        <v>85</v>
      </c>
      <c r="CP37" s="134">
        <v>88</v>
      </c>
      <c r="CQ37" s="134">
        <v>0</v>
      </c>
      <c r="CR37" s="134">
        <v>0</v>
      </c>
      <c r="CS37" s="134">
        <v>0</v>
      </c>
      <c r="CT37" s="134">
        <v>64</v>
      </c>
      <c r="CU37" s="134">
        <v>1049</v>
      </c>
      <c r="CV37" s="134">
        <v>1113</v>
      </c>
      <c r="CW37" s="134">
        <v>5</v>
      </c>
      <c r="CX37" s="134">
        <v>47</v>
      </c>
      <c r="CY37" s="134">
        <v>52</v>
      </c>
      <c r="CZ37" s="134">
        <v>5</v>
      </c>
      <c r="DA37" s="134">
        <v>0</v>
      </c>
      <c r="DB37" s="134">
        <v>0</v>
      </c>
      <c r="DC37" s="134">
        <v>46</v>
      </c>
      <c r="DD37" s="134">
        <v>0</v>
      </c>
      <c r="DE37" s="134">
        <v>0</v>
      </c>
      <c r="DF37" s="134">
        <v>5</v>
      </c>
      <c r="DG37" s="134">
        <v>46</v>
      </c>
      <c r="DH37" s="134">
        <v>51</v>
      </c>
      <c r="DI37" s="134">
        <v>0</v>
      </c>
      <c r="DJ37" s="134">
        <v>0</v>
      </c>
      <c r="DK37" s="134">
        <v>0</v>
      </c>
      <c r="DL37" s="134">
        <v>1</v>
      </c>
      <c r="DM37" s="134">
        <v>0</v>
      </c>
      <c r="DN37" s="134">
        <v>0</v>
      </c>
      <c r="DO37" s="134">
        <v>0</v>
      </c>
      <c r="DP37" s="134">
        <v>1</v>
      </c>
      <c r="DQ37" s="134">
        <v>1</v>
      </c>
      <c r="DR37" s="134">
        <v>0</v>
      </c>
      <c r="DS37" s="134">
        <v>0</v>
      </c>
      <c r="DT37" s="135">
        <v>0</v>
      </c>
      <c r="DV37" s="136"/>
      <c r="DW37" s="137"/>
      <c r="DX37" s="136"/>
      <c r="DY37" s="136"/>
    </row>
    <row r="38" spans="1:129" s="116" customFormat="1">
      <c r="A38" s="133" t="s">
        <v>307</v>
      </c>
      <c r="B38" s="134">
        <v>8429</v>
      </c>
      <c r="C38" s="134">
        <v>2512</v>
      </c>
      <c r="D38" s="134">
        <v>8500</v>
      </c>
      <c r="E38" s="134">
        <v>4629</v>
      </c>
      <c r="F38" s="134">
        <v>0</v>
      </c>
      <c r="G38" s="134">
        <v>32</v>
      </c>
      <c r="H38" s="134">
        <v>32</v>
      </c>
      <c r="I38" s="134">
        <v>2</v>
      </c>
      <c r="J38" s="134">
        <v>3611</v>
      </c>
      <c r="K38" s="134">
        <v>3613</v>
      </c>
      <c r="L38" s="134">
        <v>2</v>
      </c>
      <c r="M38" s="134">
        <v>825</v>
      </c>
      <c r="N38" s="134">
        <v>827</v>
      </c>
      <c r="O38" s="134">
        <v>0</v>
      </c>
      <c r="P38" s="134">
        <v>2786</v>
      </c>
      <c r="Q38" s="134">
        <v>2786</v>
      </c>
      <c r="R38" s="134">
        <v>0</v>
      </c>
      <c r="S38" s="134">
        <v>21</v>
      </c>
      <c r="T38" s="134">
        <v>21</v>
      </c>
      <c r="U38" s="134">
        <v>0</v>
      </c>
      <c r="V38" s="134">
        <v>258</v>
      </c>
      <c r="W38" s="134">
        <v>258</v>
      </c>
      <c r="X38" s="134">
        <v>224</v>
      </c>
      <c r="Y38" s="134">
        <v>8275</v>
      </c>
      <c r="Z38" s="134">
        <v>8499</v>
      </c>
      <c r="AA38" s="134">
        <v>136</v>
      </c>
      <c r="AB38" s="134">
        <v>3201</v>
      </c>
      <c r="AC38" s="134">
        <v>3337</v>
      </c>
      <c r="AD38" s="134">
        <v>121</v>
      </c>
      <c r="AE38" s="134">
        <v>2951</v>
      </c>
      <c r="AF38" s="134">
        <v>3072</v>
      </c>
      <c r="AG38" s="134">
        <v>12</v>
      </c>
      <c r="AH38" s="134">
        <v>156</v>
      </c>
      <c r="AI38" s="134">
        <v>168</v>
      </c>
      <c r="AJ38" s="134">
        <v>3</v>
      </c>
      <c r="AK38" s="134">
        <v>94</v>
      </c>
      <c r="AL38" s="134">
        <v>97</v>
      </c>
      <c r="AM38" s="134">
        <v>88</v>
      </c>
      <c r="AN38" s="134">
        <v>5074</v>
      </c>
      <c r="AO38" s="134">
        <v>5162</v>
      </c>
      <c r="AP38" s="134">
        <v>13569</v>
      </c>
      <c r="AQ38" s="134">
        <v>100130</v>
      </c>
      <c r="AR38" s="134">
        <v>113699</v>
      </c>
      <c r="AS38" s="134">
        <v>13569</v>
      </c>
      <c r="AT38" s="134">
        <v>100130</v>
      </c>
      <c r="AU38" s="134">
        <v>113699</v>
      </c>
      <c r="AV38" s="134">
        <v>0</v>
      </c>
      <c r="AW38" s="134">
        <v>0</v>
      </c>
      <c r="AX38" s="134">
        <v>0</v>
      </c>
      <c r="AY38" s="134">
        <v>664</v>
      </c>
      <c r="AZ38" s="134">
        <v>8312</v>
      </c>
      <c r="BA38" s="134">
        <v>8976</v>
      </c>
      <c r="BB38" s="134">
        <v>258</v>
      </c>
      <c r="BC38" s="134">
        <v>3</v>
      </c>
      <c r="BD38" s="134">
        <v>0</v>
      </c>
      <c r="BE38" s="134">
        <v>4343</v>
      </c>
      <c r="BF38" s="134">
        <v>20</v>
      </c>
      <c r="BG38" s="134">
        <v>5</v>
      </c>
      <c r="BH38" s="134">
        <v>261</v>
      </c>
      <c r="BI38" s="134">
        <v>4368</v>
      </c>
      <c r="BJ38" s="134">
        <v>4629</v>
      </c>
      <c r="BK38" s="134">
        <v>-115</v>
      </c>
      <c r="BL38" s="134">
        <v>115</v>
      </c>
      <c r="BM38" s="134">
        <v>0</v>
      </c>
      <c r="BN38" s="134">
        <v>78</v>
      </c>
      <c r="BO38" s="134">
        <v>348</v>
      </c>
      <c r="BP38" s="134">
        <v>426</v>
      </c>
      <c r="BQ38" s="134">
        <v>131</v>
      </c>
      <c r="BR38" s="134">
        <v>1670</v>
      </c>
      <c r="BS38" s="134">
        <v>1801</v>
      </c>
      <c r="BT38" s="134">
        <v>309</v>
      </c>
      <c r="BU38" s="134">
        <v>1811</v>
      </c>
      <c r="BV38" s="134">
        <v>2120</v>
      </c>
      <c r="BW38" s="134">
        <v>14233</v>
      </c>
      <c r="BX38" s="134">
        <v>108442</v>
      </c>
      <c r="BY38" s="134">
        <v>122675</v>
      </c>
      <c r="BZ38" s="134">
        <v>14114</v>
      </c>
      <c r="CA38" s="134">
        <v>107619</v>
      </c>
      <c r="CB38" s="134">
        <v>121733</v>
      </c>
      <c r="CC38" s="134">
        <v>268373</v>
      </c>
      <c r="CD38" s="134">
        <v>95</v>
      </c>
      <c r="CE38" s="134">
        <v>799</v>
      </c>
      <c r="CF38" s="134">
        <v>118</v>
      </c>
      <c r="CG38" s="134">
        <v>659</v>
      </c>
      <c r="CH38" s="134">
        <v>777</v>
      </c>
      <c r="CI38" s="134">
        <v>192</v>
      </c>
      <c r="CJ38" s="134">
        <v>20</v>
      </c>
      <c r="CK38" s="134">
        <v>1</v>
      </c>
      <c r="CL38" s="134">
        <v>164</v>
      </c>
      <c r="CM38" s="134">
        <v>165</v>
      </c>
      <c r="CN38" s="134">
        <v>950</v>
      </c>
      <c r="CO38" s="134">
        <v>11081</v>
      </c>
      <c r="CP38" s="134">
        <v>12031</v>
      </c>
      <c r="CQ38" s="134">
        <v>1</v>
      </c>
      <c r="CR38" s="134">
        <v>121</v>
      </c>
      <c r="CS38" s="134">
        <v>122</v>
      </c>
      <c r="CT38" s="134">
        <v>13283</v>
      </c>
      <c r="CU38" s="134">
        <v>97361</v>
      </c>
      <c r="CV38" s="134">
        <v>110644</v>
      </c>
      <c r="CW38" s="134">
        <v>893</v>
      </c>
      <c r="CX38" s="134">
        <v>3904</v>
      </c>
      <c r="CY38" s="134">
        <v>4797</v>
      </c>
      <c r="CZ38" s="134">
        <v>880</v>
      </c>
      <c r="DA38" s="134">
        <v>9</v>
      </c>
      <c r="DB38" s="134">
        <v>0</v>
      </c>
      <c r="DC38" s="134">
        <v>3826</v>
      </c>
      <c r="DD38" s="134">
        <v>26</v>
      </c>
      <c r="DE38" s="134">
        <v>2</v>
      </c>
      <c r="DF38" s="134">
        <v>889</v>
      </c>
      <c r="DG38" s="134">
        <v>3854</v>
      </c>
      <c r="DH38" s="134">
        <v>4743</v>
      </c>
      <c r="DI38" s="134">
        <v>4</v>
      </c>
      <c r="DJ38" s="134">
        <v>0</v>
      </c>
      <c r="DK38" s="134">
        <v>0</v>
      </c>
      <c r="DL38" s="134">
        <v>49</v>
      </c>
      <c r="DM38" s="134">
        <v>1</v>
      </c>
      <c r="DN38" s="134">
        <v>0</v>
      </c>
      <c r="DO38" s="134">
        <v>4</v>
      </c>
      <c r="DP38" s="134">
        <v>50</v>
      </c>
      <c r="DQ38" s="134">
        <v>54</v>
      </c>
      <c r="DR38" s="134">
        <v>0</v>
      </c>
      <c r="DS38" s="134">
        <v>0</v>
      </c>
      <c r="DT38" s="135">
        <v>0</v>
      </c>
      <c r="DV38" s="136"/>
      <c r="DW38" s="137"/>
      <c r="DX38" s="136"/>
      <c r="DY38" s="136"/>
    </row>
    <row r="39" spans="1:129" s="116" customFormat="1">
      <c r="A39" s="133" t="s">
        <v>308</v>
      </c>
      <c r="B39" s="134">
        <v>7154</v>
      </c>
      <c r="C39" s="134">
        <v>2353</v>
      </c>
      <c r="D39" s="134">
        <v>6503</v>
      </c>
      <c r="E39" s="134">
        <v>4037</v>
      </c>
      <c r="F39" s="134">
        <v>1</v>
      </c>
      <c r="G39" s="134">
        <v>28</v>
      </c>
      <c r="H39" s="134">
        <v>29</v>
      </c>
      <c r="I39" s="134">
        <v>2</v>
      </c>
      <c r="J39" s="134">
        <v>2279</v>
      </c>
      <c r="K39" s="134">
        <v>2281</v>
      </c>
      <c r="L39" s="134">
        <v>2</v>
      </c>
      <c r="M39" s="134">
        <v>633</v>
      </c>
      <c r="N39" s="134">
        <v>635</v>
      </c>
      <c r="O39" s="134">
        <v>0</v>
      </c>
      <c r="P39" s="134">
        <v>1646</v>
      </c>
      <c r="Q39" s="134">
        <v>1646</v>
      </c>
      <c r="R39" s="134">
        <v>0</v>
      </c>
      <c r="S39" s="134">
        <v>43</v>
      </c>
      <c r="T39" s="134">
        <v>43</v>
      </c>
      <c r="U39" s="134">
        <v>0</v>
      </c>
      <c r="V39" s="134">
        <v>185</v>
      </c>
      <c r="W39" s="134">
        <v>185</v>
      </c>
      <c r="X39" s="134">
        <v>213</v>
      </c>
      <c r="Y39" s="134">
        <v>6290</v>
      </c>
      <c r="Z39" s="134">
        <v>6503</v>
      </c>
      <c r="AA39" s="134">
        <v>104</v>
      </c>
      <c r="AB39" s="134">
        <v>1608</v>
      </c>
      <c r="AC39" s="134">
        <v>1712</v>
      </c>
      <c r="AD39" s="134">
        <v>100</v>
      </c>
      <c r="AE39" s="134">
        <v>1586</v>
      </c>
      <c r="AF39" s="134">
        <v>1686</v>
      </c>
      <c r="AG39" s="134">
        <v>4</v>
      </c>
      <c r="AH39" s="134">
        <v>17</v>
      </c>
      <c r="AI39" s="134">
        <v>21</v>
      </c>
      <c r="AJ39" s="134">
        <v>0</v>
      </c>
      <c r="AK39" s="134">
        <v>5</v>
      </c>
      <c r="AL39" s="134">
        <v>5</v>
      </c>
      <c r="AM39" s="134">
        <v>109</v>
      </c>
      <c r="AN39" s="134">
        <v>4682</v>
      </c>
      <c r="AO39" s="134">
        <v>4791</v>
      </c>
      <c r="AP39" s="134">
        <v>12908</v>
      </c>
      <c r="AQ39" s="134">
        <v>75030</v>
      </c>
      <c r="AR39" s="134">
        <v>87938</v>
      </c>
      <c r="AS39" s="134">
        <v>12384</v>
      </c>
      <c r="AT39" s="134">
        <v>75180</v>
      </c>
      <c r="AU39" s="134">
        <v>87564</v>
      </c>
      <c r="AV39" s="134">
        <v>524</v>
      </c>
      <c r="AW39" s="134">
        <v>-150</v>
      </c>
      <c r="AX39" s="134">
        <v>374</v>
      </c>
      <c r="AY39" s="134">
        <v>784</v>
      </c>
      <c r="AZ39" s="134">
        <v>8782</v>
      </c>
      <c r="BA39" s="134">
        <v>9566</v>
      </c>
      <c r="BB39" s="134">
        <v>386</v>
      </c>
      <c r="BC39" s="134">
        <v>18</v>
      </c>
      <c r="BD39" s="134">
        <v>3</v>
      </c>
      <c r="BE39" s="134">
        <v>3557</v>
      </c>
      <c r="BF39" s="134">
        <v>41</v>
      </c>
      <c r="BG39" s="134">
        <v>32</v>
      </c>
      <c r="BH39" s="134">
        <v>407</v>
      </c>
      <c r="BI39" s="134">
        <v>3630</v>
      </c>
      <c r="BJ39" s="134">
        <v>4037</v>
      </c>
      <c r="BK39" s="134">
        <v>-412</v>
      </c>
      <c r="BL39" s="134">
        <v>412</v>
      </c>
      <c r="BM39" s="134">
        <v>0</v>
      </c>
      <c r="BN39" s="134">
        <v>15</v>
      </c>
      <c r="BO39" s="134">
        <v>96</v>
      </c>
      <c r="BP39" s="134">
        <v>111</v>
      </c>
      <c r="BQ39" s="134">
        <v>103</v>
      </c>
      <c r="BR39" s="134">
        <v>1072</v>
      </c>
      <c r="BS39" s="134">
        <v>1175</v>
      </c>
      <c r="BT39" s="134">
        <v>671</v>
      </c>
      <c r="BU39" s="134">
        <v>3572</v>
      </c>
      <c r="BV39" s="134">
        <v>4243</v>
      </c>
      <c r="BW39" s="134">
        <v>13692</v>
      </c>
      <c r="BX39" s="134">
        <v>83812</v>
      </c>
      <c r="BY39" s="134">
        <v>97504</v>
      </c>
      <c r="BZ39" s="134">
        <v>13218</v>
      </c>
      <c r="CA39" s="134">
        <v>82173</v>
      </c>
      <c r="CB39" s="134">
        <v>95391</v>
      </c>
      <c r="CC39" s="134">
        <v>203049</v>
      </c>
      <c r="CD39" s="134">
        <v>124</v>
      </c>
      <c r="CE39" s="134">
        <v>2491</v>
      </c>
      <c r="CF39" s="134">
        <v>465</v>
      </c>
      <c r="CG39" s="134">
        <v>1129</v>
      </c>
      <c r="CH39" s="134">
        <v>1594</v>
      </c>
      <c r="CI39" s="134">
        <v>708</v>
      </c>
      <c r="CJ39" s="134">
        <v>20</v>
      </c>
      <c r="CK39" s="134">
        <v>9</v>
      </c>
      <c r="CL39" s="134">
        <v>510</v>
      </c>
      <c r="CM39" s="134">
        <v>519</v>
      </c>
      <c r="CN39" s="134">
        <v>1068</v>
      </c>
      <c r="CO39" s="134">
        <v>9288</v>
      </c>
      <c r="CP39" s="134">
        <v>10356</v>
      </c>
      <c r="CQ39" s="134">
        <v>0</v>
      </c>
      <c r="CR39" s="134">
        <v>0</v>
      </c>
      <c r="CS39" s="134">
        <v>0</v>
      </c>
      <c r="CT39" s="134">
        <v>12624</v>
      </c>
      <c r="CU39" s="134">
        <v>74524</v>
      </c>
      <c r="CV39" s="134">
        <v>87148</v>
      </c>
      <c r="CW39" s="134">
        <v>874</v>
      </c>
      <c r="CX39" s="134">
        <v>3794</v>
      </c>
      <c r="CY39" s="134">
        <v>4668</v>
      </c>
      <c r="CZ39" s="134">
        <v>814</v>
      </c>
      <c r="DA39" s="134">
        <v>26</v>
      </c>
      <c r="DB39" s="134">
        <v>0</v>
      </c>
      <c r="DC39" s="134">
        <v>3534</v>
      </c>
      <c r="DD39" s="134">
        <v>72</v>
      </c>
      <c r="DE39" s="134">
        <v>22</v>
      </c>
      <c r="DF39" s="134">
        <v>840</v>
      </c>
      <c r="DG39" s="134">
        <v>3628</v>
      </c>
      <c r="DH39" s="134">
        <v>4468</v>
      </c>
      <c r="DI39" s="134">
        <v>34</v>
      </c>
      <c r="DJ39" s="134">
        <v>0</v>
      </c>
      <c r="DK39" s="134">
        <v>0</v>
      </c>
      <c r="DL39" s="134">
        <v>157</v>
      </c>
      <c r="DM39" s="134">
        <v>7</v>
      </c>
      <c r="DN39" s="134">
        <v>2</v>
      </c>
      <c r="DO39" s="134">
        <v>34</v>
      </c>
      <c r="DP39" s="134">
        <v>166</v>
      </c>
      <c r="DQ39" s="134">
        <v>200</v>
      </c>
      <c r="DR39" s="134">
        <v>0</v>
      </c>
      <c r="DS39" s="134">
        <v>0</v>
      </c>
      <c r="DT39" s="135">
        <v>0</v>
      </c>
      <c r="DV39" s="136"/>
      <c r="DW39" s="137"/>
      <c r="DX39" s="136"/>
      <c r="DY39" s="136"/>
    </row>
    <row r="40" spans="1:129" s="116" customFormat="1">
      <c r="A40" s="133" t="s">
        <v>309</v>
      </c>
      <c r="B40" s="134">
        <v>174</v>
      </c>
      <c r="C40" s="134">
        <v>31</v>
      </c>
      <c r="D40" s="134">
        <v>182</v>
      </c>
      <c r="E40" s="134">
        <v>115</v>
      </c>
      <c r="F40" s="134">
        <v>0</v>
      </c>
      <c r="G40" s="134">
        <v>4</v>
      </c>
      <c r="H40" s="134">
        <v>4</v>
      </c>
      <c r="I40" s="134">
        <v>0</v>
      </c>
      <c r="J40" s="134">
        <v>59</v>
      </c>
      <c r="K40" s="134">
        <v>59</v>
      </c>
      <c r="L40" s="134">
        <v>0</v>
      </c>
      <c r="M40" s="134">
        <v>17</v>
      </c>
      <c r="N40" s="134">
        <v>17</v>
      </c>
      <c r="O40" s="134">
        <v>0</v>
      </c>
      <c r="P40" s="134">
        <v>42</v>
      </c>
      <c r="Q40" s="134">
        <v>42</v>
      </c>
      <c r="R40" s="134">
        <v>0</v>
      </c>
      <c r="S40" s="134">
        <v>3</v>
      </c>
      <c r="T40" s="134">
        <v>3</v>
      </c>
      <c r="U40" s="134">
        <v>0</v>
      </c>
      <c r="V40" s="134">
        <v>8</v>
      </c>
      <c r="W40" s="134">
        <v>8</v>
      </c>
      <c r="X40" s="134">
        <v>5</v>
      </c>
      <c r="Y40" s="134">
        <v>177</v>
      </c>
      <c r="Z40" s="134">
        <v>182</v>
      </c>
      <c r="AA40" s="134">
        <v>4</v>
      </c>
      <c r="AB40" s="134">
        <v>72</v>
      </c>
      <c r="AC40" s="134">
        <v>76</v>
      </c>
      <c r="AD40" s="134">
        <v>4</v>
      </c>
      <c r="AE40" s="134">
        <v>70</v>
      </c>
      <c r="AF40" s="134">
        <v>74</v>
      </c>
      <c r="AG40" s="134">
        <v>0</v>
      </c>
      <c r="AH40" s="134">
        <v>1</v>
      </c>
      <c r="AI40" s="134">
        <v>1</v>
      </c>
      <c r="AJ40" s="134">
        <v>0</v>
      </c>
      <c r="AK40" s="134">
        <v>1</v>
      </c>
      <c r="AL40" s="134">
        <v>1</v>
      </c>
      <c r="AM40" s="134">
        <v>1</v>
      </c>
      <c r="AN40" s="134">
        <v>105</v>
      </c>
      <c r="AO40" s="134">
        <v>106</v>
      </c>
      <c r="AP40" s="134">
        <v>237</v>
      </c>
      <c r="AQ40" s="134">
        <v>1730</v>
      </c>
      <c r="AR40" s="134">
        <v>1967</v>
      </c>
      <c r="AS40" s="134">
        <v>237</v>
      </c>
      <c r="AT40" s="134">
        <v>1730</v>
      </c>
      <c r="AU40" s="134">
        <v>1967</v>
      </c>
      <c r="AV40" s="134">
        <v>0</v>
      </c>
      <c r="AW40" s="134">
        <v>0</v>
      </c>
      <c r="AX40" s="134">
        <v>0</v>
      </c>
      <c r="AY40" s="134">
        <v>24</v>
      </c>
      <c r="AZ40" s="134">
        <v>173</v>
      </c>
      <c r="BA40" s="134">
        <v>197</v>
      </c>
      <c r="BB40" s="134">
        <v>6</v>
      </c>
      <c r="BC40" s="134">
        <v>0</v>
      </c>
      <c r="BD40" s="134">
        <v>0</v>
      </c>
      <c r="BE40" s="134">
        <v>106</v>
      </c>
      <c r="BF40" s="134">
        <v>3</v>
      </c>
      <c r="BG40" s="134">
        <v>0</v>
      </c>
      <c r="BH40" s="134">
        <v>6</v>
      </c>
      <c r="BI40" s="134">
        <v>109</v>
      </c>
      <c r="BJ40" s="134">
        <v>115</v>
      </c>
      <c r="BK40" s="134">
        <v>11</v>
      </c>
      <c r="BL40" s="134">
        <v>-11</v>
      </c>
      <c r="BM40" s="134">
        <v>0</v>
      </c>
      <c r="BN40" s="134">
        <v>2</v>
      </c>
      <c r="BO40" s="134">
        <v>3</v>
      </c>
      <c r="BP40" s="134">
        <v>5</v>
      </c>
      <c r="BQ40" s="134">
        <v>1</v>
      </c>
      <c r="BR40" s="134">
        <v>12</v>
      </c>
      <c r="BS40" s="134">
        <v>13</v>
      </c>
      <c r="BT40" s="134">
        <v>4</v>
      </c>
      <c r="BU40" s="134">
        <v>60</v>
      </c>
      <c r="BV40" s="134">
        <v>64</v>
      </c>
      <c r="BW40" s="134">
        <v>261</v>
      </c>
      <c r="BX40" s="134">
        <v>1903</v>
      </c>
      <c r="BY40" s="134">
        <v>2164</v>
      </c>
      <c r="BZ40" s="134">
        <v>260</v>
      </c>
      <c r="CA40" s="134">
        <v>1882</v>
      </c>
      <c r="CB40" s="134">
        <v>2142</v>
      </c>
      <c r="CC40" s="134">
        <v>4724</v>
      </c>
      <c r="CD40" s="134">
        <v>1</v>
      </c>
      <c r="CE40" s="134">
        <v>21</v>
      </c>
      <c r="CF40" s="134">
        <v>1</v>
      </c>
      <c r="CG40" s="134">
        <v>19</v>
      </c>
      <c r="CH40" s="134">
        <v>20</v>
      </c>
      <c r="CI40" s="134">
        <v>3</v>
      </c>
      <c r="CJ40" s="134">
        <v>0</v>
      </c>
      <c r="CK40" s="134">
        <v>0</v>
      </c>
      <c r="CL40" s="134">
        <v>2</v>
      </c>
      <c r="CM40" s="134">
        <v>2</v>
      </c>
      <c r="CN40" s="134">
        <v>21</v>
      </c>
      <c r="CO40" s="134">
        <v>185</v>
      </c>
      <c r="CP40" s="134">
        <v>206</v>
      </c>
      <c r="CQ40" s="134">
        <v>0</v>
      </c>
      <c r="CR40" s="134">
        <v>0</v>
      </c>
      <c r="CS40" s="134">
        <v>0</v>
      </c>
      <c r="CT40" s="134">
        <v>240</v>
      </c>
      <c r="CU40" s="134">
        <v>1718</v>
      </c>
      <c r="CV40" s="134">
        <v>1958</v>
      </c>
      <c r="CW40" s="134">
        <v>15</v>
      </c>
      <c r="CX40" s="134">
        <v>96</v>
      </c>
      <c r="CY40" s="134">
        <v>111</v>
      </c>
      <c r="CZ40" s="134">
        <v>14</v>
      </c>
      <c r="DA40" s="134">
        <v>0</v>
      </c>
      <c r="DB40" s="134">
        <v>0</v>
      </c>
      <c r="DC40" s="134">
        <v>91</v>
      </c>
      <c r="DD40" s="134">
        <v>2</v>
      </c>
      <c r="DE40" s="134">
        <v>0</v>
      </c>
      <c r="DF40" s="134">
        <v>14</v>
      </c>
      <c r="DG40" s="134">
        <v>93</v>
      </c>
      <c r="DH40" s="134">
        <v>107</v>
      </c>
      <c r="DI40" s="134">
        <v>1</v>
      </c>
      <c r="DJ40" s="134">
        <v>0</v>
      </c>
      <c r="DK40" s="134">
        <v>0</v>
      </c>
      <c r="DL40" s="134">
        <v>3</v>
      </c>
      <c r="DM40" s="134">
        <v>0</v>
      </c>
      <c r="DN40" s="134">
        <v>0</v>
      </c>
      <c r="DO40" s="134">
        <v>1</v>
      </c>
      <c r="DP40" s="134">
        <v>3</v>
      </c>
      <c r="DQ40" s="134">
        <v>4</v>
      </c>
      <c r="DR40" s="134">
        <v>0</v>
      </c>
      <c r="DS40" s="134">
        <v>0</v>
      </c>
      <c r="DT40" s="135">
        <v>0</v>
      </c>
      <c r="DV40" s="136"/>
      <c r="DW40" s="137"/>
      <c r="DX40" s="136"/>
      <c r="DY40" s="136"/>
    </row>
    <row r="41" spans="1:129" s="116" customFormat="1">
      <c r="A41" s="133" t="s">
        <v>310</v>
      </c>
      <c r="B41" s="134">
        <v>10060</v>
      </c>
      <c r="C41" s="134">
        <v>2786</v>
      </c>
      <c r="D41" s="134">
        <v>10435</v>
      </c>
      <c r="E41" s="134">
        <v>7206</v>
      </c>
      <c r="F41" s="134">
        <v>2</v>
      </c>
      <c r="G41" s="134">
        <v>41</v>
      </c>
      <c r="H41" s="134">
        <v>43</v>
      </c>
      <c r="I41" s="134">
        <v>0</v>
      </c>
      <c r="J41" s="134">
        <v>2971</v>
      </c>
      <c r="K41" s="134">
        <v>2971</v>
      </c>
      <c r="L41" s="134">
        <v>0</v>
      </c>
      <c r="M41" s="134">
        <v>1073</v>
      </c>
      <c r="N41" s="134">
        <v>1073</v>
      </c>
      <c r="O41" s="134">
        <v>0</v>
      </c>
      <c r="P41" s="134">
        <v>1898</v>
      </c>
      <c r="Q41" s="134">
        <v>1898</v>
      </c>
      <c r="R41" s="134">
        <v>0</v>
      </c>
      <c r="S41" s="134">
        <v>18</v>
      </c>
      <c r="T41" s="134">
        <v>18</v>
      </c>
      <c r="U41" s="134">
        <v>0</v>
      </c>
      <c r="V41" s="134">
        <v>258</v>
      </c>
      <c r="W41" s="134">
        <v>258</v>
      </c>
      <c r="X41" s="134">
        <v>318</v>
      </c>
      <c r="Y41" s="134">
        <v>10117</v>
      </c>
      <c r="Z41" s="134">
        <v>10435</v>
      </c>
      <c r="AA41" s="134">
        <v>238</v>
      </c>
      <c r="AB41" s="134">
        <v>4626</v>
      </c>
      <c r="AC41" s="134">
        <v>4864</v>
      </c>
      <c r="AD41" s="134">
        <v>219</v>
      </c>
      <c r="AE41" s="134">
        <v>4377</v>
      </c>
      <c r="AF41" s="134">
        <v>4596</v>
      </c>
      <c r="AG41" s="134">
        <v>15</v>
      </c>
      <c r="AH41" s="134">
        <v>138</v>
      </c>
      <c r="AI41" s="134">
        <v>153</v>
      </c>
      <c r="AJ41" s="134">
        <v>4</v>
      </c>
      <c r="AK41" s="134">
        <v>111</v>
      </c>
      <c r="AL41" s="134">
        <v>115</v>
      </c>
      <c r="AM41" s="134">
        <v>80</v>
      </c>
      <c r="AN41" s="134">
        <v>5491</v>
      </c>
      <c r="AO41" s="134">
        <v>5571</v>
      </c>
      <c r="AP41" s="134">
        <v>20821</v>
      </c>
      <c r="AQ41" s="134">
        <v>132432</v>
      </c>
      <c r="AR41" s="134">
        <v>153253</v>
      </c>
      <c r="AS41" s="134">
        <v>20822</v>
      </c>
      <c r="AT41" s="134">
        <v>132432</v>
      </c>
      <c r="AU41" s="134">
        <v>153254</v>
      </c>
      <c r="AV41" s="134">
        <v>-1</v>
      </c>
      <c r="AW41" s="134">
        <v>0</v>
      </c>
      <c r="AX41" s="134">
        <v>-1</v>
      </c>
      <c r="AY41" s="134">
        <v>1062</v>
      </c>
      <c r="AZ41" s="134">
        <v>10887</v>
      </c>
      <c r="BA41" s="134">
        <v>11949</v>
      </c>
      <c r="BB41" s="134">
        <v>387</v>
      </c>
      <c r="BC41" s="134">
        <v>1</v>
      </c>
      <c r="BD41" s="134">
        <v>0</v>
      </c>
      <c r="BE41" s="134">
        <v>6767</v>
      </c>
      <c r="BF41" s="134">
        <v>33</v>
      </c>
      <c r="BG41" s="134">
        <v>18</v>
      </c>
      <c r="BH41" s="134">
        <v>388</v>
      </c>
      <c r="BI41" s="134">
        <v>6818</v>
      </c>
      <c r="BJ41" s="134">
        <v>7206</v>
      </c>
      <c r="BK41" s="134">
        <v>-77</v>
      </c>
      <c r="BL41" s="134">
        <v>77</v>
      </c>
      <c r="BM41" s="134">
        <v>0</v>
      </c>
      <c r="BN41" s="134">
        <v>64</v>
      </c>
      <c r="BO41" s="134">
        <v>275</v>
      </c>
      <c r="BP41" s="134">
        <v>339</v>
      </c>
      <c r="BQ41" s="134">
        <v>77</v>
      </c>
      <c r="BR41" s="134">
        <v>1273</v>
      </c>
      <c r="BS41" s="134">
        <v>1350</v>
      </c>
      <c r="BT41" s="134">
        <v>610</v>
      </c>
      <c r="BU41" s="134">
        <v>2444</v>
      </c>
      <c r="BV41" s="134">
        <v>3054</v>
      </c>
      <c r="BW41" s="134">
        <v>21883</v>
      </c>
      <c r="BX41" s="134">
        <v>143319</v>
      </c>
      <c r="BY41" s="134">
        <v>165202</v>
      </c>
      <c r="BZ41" s="134">
        <v>21757</v>
      </c>
      <c r="CA41" s="134">
        <v>142136</v>
      </c>
      <c r="CB41" s="134">
        <v>163893</v>
      </c>
      <c r="CC41" s="134">
        <v>356349</v>
      </c>
      <c r="CD41" s="134">
        <v>104</v>
      </c>
      <c r="CE41" s="134">
        <v>1066</v>
      </c>
      <c r="CF41" s="134">
        <v>120</v>
      </c>
      <c r="CG41" s="134">
        <v>884</v>
      </c>
      <c r="CH41" s="134">
        <v>1004</v>
      </c>
      <c r="CI41" s="134">
        <v>359</v>
      </c>
      <c r="CJ41" s="134">
        <v>48</v>
      </c>
      <c r="CK41" s="134">
        <v>6</v>
      </c>
      <c r="CL41" s="134">
        <v>299</v>
      </c>
      <c r="CM41" s="134">
        <v>305</v>
      </c>
      <c r="CN41" s="134">
        <v>1717</v>
      </c>
      <c r="CO41" s="134">
        <v>15157</v>
      </c>
      <c r="CP41" s="134">
        <v>16874</v>
      </c>
      <c r="CQ41" s="134">
        <v>1</v>
      </c>
      <c r="CR41" s="134">
        <v>17</v>
      </c>
      <c r="CS41" s="134">
        <v>18</v>
      </c>
      <c r="CT41" s="134">
        <v>20166</v>
      </c>
      <c r="CU41" s="134">
        <v>128162</v>
      </c>
      <c r="CV41" s="134">
        <v>148328</v>
      </c>
      <c r="CW41" s="134">
        <v>1197</v>
      </c>
      <c r="CX41" s="134">
        <v>4937</v>
      </c>
      <c r="CY41" s="134">
        <v>6134</v>
      </c>
      <c r="CZ41" s="134">
        <v>1189</v>
      </c>
      <c r="DA41" s="134">
        <v>8</v>
      </c>
      <c r="DB41" s="134">
        <v>0</v>
      </c>
      <c r="DC41" s="134">
        <v>4866</v>
      </c>
      <c r="DD41" s="134">
        <v>32</v>
      </c>
      <c r="DE41" s="134">
        <v>6</v>
      </c>
      <c r="DF41" s="134">
        <v>1197</v>
      </c>
      <c r="DG41" s="134">
        <v>4904</v>
      </c>
      <c r="DH41" s="134">
        <v>6101</v>
      </c>
      <c r="DI41" s="134">
        <v>0</v>
      </c>
      <c r="DJ41" s="134">
        <v>0</v>
      </c>
      <c r="DK41" s="134">
        <v>0</v>
      </c>
      <c r="DL41" s="134">
        <v>31</v>
      </c>
      <c r="DM41" s="134">
        <v>2</v>
      </c>
      <c r="DN41" s="134">
        <v>0</v>
      </c>
      <c r="DO41" s="134">
        <v>0</v>
      </c>
      <c r="DP41" s="134">
        <v>33</v>
      </c>
      <c r="DQ41" s="134">
        <v>33</v>
      </c>
      <c r="DR41" s="134">
        <v>0</v>
      </c>
      <c r="DS41" s="134">
        <v>0</v>
      </c>
      <c r="DT41" s="135">
        <v>0</v>
      </c>
      <c r="DV41" s="136"/>
      <c r="DW41" s="137"/>
      <c r="DX41" s="136"/>
      <c r="DY41" s="136"/>
    </row>
    <row r="42" spans="1:129" s="116" customFormat="1">
      <c r="A42" s="133" t="s">
        <v>311</v>
      </c>
      <c r="B42" s="134">
        <v>10584</v>
      </c>
      <c r="C42" s="134">
        <v>4254</v>
      </c>
      <c r="D42" s="134">
        <v>11332</v>
      </c>
      <c r="E42" s="134">
        <v>5984</v>
      </c>
      <c r="F42" s="134">
        <v>7</v>
      </c>
      <c r="G42" s="134">
        <v>139</v>
      </c>
      <c r="H42" s="134">
        <v>146</v>
      </c>
      <c r="I42" s="134">
        <v>6</v>
      </c>
      <c r="J42" s="134">
        <v>4897</v>
      </c>
      <c r="K42" s="134">
        <v>4903</v>
      </c>
      <c r="L42" s="134">
        <v>6</v>
      </c>
      <c r="M42" s="134">
        <v>4891</v>
      </c>
      <c r="N42" s="134">
        <v>4897</v>
      </c>
      <c r="O42" s="134">
        <v>0</v>
      </c>
      <c r="P42" s="134">
        <v>6</v>
      </c>
      <c r="Q42" s="134">
        <v>6</v>
      </c>
      <c r="R42" s="134">
        <v>0</v>
      </c>
      <c r="S42" s="134">
        <v>422</v>
      </c>
      <c r="T42" s="134">
        <v>422</v>
      </c>
      <c r="U42" s="134">
        <v>0</v>
      </c>
      <c r="V42" s="134">
        <v>445</v>
      </c>
      <c r="W42" s="134">
        <v>445</v>
      </c>
      <c r="X42" s="134">
        <v>100</v>
      </c>
      <c r="Y42" s="134">
        <v>6556</v>
      </c>
      <c r="Z42" s="134">
        <v>6656</v>
      </c>
      <c r="AA42" s="134">
        <v>48</v>
      </c>
      <c r="AB42" s="134">
        <v>2134</v>
      </c>
      <c r="AC42" s="134">
        <v>2182</v>
      </c>
      <c r="AD42" s="134">
        <v>45</v>
      </c>
      <c r="AE42" s="134">
        <v>2043</v>
      </c>
      <c r="AF42" s="134">
        <v>2088</v>
      </c>
      <c r="AG42" s="134">
        <v>2</v>
      </c>
      <c r="AH42" s="134">
        <v>58</v>
      </c>
      <c r="AI42" s="134">
        <v>60</v>
      </c>
      <c r="AJ42" s="134">
        <v>1</v>
      </c>
      <c r="AK42" s="134">
        <v>33</v>
      </c>
      <c r="AL42" s="134">
        <v>34</v>
      </c>
      <c r="AM42" s="134">
        <v>52</v>
      </c>
      <c r="AN42" s="134">
        <v>4422</v>
      </c>
      <c r="AO42" s="134">
        <v>4474</v>
      </c>
      <c r="AP42" s="134">
        <v>10512</v>
      </c>
      <c r="AQ42" s="134">
        <v>112761</v>
      </c>
      <c r="AR42" s="134">
        <v>123273</v>
      </c>
      <c r="AS42" s="134">
        <v>10494</v>
      </c>
      <c r="AT42" s="134">
        <v>112250</v>
      </c>
      <c r="AU42" s="134">
        <v>122744</v>
      </c>
      <c r="AV42" s="134">
        <v>18</v>
      </c>
      <c r="AW42" s="134">
        <v>511</v>
      </c>
      <c r="AX42" s="134">
        <v>529</v>
      </c>
      <c r="AY42" s="134">
        <v>610</v>
      </c>
      <c r="AZ42" s="134">
        <v>10358</v>
      </c>
      <c r="BA42" s="134">
        <v>10968</v>
      </c>
      <c r="BB42" s="134">
        <v>191</v>
      </c>
      <c r="BC42" s="134">
        <v>3</v>
      </c>
      <c r="BD42" s="134">
        <v>1</v>
      </c>
      <c r="BE42" s="134">
        <v>5683</v>
      </c>
      <c r="BF42" s="134">
        <v>79</v>
      </c>
      <c r="BG42" s="134">
        <v>27</v>
      </c>
      <c r="BH42" s="134">
        <v>195</v>
      </c>
      <c r="BI42" s="134">
        <v>5789</v>
      </c>
      <c r="BJ42" s="134">
        <v>5984</v>
      </c>
      <c r="BK42" s="134">
        <v>-87</v>
      </c>
      <c r="BL42" s="134">
        <v>87</v>
      </c>
      <c r="BM42" s="134">
        <v>0</v>
      </c>
      <c r="BN42" s="134">
        <v>14</v>
      </c>
      <c r="BO42" s="134">
        <v>128</v>
      </c>
      <c r="BP42" s="134">
        <v>142</v>
      </c>
      <c r="BQ42" s="134">
        <v>15</v>
      </c>
      <c r="BR42" s="134">
        <v>329</v>
      </c>
      <c r="BS42" s="134">
        <v>344</v>
      </c>
      <c r="BT42" s="134">
        <v>473</v>
      </c>
      <c r="BU42" s="134">
        <v>4025</v>
      </c>
      <c r="BV42" s="134">
        <v>4498</v>
      </c>
      <c r="BW42" s="134">
        <v>11122</v>
      </c>
      <c r="BX42" s="134">
        <v>123119</v>
      </c>
      <c r="BY42" s="134">
        <v>134241</v>
      </c>
      <c r="BZ42" s="134">
        <v>10810</v>
      </c>
      <c r="CA42" s="134">
        <v>120895</v>
      </c>
      <c r="CB42" s="134">
        <v>131705</v>
      </c>
      <c r="CC42" s="134">
        <v>267868</v>
      </c>
      <c r="CD42" s="134">
        <v>232</v>
      </c>
      <c r="CE42" s="134">
        <v>2391</v>
      </c>
      <c r="CF42" s="134">
        <v>305</v>
      </c>
      <c r="CG42" s="134">
        <v>1640</v>
      </c>
      <c r="CH42" s="134">
        <v>1945</v>
      </c>
      <c r="CI42" s="134">
        <v>728</v>
      </c>
      <c r="CJ42" s="134">
        <v>27</v>
      </c>
      <c r="CK42" s="134">
        <v>7</v>
      </c>
      <c r="CL42" s="134">
        <v>584</v>
      </c>
      <c r="CM42" s="134">
        <v>591</v>
      </c>
      <c r="CN42" s="134">
        <v>881</v>
      </c>
      <c r="CO42" s="134">
        <v>12345</v>
      </c>
      <c r="CP42" s="134">
        <v>13226</v>
      </c>
      <c r="CQ42" s="134">
        <v>0</v>
      </c>
      <c r="CR42" s="134">
        <v>11</v>
      </c>
      <c r="CS42" s="134">
        <v>11</v>
      </c>
      <c r="CT42" s="134">
        <v>10241</v>
      </c>
      <c r="CU42" s="134">
        <v>110774</v>
      </c>
      <c r="CV42" s="134">
        <v>121015</v>
      </c>
      <c r="CW42" s="134">
        <v>735</v>
      </c>
      <c r="CX42" s="134">
        <v>5631</v>
      </c>
      <c r="CY42" s="134">
        <v>6366</v>
      </c>
      <c r="CZ42" s="134">
        <v>661</v>
      </c>
      <c r="DA42" s="134">
        <v>23</v>
      </c>
      <c r="DB42" s="134">
        <v>0</v>
      </c>
      <c r="DC42" s="134">
        <v>4930</v>
      </c>
      <c r="DD42" s="134">
        <v>83</v>
      </c>
      <c r="DE42" s="134">
        <v>16</v>
      </c>
      <c r="DF42" s="134">
        <v>684</v>
      </c>
      <c r="DG42" s="134">
        <v>5029</v>
      </c>
      <c r="DH42" s="134">
        <v>5713</v>
      </c>
      <c r="DI42" s="134">
        <v>49</v>
      </c>
      <c r="DJ42" s="134">
        <v>2</v>
      </c>
      <c r="DK42" s="134">
        <v>0</v>
      </c>
      <c r="DL42" s="134">
        <v>583</v>
      </c>
      <c r="DM42" s="134">
        <v>16</v>
      </c>
      <c r="DN42" s="134">
        <v>3</v>
      </c>
      <c r="DO42" s="134">
        <v>51</v>
      </c>
      <c r="DP42" s="134">
        <v>602</v>
      </c>
      <c r="DQ42" s="134">
        <v>653</v>
      </c>
      <c r="DR42" s="134">
        <v>0</v>
      </c>
      <c r="DS42" s="134">
        <v>0</v>
      </c>
      <c r="DT42" s="135">
        <v>0</v>
      </c>
      <c r="DV42" s="136"/>
      <c r="DW42" s="137"/>
      <c r="DX42" s="136"/>
      <c r="DY42" s="136"/>
    </row>
    <row r="43" spans="1:129" s="116" customFormat="1">
      <c r="A43" s="133" t="s">
        <v>312</v>
      </c>
      <c r="B43" s="134">
        <v>2526</v>
      </c>
      <c r="C43" s="134">
        <v>819</v>
      </c>
      <c r="D43" s="134">
        <v>2377</v>
      </c>
      <c r="E43" s="134">
        <v>1309</v>
      </c>
      <c r="F43" s="134">
        <v>3</v>
      </c>
      <c r="G43" s="134">
        <v>40</v>
      </c>
      <c r="H43" s="134">
        <v>43</v>
      </c>
      <c r="I43" s="134">
        <v>0</v>
      </c>
      <c r="J43" s="134">
        <v>960</v>
      </c>
      <c r="K43" s="134">
        <v>960</v>
      </c>
      <c r="L43" s="134">
        <v>0</v>
      </c>
      <c r="M43" s="134">
        <v>233</v>
      </c>
      <c r="N43" s="134">
        <v>233</v>
      </c>
      <c r="O43" s="134">
        <v>0</v>
      </c>
      <c r="P43" s="134">
        <v>727</v>
      </c>
      <c r="Q43" s="134">
        <v>727</v>
      </c>
      <c r="R43" s="134">
        <v>0</v>
      </c>
      <c r="S43" s="134">
        <v>51</v>
      </c>
      <c r="T43" s="134">
        <v>51</v>
      </c>
      <c r="U43" s="134">
        <v>0</v>
      </c>
      <c r="V43" s="134">
        <v>108</v>
      </c>
      <c r="W43" s="134">
        <v>108</v>
      </c>
      <c r="X43" s="134">
        <v>42</v>
      </c>
      <c r="Y43" s="134">
        <v>1535</v>
      </c>
      <c r="Z43" s="134">
        <v>1577</v>
      </c>
      <c r="AA43" s="134">
        <v>23</v>
      </c>
      <c r="AB43" s="134">
        <v>577</v>
      </c>
      <c r="AC43" s="134">
        <v>600</v>
      </c>
      <c r="AD43" s="134">
        <v>20</v>
      </c>
      <c r="AE43" s="134">
        <v>450</v>
      </c>
      <c r="AF43" s="134">
        <v>470</v>
      </c>
      <c r="AG43" s="134">
        <v>2</v>
      </c>
      <c r="AH43" s="134">
        <v>96</v>
      </c>
      <c r="AI43" s="134">
        <v>98</v>
      </c>
      <c r="AJ43" s="134">
        <v>1</v>
      </c>
      <c r="AK43" s="134">
        <v>31</v>
      </c>
      <c r="AL43" s="134">
        <v>32</v>
      </c>
      <c r="AM43" s="134">
        <v>19</v>
      </c>
      <c r="AN43" s="134">
        <v>958</v>
      </c>
      <c r="AO43" s="134">
        <v>977</v>
      </c>
      <c r="AP43" s="134">
        <v>1922</v>
      </c>
      <c r="AQ43" s="134">
        <v>29212</v>
      </c>
      <c r="AR43" s="134">
        <v>31134</v>
      </c>
      <c r="AS43" s="134">
        <v>1886</v>
      </c>
      <c r="AT43" s="134">
        <v>29152</v>
      </c>
      <c r="AU43" s="134">
        <v>31038</v>
      </c>
      <c r="AV43" s="134">
        <v>36</v>
      </c>
      <c r="AW43" s="134">
        <v>60</v>
      </c>
      <c r="AX43" s="134">
        <v>96</v>
      </c>
      <c r="AY43" s="134">
        <v>101</v>
      </c>
      <c r="AZ43" s="134">
        <v>2321</v>
      </c>
      <c r="BA43" s="134">
        <v>2422</v>
      </c>
      <c r="BB43" s="134">
        <v>57</v>
      </c>
      <c r="BC43" s="134">
        <v>2</v>
      </c>
      <c r="BD43" s="134">
        <v>0</v>
      </c>
      <c r="BE43" s="134">
        <v>1201</v>
      </c>
      <c r="BF43" s="134">
        <v>23</v>
      </c>
      <c r="BG43" s="134">
        <v>26</v>
      </c>
      <c r="BH43" s="134">
        <v>59</v>
      </c>
      <c r="BI43" s="134">
        <v>1250</v>
      </c>
      <c r="BJ43" s="134">
        <v>1309</v>
      </c>
      <c r="BK43" s="134">
        <v>-63</v>
      </c>
      <c r="BL43" s="134">
        <v>63</v>
      </c>
      <c r="BM43" s="134">
        <v>0</v>
      </c>
      <c r="BN43" s="134">
        <v>5</v>
      </c>
      <c r="BO43" s="134">
        <v>51</v>
      </c>
      <c r="BP43" s="134">
        <v>56</v>
      </c>
      <c r="BQ43" s="134">
        <v>15</v>
      </c>
      <c r="BR43" s="134">
        <v>223</v>
      </c>
      <c r="BS43" s="134">
        <v>238</v>
      </c>
      <c r="BT43" s="134">
        <v>85</v>
      </c>
      <c r="BU43" s="134">
        <v>734</v>
      </c>
      <c r="BV43" s="134">
        <v>819</v>
      </c>
      <c r="BW43" s="134">
        <v>2023</v>
      </c>
      <c r="BX43" s="134">
        <v>31533</v>
      </c>
      <c r="BY43" s="134">
        <v>33556</v>
      </c>
      <c r="BZ43" s="134">
        <v>1884</v>
      </c>
      <c r="CA43" s="134">
        <v>30033</v>
      </c>
      <c r="CB43" s="134">
        <v>31917</v>
      </c>
      <c r="CC43" s="134">
        <v>49167</v>
      </c>
      <c r="CD43" s="134">
        <v>96</v>
      </c>
      <c r="CE43" s="134">
        <v>1020</v>
      </c>
      <c r="CF43" s="134">
        <v>130</v>
      </c>
      <c r="CG43" s="134">
        <v>688</v>
      </c>
      <c r="CH43" s="134">
        <v>818</v>
      </c>
      <c r="CI43" s="134">
        <v>1037</v>
      </c>
      <c r="CJ43" s="134">
        <v>46</v>
      </c>
      <c r="CK43" s="134">
        <v>9</v>
      </c>
      <c r="CL43" s="134">
        <v>812</v>
      </c>
      <c r="CM43" s="134">
        <v>821</v>
      </c>
      <c r="CN43" s="134">
        <v>161</v>
      </c>
      <c r="CO43" s="134">
        <v>2816</v>
      </c>
      <c r="CP43" s="134">
        <v>2977</v>
      </c>
      <c r="CQ43" s="134">
        <v>0</v>
      </c>
      <c r="CR43" s="134">
        <v>0</v>
      </c>
      <c r="CS43" s="134">
        <v>0</v>
      </c>
      <c r="CT43" s="134">
        <v>1862</v>
      </c>
      <c r="CU43" s="134">
        <v>28717</v>
      </c>
      <c r="CV43" s="134">
        <v>30579</v>
      </c>
      <c r="CW43" s="134">
        <v>134</v>
      </c>
      <c r="CX43" s="134">
        <v>1095</v>
      </c>
      <c r="CY43" s="134">
        <v>1229</v>
      </c>
      <c r="CZ43" s="134">
        <v>123</v>
      </c>
      <c r="DA43" s="134">
        <v>9</v>
      </c>
      <c r="DB43" s="134">
        <v>1</v>
      </c>
      <c r="DC43" s="134">
        <v>1017</v>
      </c>
      <c r="DD43" s="134">
        <v>33</v>
      </c>
      <c r="DE43" s="134">
        <v>18</v>
      </c>
      <c r="DF43" s="134">
        <v>133</v>
      </c>
      <c r="DG43" s="134">
        <v>1068</v>
      </c>
      <c r="DH43" s="134">
        <v>1201</v>
      </c>
      <c r="DI43" s="134">
        <v>1</v>
      </c>
      <c r="DJ43" s="134">
        <v>0</v>
      </c>
      <c r="DK43" s="134">
        <v>0</v>
      </c>
      <c r="DL43" s="134">
        <v>23</v>
      </c>
      <c r="DM43" s="134">
        <v>3</v>
      </c>
      <c r="DN43" s="134">
        <v>1</v>
      </c>
      <c r="DO43" s="134">
        <v>1</v>
      </c>
      <c r="DP43" s="134">
        <v>27</v>
      </c>
      <c r="DQ43" s="134">
        <v>28</v>
      </c>
      <c r="DR43" s="134">
        <v>0</v>
      </c>
      <c r="DS43" s="134">
        <v>2</v>
      </c>
      <c r="DT43" s="135">
        <v>2</v>
      </c>
      <c r="DV43" s="136"/>
      <c r="DW43" s="137"/>
      <c r="DX43" s="136"/>
      <c r="DY43" s="136"/>
    </row>
    <row r="44" spans="1:129" s="116" customFormat="1">
      <c r="A44" s="133" t="s">
        <v>313</v>
      </c>
      <c r="B44" s="134">
        <v>2968</v>
      </c>
      <c r="C44" s="134">
        <v>998</v>
      </c>
      <c r="D44" s="134">
        <v>3092</v>
      </c>
      <c r="E44" s="134">
        <v>1943</v>
      </c>
      <c r="F44" s="134">
        <v>3</v>
      </c>
      <c r="G44" s="134">
        <v>31</v>
      </c>
      <c r="H44" s="134">
        <v>34</v>
      </c>
      <c r="I44" s="134">
        <v>0</v>
      </c>
      <c r="J44" s="134">
        <v>1000</v>
      </c>
      <c r="K44" s="134">
        <v>1000</v>
      </c>
      <c r="L44" s="134">
        <v>0</v>
      </c>
      <c r="M44" s="134">
        <v>407</v>
      </c>
      <c r="N44" s="134">
        <v>407</v>
      </c>
      <c r="O44" s="134">
        <v>0</v>
      </c>
      <c r="P44" s="134">
        <v>593</v>
      </c>
      <c r="Q44" s="134">
        <v>593</v>
      </c>
      <c r="R44" s="134">
        <v>0</v>
      </c>
      <c r="S44" s="134">
        <v>24</v>
      </c>
      <c r="T44" s="134">
        <v>24</v>
      </c>
      <c r="U44" s="134">
        <v>0</v>
      </c>
      <c r="V44" s="134">
        <v>149</v>
      </c>
      <c r="W44" s="134">
        <v>149</v>
      </c>
      <c r="X44" s="134">
        <v>93</v>
      </c>
      <c r="Y44" s="134">
        <v>2997</v>
      </c>
      <c r="Z44" s="134">
        <v>3090</v>
      </c>
      <c r="AA44" s="134">
        <v>51</v>
      </c>
      <c r="AB44" s="134">
        <v>1192</v>
      </c>
      <c r="AC44" s="134">
        <v>1243</v>
      </c>
      <c r="AD44" s="134">
        <v>46</v>
      </c>
      <c r="AE44" s="134">
        <v>1104</v>
      </c>
      <c r="AF44" s="134">
        <v>1150</v>
      </c>
      <c r="AG44" s="134">
        <v>2</v>
      </c>
      <c r="AH44" s="134">
        <v>47</v>
      </c>
      <c r="AI44" s="134">
        <v>49</v>
      </c>
      <c r="AJ44" s="134">
        <v>3</v>
      </c>
      <c r="AK44" s="134">
        <v>41</v>
      </c>
      <c r="AL44" s="134">
        <v>44</v>
      </c>
      <c r="AM44" s="134">
        <v>42</v>
      </c>
      <c r="AN44" s="134">
        <v>1805</v>
      </c>
      <c r="AO44" s="134">
        <v>1847</v>
      </c>
      <c r="AP44" s="134">
        <v>5944</v>
      </c>
      <c r="AQ44" s="134">
        <v>37878</v>
      </c>
      <c r="AR44" s="134">
        <v>43822</v>
      </c>
      <c r="AS44" s="134">
        <v>5945</v>
      </c>
      <c r="AT44" s="134">
        <v>37879</v>
      </c>
      <c r="AU44" s="134">
        <v>43824</v>
      </c>
      <c r="AV44" s="134">
        <v>-1</v>
      </c>
      <c r="AW44" s="134">
        <v>-1</v>
      </c>
      <c r="AX44" s="134">
        <v>-2</v>
      </c>
      <c r="AY44" s="134">
        <v>339</v>
      </c>
      <c r="AZ44" s="134">
        <v>3277</v>
      </c>
      <c r="BA44" s="134">
        <v>3616</v>
      </c>
      <c r="BB44" s="134">
        <v>125</v>
      </c>
      <c r="BC44" s="134">
        <v>6</v>
      </c>
      <c r="BD44" s="134">
        <v>0</v>
      </c>
      <c r="BE44" s="134">
        <v>1789</v>
      </c>
      <c r="BF44" s="134">
        <v>18</v>
      </c>
      <c r="BG44" s="134">
        <v>5</v>
      </c>
      <c r="BH44" s="134">
        <v>131</v>
      </c>
      <c r="BI44" s="134">
        <v>1812</v>
      </c>
      <c r="BJ44" s="134">
        <v>1943</v>
      </c>
      <c r="BK44" s="134">
        <v>-9</v>
      </c>
      <c r="BL44" s="134">
        <v>9</v>
      </c>
      <c r="BM44" s="134">
        <v>0</v>
      </c>
      <c r="BN44" s="134">
        <v>25</v>
      </c>
      <c r="BO44" s="134">
        <v>108</v>
      </c>
      <c r="BP44" s="134">
        <v>133</v>
      </c>
      <c r="BQ44" s="134">
        <v>57</v>
      </c>
      <c r="BR44" s="134">
        <v>583</v>
      </c>
      <c r="BS44" s="134">
        <v>640</v>
      </c>
      <c r="BT44" s="134">
        <v>135</v>
      </c>
      <c r="BU44" s="134">
        <v>765</v>
      </c>
      <c r="BV44" s="134">
        <v>900</v>
      </c>
      <c r="BW44" s="134">
        <v>6283</v>
      </c>
      <c r="BX44" s="134">
        <v>41155</v>
      </c>
      <c r="BY44" s="134">
        <v>47438</v>
      </c>
      <c r="BZ44" s="134">
        <v>6227</v>
      </c>
      <c r="CA44" s="134">
        <v>40607</v>
      </c>
      <c r="CB44" s="134">
        <v>46834</v>
      </c>
      <c r="CC44" s="134">
        <v>103568</v>
      </c>
      <c r="CD44" s="134">
        <v>39</v>
      </c>
      <c r="CE44" s="134">
        <v>552</v>
      </c>
      <c r="CF44" s="134">
        <v>55</v>
      </c>
      <c r="CG44" s="134">
        <v>422</v>
      </c>
      <c r="CH44" s="134">
        <v>477</v>
      </c>
      <c r="CI44" s="134">
        <v>162</v>
      </c>
      <c r="CJ44" s="134">
        <v>12</v>
      </c>
      <c r="CK44" s="134">
        <v>1</v>
      </c>
      <c r="CL44" s="134">
        <v>126</v>
      </c>
      <c r="CM44" s="134">
        <v>127</v>
      </c>
      <c r="CN44" s="134">
        <v>386</v>
      </c>
      <c r="CO44" s="134">
        <v>3784</v>
      </c>
      <c r="CP44" s="134">
        <v>4170</v>
      </c>
      <c r="CQ44" s="134">
        <v>0</v>
      </c>
      <c r="CR44" s="134">
        <v>2</v>
      </c>
      <c r="CS44" s="134">
        <v>2</v>
      </c>
      <c r="CT44" s="134">
        <v>5897</v>
      </c>
      <c r="CU44" s="134">
        <v>37371</v>
      </c>
      <c r="CV44" s="134">
        <v>43268</v>
      </c>
      <c r="CW44" s="134">
        <v>336</v>
      </c>
      <c r="CX44" s="134">
        <v>1746</v>
      </c>
      <c r="CY44" s="134">
        <v>2082</v>
      </c>
      <c r="CZ44" s="134">
        <v>334</v>
      </c>
      <c r="DA44" s="134">
        <v>2</v>
      </c>
      <c r="DB44" s="134">
        <v>0</v>
      </c>
      <c r="DC44" s="134">
        <v>1695</v>
      </c>
      <c r="DD44" s="134">
        <v>19</v>
      </c>
      <c r="DE44" s="134">
        <v>2</v>
      </c>
      <c r="DF44" s="134">
        <v>336</v>
      </c>
      <c r="DG44" s="134">
        <v>1716</v>
      </c>
      <c r="DH44" s="134">
        <v>2052</v>
      </c>
      <c r="DI44" s="134">
        <v>0</v>
      </c>
      <c r="DJ44" s="134">
        <v>0</v>
      </c>
      <c r="DK44" s="134">
        <v>0</v>
      </c>
      <c r="DL44" s="134">
        <v>30</v>
      </c>
      <c r="DM44" s="134">
        <v>0</v>
      </c>
      <c r="DN44" s="134">
        <v>0</v>
      </c>
      <c r="DO44" s="134">
        <v>0</v>
      </c>
      <c r="DP44" s="134">
        <v>30</v>
      </c>
      <c r="DQ44" s="134">
        <v>30</v>
      </c>
      <c r="DR44" s="134">
        <v>0</v>
      </c>
      <c r="DS44" s="134">
        <v>0</v>
      </c>
      <c r="DT44" s="135">
        <v>0</v>
      </c>
      <c r="DV44" s="136"/>
      <c r="DW44" s="137"/>
      <c r="DX44" s="136"/>
      <c r="DY44" s="136"/>
    </row>
    <row r="45" spans="1:129" s="116" customFormat="1">
      <c r="A45" s="133" t="s">
        <v>314</v>
      </c>
      <c r="B45" s="134">
        <v>722</v>
      </c>
      <c r="C45" s="134">
        <v>181</v>
      </c>
      <c r="D45" s="134">
        <v>756</v>
      </c>
      <c r="E45" s="134">
        <v>417</v>
      </c>
      <c r="F45" s="134">
        <v>1</v>
      </c>
      <c r="G45" s="134">
        <v>8</v>
      </c>
      <c r="H45" s="134">
        <v>9</v>
      </c>
      <c r="I45" s="134">
        <v>0</v>
      </c>
      <c r="J45" s="134">
        <v>229</v>
      </c>
      <c r="K45" s="134">
        <v>229</v>
      </c>
      <c r="L45" s="134">
        <v>0</v>
      </c>
      <c r="M45" s="134">
        <v>45</v>
      </c>
      <c r="N45" s="134">
        <v>45</v>
      </c>
      <c r="O45" s="134">
        <v>0</v>
      </c>
      <c r="P45" s="134">
        <v>184</v>
      </c>
      <c r="Q45" s="134">
        <v>184</v>
      </c>
      <c r="R45" s="134">
        <v>0</v>
      </c>
      <c r="S45" s="134">
        <v>17</v>
      </c>
      <c r="T45" s="134">
        <v>17</v>
      </c>
      <c r="U45" s="134">
        <v>0</v>
      </c>
      <c r="V45" s="134">
        <v>110</v>
      </c>
      <c r="W45" s="134">
        <v>110</v>
      </c>
      <c r="X45" s="134">
        <v>7</v>
      </c>
      <c r="Y45" s="134">
        <v>312</v>
      </c>
      <c r="Z45" s="134">
        <v>319</v>
      </c>
      <c r="AA45" s="134">
        <v>3</v>
      </c>
      <c r="AB45" s="134">
        <v>215</v>
      </c>
      <c r="AC45" s="134">
        <v>218</v>
      </c>
      <c r="AD45" s="134">
        <v>3</v>
      </c>
      <c r="AE45" s="134">
        <v>209</v>
      </c>
      <c r="AF45" s="134">
        <v>212</v>
      </c>
      <c r="AG45" s="134">
        <v>0</v>
      </c>
      <c r="AH45" s="134">
        <v>5</v>
      </c>
      <c r="AI45" s="134">
        <v>5</v>
      </c>
      <c r="AJ45" s="134">
        <v>0</v>
      </c>
      <c r="AK45" s="134">
        <v>1</v>
      </c>
      <c r="AL45" s="134">
        <v>1</v>
      </c>
      <c r="AM45" s="134">
        <v>4</v>
      </c>
      <c r="AN45" s="134">
        <v>97</v>
      </c>
      <c r="AO45" s="134">
        <v>101</v>
      </c>
      <c r="AP45" s="134">
        <v>725</v>
      </c>
      <c r="AQ45" s="134">
        <v>7761</v>
      </c>
      <c r="AR45" s="134">
        <v>8486</v>
      </c>
      <c r="AS45" s="134">
        <v>725</v>
      </c>
      <c r="AT45" s="134">
        <v>7761</v>
      </c>
      <c r="AU45" s="134">
        <v>8486</v>
      </c>
      <c r="AV45" s="134">
        <v>0</v>
      </c>
      <c r="AW45" s="134">
        <v>0</v>
      </c>
      <c r="AX45" s="134">
        <v>0</v>
      </c>
      <c r="AY45" s="134">
        <v>64</v>
      </c>
      <c r="AZ45" s="134">
        <v>838</v>
      </c>
      <c r="BA45" s="134">
        <v>902</v>
      </c>
      <c r="BB45" s="134">
        <v>28</v>
      </c>
      <c r="BC45" s="134">
        <v>0</v>
      </c>
      <c r="BD45" s="134">
        <v>0</v>
      </c>
      <c r="BE45" s="134">
        <v>386</v>
      </c>
      <c r="BF45" s="134">
        <v>2</v>
      </c>
      <c r="BG45" s="134">
        <v>1</v>
      </c>
      <c r="BH45" s="134">
        <v>28</v>
      </c>
      <c r="BI45" s="134">
        <v>389</v>
      </c>
      <c r="BJ45" s="134">
        <v>417</v>
      </c>
      <c r="BK45" s="134">
        <v>0</v>
      </c>
      <c r="BL45" s="134">
        <v>0</v>
      </c>
      <c r="BM45" s="134">
        <v>0</v>
      </c>
      <c r="BN45" s="134">
        <v>6</v>
      </c>
      <c r="BO45" s="134">
        <v>21</v>
      </c>
      <c r="BP45" s="134">
        <v>27</v>
      </c>
      <c r="BQ45" s="134">
        <v>5</v>
      </c>
      <c r="BR45" s="134">
        <v>112</v>
      </c>
      <c r="BS45" s="134">
        <v>117</v>
      </c>
      <c r="BT45" s="134">
        <v>25</v>
      </c>
      <c r="BU45" s="134">
        <v>316</v>
      </c>
      <c r="BV45" s="134">
        <v>341</v>
      </c>
      <c r="BW45" s="134">
        <v>789</v>
      </c>
      <c r="BX45" s="134">
        <v>8599</v>
      </c>
      <c r="BY45" s="134">
        <v>9388</v>
      </c>
      <c r="BZ45" s="134">
        <v>784</v>
      </c>
      <c r="CA45" s="134">
        <v>8562</v>
      </c>
      <c r="CB45" s="134">
        <v>9346</v>
      </c>
      <c r="CC45" s="134">
        <v>16404</v>
      </c>
      <c r="CD45" s="134">
        <v>0</v>
      </c>
      <c r="CE45" s="134">
        <v>35</v>
      </c>
      <c r="CF45" s="134">
        <v>5</v>
      </c>
      <c r="CG45" s="134">
        <v>27</v>
      </c>
      <c r="CH45" s="134">
        <v>32</v>
      </c>
      <c r="CI45" s="134">
        <v>8</v>
      </c>
      <c r="CJ45" s="134">
        <v>4</v>
      </c>
      <c r="CK45" s="134">
        <v>0</v>
      </c>
      <c r="CL45" s="134">
        <v>10</v>
      </c>
      <c r="CM45" s="134">
        <v>10</v>
      </c>
      <c r="CN45" s="134">
        <v>50</v>
      </c>
      <c r="CO45" s="134">
        <v>861</v>
      </c>
      <c r="CP45" s="134">
        <v>911</v>
      </c>
      <c r="CQ45" s="134">
        <v>0</v>
      </c>
      <c r="CR45" s="134">
        <v>0</v>
      </c>
      <c r="CS45" s="134">
        <v>0</v>
      </c>
      <c r="CT45" s="134">
        <v>739</v>
      </c>
      <c r="CU45" s="134">
        <v>7738</v>
      </c>
      <c r="CV45" s="134">
        <v>8477</v>
      </c>
      <c r="CW45" s="134">
        <v>53</v>
      </c>
      <c r="CX45" s="134">
        <v>442</v>
      </c>
      <c r="CY45" s="134">
        <v>495</v>
      </c>
      <c r="CZ45" s="134">
        <v>52</v>
      </c>
      <c r="DA45" s="134">
        <v>0</v>
      </c>
      <c r="DB45" s="134">
        <v>0</v>
      </c>
      <c r="DC45" s="134">
        <v>402</v>
      </c>
      <c r="DD45" s="134">
        <v>1</v>
      </c>
      <c r="DE45" s="134">
        <v>0</v>
      </c>
      <c r="DF45" s="134">
        <v>52</v>
      </c>
      <c r="DG45" s="134">
        <v>403</v>
      </c>
      <c r="DH45" s="134">
        <v>455</v>
      </c>
      <c r="DI45" s="134">
        <v>1</v>
      </c>
      <c r="DJ45" s="134">
        <v>0</v>
      </c>
      <c r="DK45" s="134">
        <v>0</v>
      </c>
      <c r="DL45" s="134">
        <v>38</v>
      </c>
      <c r="DM45" s="134">
        <v>1</v>
      </c>
      <c r="DN45" s="134">
        <v>0</v>
      </c>
      <c r="DO45" s="134">
        <v>1</v>
      </c>
      <c r="DP45" s="134">
        <v>39</v>
      </c>
      <c r="DQ45" s="134">
        <v>40</v>
      </c>
      <c r="DR45" s="134">
        <v>0</v>
      </c>
      <c r="DS45" s="134">
        <v>0</v>
      </c>
      <c r="DT45" s="135">
        <v>0</v>
      </c>
      <c r="DV45" s="136"/>
      <c r="DW45" s="137"/>
      <c r="DX45" s="136"/>
      <c r="DY45" s="136"/>
    </row>
    <row r="46" spans="1:129" s="116" customFormat="1">
      <c r="A46" s="133" t="s">
        <v>315</v>
      </c>
      <c r="B46" s="134">
        <v>1004</v>
      </c>
      <c r="C46" s="134">
        <v>273</v>
      </c>
      <c r="D46" s="134">
        <v>1034</v>
      </c>
      <c r="E46" s="134">
        <v>471</v>
      </c>
      <c r="F46" s="134">
        <v>3</v>
      </c>
      <c r="G46" s="134">
        <v>10</v>
      </c>
      <c r="H46" s="134">
        <v>13</v>
      </c>
      <c r="I46" s="134">
        <v>2</v>
      </c>
      <c r="J46" s="134">
        <v>479</v>
      </c>
      <c r="K46" s="134">
        <v>481</v>
      </c>
      <c r="L46" s="134">
        <v>0</v>
      </c>
      <c r="M46" s="134">
        <v>175</v>
      </c>
      <c r="N46" s="134">
        <v>175</v>
      </c>
      <c r="O46" s="134">
        <v>2</v>
      </c>
      <c r="P46" s="134">
        <v>304</v>
      </c>
      <c r="Q46" s="134">
        <v>306</v>
      </c>
      <c r="R46" s="134">
        <v>0</v>
      </c>
      <c r="S46" s="134">
        <v>43</v>
      </c>
      <c r="T46" s="134">
        <v>43</v>
      </c>
      <c r="U46" s="134">
        <v>0</v>
      </c>
      <c r="V46" s="134">
        <v>82</v>
      </c>
      <c r="W46" s="134">
        <v>82</v>
      </c>
      <c r="X46" s="134">
        <v>17</v>
      </c>
      <c r="Y46" s="134">
        <v>1002</v>
      </c>
      <c r="Z46" s="134">
        <v>1019</v>
      </c>
      <c r="AA46" s="134">
        <v>6</v>
      </c>
      <c r="AB46" s="134">
        <v>226</v>
      </c>
      <c r="AC46" s="134">
        <v>232</v>
      </c>
      <c r="AD46" s="134">
        <v>5</v>
      </c>
      <c r="AE46" s="134">
        <v>211</v>
      </c>
      <c r="AF46" s="134">
        <v>216</v>
      </c>
      <c r="AG46" s="134">
        <v>0</v>
      </c>
      <c r="AH46" s="134">
        <v>11</v>
      </c>
      <c r="AI46" s="134">
        <v>11</v>
      </c>
      <c r="AJ46" s="134">
        <v>1</v>
      </c>
      <c r="AK46" s="134">
        <v>4</v>
      </c>
      <c r="AL46" s="134">
        <v>5</v>
      </c>
      <c r="AM46" s="134">
        <v>11</v>
      </c>
      <c r="AN46" s="134">
        <v>776</v>
      </c>
      <c r="AO46" s="134">
        <v>787</v>
      </c>
      <c r="AP46" s="134">
        <v>564</v>
      </c>
      <c r="AQ46" s="134">
        <v>11531</v>
      </c>
      <c r="AR46" s="134">
        <v>12095</v>
      </c>
      <c r="AS46" s="134">
        <v>588</v>
      </c>
      <c r="AT46" s="134">
        <v>11581</v>
      </c>
      <c r="AU46" s="134">
        <v>12169</v>
      </c>
      <c r="AV46" s="134">
        <v>-24</v>
      </c>
      <c r="AW46" s="134">
        <v>-50</v>
      </c>
      <c r="AX46" s="134">
        <v>-74</v>
      </c>
      <c r="AY46" s="134">
        <v>47</v>
      </c>
      <c r="AZ46" s="134">
        <v>955</v>
      </c>
      <c r="BA46" s="134">
        <v>1002</v>
      </c>
      <c r="BB46" s="134">
        <v>13</v>
      </c>
      <c r="BC46" s="134">
        <v>0</v>
      </c>
      <c r="BD46" s="134">
        <v>1</v>
      </c>
      <c r="BE46" s="134">
        <v>436</v>
      </c>
      <c r="BF46" s="134">
        <v>12</v>
      </c>
      <c r="BG46" s="134">
        <v>9</v>
      </c>
      <c r="BH46" s="134">
        <v>14</v>
      </c>
      <c r="BI46" s="134">
        <v>457</v>
      </c>
      <c r="BJ46" s="134">
        <v>471</v>
      </c>
      <c r="BK46" s="134">
        <v>-17</v>
      </c>
      <c r="BL46" s="134">
        <v>17</v>
      </c>
      <c r="BM46" s="134">
        <v>0</v>
      </c>
      <c r="BN46" s="134">
        <v>23</v>
      </c>
      <c r="BO46" s="134">
        <v>23</v>
      </c>
      <c r="BP46" s="134">
        <v>46</v>
      </c>
      <c r="BQ46" s="134">
        <v>5</v>
      </c>
      <c r="BR46" s="134">
        <v>140</v>
      </c>
      <c r="BS46" s="134">
        <v>145</v>
      </c>
      <c r="BT46" s="134">
        <v>22</v>
      </c>
      <c r="BU46" s="134">
        <v>318</v>
      </c>
      <c r="BV46" s="134">
        <v>340</v>
      </c>
      <c r="BW46" s="134">
        <v>611</v>
      </c>
      <c r="BX46" s="134">
        <v>12486</v>
      </c>
      <c r="BY46" s="134">
        <v>13097</v>
      </c>
      <c r="BZ46" s="134">
        <v>593</v>
      </c>
      <c r="CA46" s="134">
        <v>11990</v>
      </c>
      <c r="CB46" s="134">
        <v>12583</v>
      </c>
      <c r="CC46" s="134">
        <v>24309</v>
      </c>
      <c r="CD46" s="134">
        <v>34</v>
      </c>
      <c r="CE46" s="134">
        <v>489</v>
      </c>
      <c r="CF46" s="134">
        <v>18</v>
      </c>
      <c r="CG46" s="134">
        <v>372</v>
      </c>
      <c r="CH46" s="134">
        <v>390</v>
      </c>
      <c r="CI46" s="134">
        <v>150</v>
      </c>
      <c r="CJ46" s="134">
        <v>15</v>
      </c>
      <c r="CK46" s="134">
        <v>0</v>
      </c>
      <c r="CL46" s="134">
        <v>124</v>
      </c>
      <c r="CM46" s="134">
        <v>124</v>
      </c>
      <c r="CN46" s="134">
        <v>36</v>
      </c>
      <c r="CO46" s="134">
        <v>1175</v>
      </c>
      <c r="CP46" s="134">
        <v>1211</v>
      </c>
      <c r="CQ46" s="134">
        <v>0</v>
      </c>
      <c r="CR46" s="134">
        <v>0</v>
      </c>
      <c r="CS46" s="134">
        <v>0</v>
      </c>
      <c r="CT46" s="134">
        <v>575</v>
      </c>
      <c r="CU46" s="134">
        <v>11311</v>
      </c>
      <c r="CV46" s="134">
        <v>11886</v>
      </c>
      <c r="CW46" s="134">
        <v>39</v>
      </c>
      <c r="CX46" s="134">
        <v>526</v>
      </c>
      <c r="CY46" s="134">
        <v>565</v>
      </c>
      <c r="CZ46" s="134">
        <v>37</v>
      </c>
      <c r="DA46" s="134">
        <v>2</v>
      </c>
      <c r="DB46" s="134">
        <v>0</v>
      </c>
      <c r="DC46" s="134">
        <v>481</v>
      </c>
      <c r="DD46" s="134">
        <v>17</v>
      </c>
      <c r="DE46" s="134">
        <v>2</v>
      </c>
      <c r="DF46" s="134">
        <v>39</v>
      </c>
      <c r="DG46" s="134">
        <v>500</v>
      </c>
      <c r="DH46" s="134">
        <v>539</v>
      </c>
      <c r="DI46" s="134">
        <v>0</v>
      </c>
      <c r="DJ46" s="134">
        <v>0</v>
      </c>
      <c r="DK46" s="134">
        <v>0</v>
      </c>
      <c r="DL46" s="134">
        <v>22</v>
      </c>
      <c r="DM46" s="134">
        <v>3</v>
      </c>
      <c r="DN46" s="134">
        <v>1</v>
      </c>
      <c r="DO46" s="134">
        <v>0</v>
      </c>
      <c r="DP46" s="134">
        <v>26</v>
      </c>
      <c r="DQ46" s="134">
        <v>26</v>
      </c>
      <c r="DR46" s="134">
        <v>0</v>
      </c>
      <c r="DS46" s="134">
        <v>0</v>
      </c>
      <c r="DT46" s="135">
        <v>0</v>
      </c>
      <c r="DV46" s="136"/>
      <c r="DW46" s="137"/>
      <c r="DX46" s="136"/>
      <c r="DY46" s="136"/>
    </row>
    <row r="47" spans="1:129" s="116" customFormat="1">
      <c r="A47" s="133" t="s">
        <v>316</v>
      </c>
      <c r="B47" s="134">
        <v>1775</v>
      </c>
      <c r="C47" s="134">
        <v>535</v>
      </c>
      <c r="D47" s="134">
        <v>1981</v>
      </c>
      <c r="E47" s="134">
        <v>1299</v>
      </c>
      <c r="F47" s="134">
        <v>2</v>
      </c>
      <c r="G47" s="134">
        <v>158</v>
      </c>
      <c r="H47" s="134">
        <v>160</v>
      </c>
      <c r="I47" s="134">
        <v>1</v>
      </c>
      <c r="J47" s="134">
        <v>614</v>
      </c>
      <c r="K47" s="134">
        <v>615</v>
      </c>
      <c r="L47" s="134">
        <v>0</v>
      </c>
      <c r="M47" s="134">
        <v>154</v>
      </c>
      <c r="N47" s="134">
        <v>154</v>
      </c>
      <c r="O47" s="134">
        <v>1</v>
      </c>
      <c r="P47" s="134">
        <v>460</v>
      </c>
      <c r="Q47" s="134">
        <v>461</v>
      </c>
      <c r="R47" s="134">
        <v>0</v>
      </c>
      <c r="S47" s="134">
        <v>93</v>
      </c>
      <c r="T47" s="134">
        <v>93</v>
      </c>
      <c r="U47" s="134">
        <v>0</v>
      </c>
      <c r="V47" s="134">
        <v>67</v>
      </c>
      <c r="W47" s="134">
        <v>67</v>
      </c>
      <c r="X47" s="134">
        <v>30</v>
      </c>
      <c r="Y47" s="134">
        <v>435</v>
      </c>
      <c r="Z47" s="134">
        <v>465</v>
      </c>
      <c r="AA47" s="134">
        <v>23</v>
      </c>
      <c r="AB47" s="134">
        <v>266</v>
      </c>
      <c r="AC47" s="134">
        <v>289</v>
      </c>
      <c r="AD47" s="134">
        <v>21</v>
      </c>
      <c r="AE47" s="134">
        <v>242</v>
      </c>
      <c r="AF47" s="134">
        <v>263</v>
      </c>
      <c r="AG47" s="134">
        <v>2</v>
      </c>
      <c r="AH47" s="134">
        <v>13</v>
      </c>
      <c r="AI47" s="134">
        <v>15</v>
      </c>
      <c r="AJ47" s="134">
        <v>0</v>
      </c>
      <c r="AK47" s="134">
        <v>11</v>
      </c>
      <c r="AL47" s="134">
        <v>11</v>
      </c>
      <c r="AM47" s="134">
        <v>7</v>
      </c>
      <c r="AN47" s="134">
        <v>169</v>
      </c>
      <c r="AO47" s="134">
        <v>176</v>
      </c>
      <c r="AP47" s="134">
        <v>1742</v>
      </c>
      <c r="AQ47" s="134">
        <v>15502</v>
      </c>
      <c r="AR47" s="134">
        <v>17244</v>
      </c>
      <c r="AS47" s="134">
        <v>1743</v>
      </c>
      <c r="AT47" s="134">
        <v>15445</v>
      </c>
      <c r="AU47" s="134">
        <v>17188</v>
      </c>
      <c r="AV47" s="134">
        <v>-1</v>
      </c>
      <c r="AW47" s="134">
        <v>57</v>
      </c>
      <c r="AX47" s="134">
        <v>56</v>
      </c>
      <c r="AY47" s="134">
        <v>285</v>
      </c>
      <c r="AZ47" s="134">
        <v>1703</v>
      </c>
      <c r="BA47" s="134">
        <v>1988</v>
      </c>
      <c r="BB47" s="134">
        <v>112</v>
      </c>
      <c r="BC47" s="134">
        <v>2</v>
      </c>
      <c r="BD47" s="134">
        <v>0</v>
      </c>
      <c r="BE47" s="134">
        <v>1163</v>
      </c>
      <c r="BF47" s="134">
        <v>15</v>
      </c>
      <c r="BG47" s="134">
        <v>7</v>
      </c>
      <c r="BH47" s="134">
        <v>114</v>
      </c>
      <c r="BI47" s="134">
        <v>1185</v>
      </c>
      <c r="BJ47" s="134">
        <v>1299</v>
      </c>
      <c r="BK47" s="134">
        <v>82</v>
      </c>
      <c r="BL47" s="134">
        <v>-82</v>
      </c>
      <c r="BM47" s="134">
        <v>0</v>
      </c>
      <c r="BN47" s="134">
        <v>1</v>
      </c>
      <c r="BO47" s="134">
        <v>29</v>
      </c>
      <c r="BP47" s="134">
        <v>30</v>
      </c>
      <c r="BQ47" s="134">
        <v>3</v>
      </c>
      <c r="BR47" s="134">
        <v>131</v>
      </c>
      <c r="BS47" s="134">
        <v>134</v>
      </c>
      <c r="BT47" s="134">
        <v>85</v>
      </c>
      <c r="BU47" s="134">
        <v>440</v>
      </c>
      <c r="BV47" s="134">
        <v>525</v>
      </c>
      <c r="BW47" s="134">
        <v>2027</v>
      </c>
      <c r="BX47" s="134">
        <v>17205</v>
      </c>
      <c r="BY47" s="134">
        <v>19232</v>
      </c>
      <c r="BZ47" s="134">
        <v>2013</v>
      </c>
      <c r="CA47" s="134">
        <v>17006</v>
      </c>
      <c r="CB47" s="134">
        <v>19019</v>
      </c>
      <c r="CC47" s="134">
        <v>37757</v>
      </c>
      <c r="CD47" s="134">
        <v>14</v>
      </c>
      <c r="CE47" s="134">
        <v>143</v>
      </c>
      <c r="CF47" s="134">
        <v>14</v>
      </c>
      <c r="CG47" s="134">
        <v>138</v>
      </c>
      <c r="CH47" s="134">
        <v>152</v>
      </c>
      <c r="CI47" s="134">
        <v>0</v>
      </c>
      <c r="CJ47" s="134">
        <v>70</v>
      </c>
      <c r="CK47" s="134">
        <v>0</v>
      </c>
      <c r="CL47" s="134">
        <v>61</v>
      </c>
      <c r="CM47" s="134">
        <v>61</v>
      </c>
      <c r="CN47" s="134">
        <v>150</v>
      </c>
      <c r="CO47" s="134">
        <v>1580</v>
      </c>
      <c r="CP47" s="134">
        <v>1730</v>
      </c>
      <c r="CQ47" s="134">
        <v>0</v>
      </c>
      <c r="CR47" s="134">
        <v>0</v>
      </c>
      <c r="CS47" s="134">
        <v>0</v>
      </c>
      <c r="CT47" s="134">
        <v>1877</v>
      </c>
      <c r="CU47" s="134">
        <v>15625</v>
      </c>
      <c r="CV47" s="134">
        <v>17502</v>
      </c>
      <c r="CW47" s="134">
        <v>155</v>
      </c>
      <c r="CX47" s="134">
        <v>863</v>
      </c>
      <c r="CY47" s="134">
        <v>1018</v>
      </c>
      <c r="CZ47" s="134">
        <v>152</v>
      </c>
      <c r="DA47" s="134">
        <v>0</v>
      </c>
      <c r="DB47" s="134">
        <v>0</v>
      </c>
      <c r="DC47" s="134">
        <v>826</v>
      </c>
      <c r="DD47" s="134">
        <v>8</v>
      </c>
      <c r="DE47" s="134">
        <v>3</v>
      </c>
      <c r="DF47" s="134">
        <v>152</v>
      </c>
      <c r="DG47" s="134">
        <v>837</v>
      </c>
      <c r="DH47" s="134">
        <v>989</v>
      </c>
      <c r="DI47" s="134">
        <v>3</v>
      </c>
      <c r="DJ47" s="134">
        <v>0</v>
      </c>
      <c r="DK47" s="134">
        <v>0</v>
      </c>
      <c r="DL47" s="134">
        <v>25</v>
      </c>
      <c r="DM47" s="134">
        <v>1</v>
      </c>
      <c r="DN47" s="134">
        <v>0</v>
      </c>
      <c r="DO47" s="134">
        <v>3</v>
      </c>
      <c r="DP47" s="134">
        <v>26</v>
      </c>
      <c r="DQ47" s="134">
        <v>29</v>
      </c>
      <c r="DR47" s="134">
        <v>0</v>
      </c>
      <c r="DS47" s="134">
        <v>0</v>
      </c>
      <c r="DT47" s="135">
        <v>0</v>
      </c>
      <c r="DV47" s="136"/>
      <c r="DW47" s="137"/>
      <c r="DX47" s="136"/>
      <c r="DY47" s="136"/>
    </row>
    <row r="48" spans="1:129" s="137" customFormat="1">
      <c r="A48" s="133" t="s">
        <v>317</v>
      </c>
      <c r="B48" s="134">
        <v>2560</v>
      </c>
      <c r="C48" s="134">
        <v>593</v>
      </c>
      <c r="D48" s="134">
        <v>2549</v>
      </c>
      <c r="E48" s="134">
        <v>1542</v>
      </c>
      <c r="F48" s="134">
        <v>0</v>
      </c>
      <c r="G48" s="134">
        <v>20</v>
      </c>
      <c r="H48" s="134">
        <v>20</v>
      </c>
      <c r="I48" s="134">
        <v>0</v>
      </c>
      <c r="J48" s="134">
        <v>750</v>
      </c>
      <c r="K48" s="134">
        <v>750</v>
      </c>
      <c r="L48" s="134">
        <v>0</v>
      </c>
      <c r="M48" s="134">
        <v>248</v>
      </c>
      <c r="N48" s="134">
        <v>248</v>
      </c>
      <c r="O48" s="134">
        <v>0</v>
      </c>
      <c r="P48" s="134">
        <v>502</v>
      </c>
      <c r="Q48" s="134">
        <v>502</v>
      </c>
      <c r="R48" s="134">
        <v>0</v>
      </c>
      <c r="S48" s="134">
        <v>19</v>
      </c>
      <c r="T48" s="134">
        <v>19</v>
      </c>
      <c r="U48" s="134">
        <v>0</v>
      </c>
      <c r="V48" s="134">
        <v>257</v>
      </c>
      <c r="W48" s="134">
        <v>257</v>
      </c>
      <c r="X48" s="134">
        <v>19</v>
      </c>
      <c r="Y48" s="134">
        <v>1288</v>
      </c>
      <c r="Z48" s="134">
        <v>1307</v>
      </c>
      <c r="AA48" s="134">
        <v>9</v>
      </c>
      <c r="AB48" s="134">
        <v>468</v>
      </c>
      <c r="AC48" s="134">
        <v>477</v>
      </c>
      <c r="AD48" s="134">
        <v>9</v>
      </c>
      <c r="AE48" s="134">
        <v>450</v>
      </c>
      <c r="AF48" s="134">
        <v>459</v>
      </c>
      <c r="AG48" s="134">
        <v>0</v>
      </c>
      <c r="AH48" s="134">
        <v>13</v>
      </c>
      <c r="AI48" s="134">
        <v>13</v>
      </c>
      <c r="AJ48" s="134">
        <v>0</v>
      </c>
      <c r="AK48" s="134">
        <v>5</v>
      </c>
      <c r="AL48" s="134">
        <v>5</v>
      </c>
      <c r="AM48" s="134">
        <v>10</v>
      </c>
      <c r="AN48" s="134">
        <v>820</v>
      </c>
      <c r="AO48" s="134">
        <v>830</v>
      </c>
      <c r="AP48" s="134">
        <v>3460</v>
      </c>
      <c r="AQ48" s="134">
        <v>39386</v>
      </c>
      <c r="AR48" s="134">
        <v>42846</v>
      </c>
      <c r="AS48" s="134">
        <v>3466</v>
      </c>
      <c r="AT48" s="134">
        <v>39286</v>
      </c>
      <c r="AU48" s="134">
        <v>42752</v>
      </c>
      <c r="AV48" s="134">
        <v>-6</v>
      </c>
      <c r="AW48" s="134">
        <v>100</v>
      </c>
      <c r="AX48" s="134">
        <v>94</v>
      </c>
      <c r="AY48" s="134">
        <v>119</v>
      </c>
      <c r="AZ48" s="134">
        <v>3099</v>
      </c>
      <c r="BA48" s="134">
        <v>3218</v>
      </c>
      <c r="BB48" s="134">
        <v>85</v>
      </c>
      <c r="BC48" s="134">
        <v>3</v>
      </c>
      <c r="BD48" s="134">
        <v>1</v>
      </c>
      <c r="BE48" s="134">
        <v>1399</v>
      </c>
      <c r="BF48" s="134">
        <v>28</v>
      </c>
      <c r="BG48" s="134">
        <v>26</v>
      </c>
      <c r="BH48" s="134">
        <v>89</v>
      </c>
      <c r="BI48" s="134">
        <v>1453</v>
      </c>
      <c r="BJ48" s="134">
        <v>1542</v>
      </c>
      <c r="BK48" s="134">
        <v>-106</v>
      </c>
      <c r="BL48" s="134">
        <v>106</v>
      </c>
      <c r="BM48" s="134">
        <v>0</v>
      </c>
      <c r="BN48" s="134">
        <v>14</v>
      </c>
      <c r="BO48" s="134">
        <v>60</v>
      </c>
      <c r="BP48" s="134">
        <v>74</v>
      </c>
      <c r="BQ48" s="134">
        <v>9</v>
      </c>
      <c r="BR48" s="134">
        <v>94</v>
      </c>
      <c r="BS48" s="134">
        <v>103</v>
      </c>
      <c r="BT48" s="134">
        <v>113</v>
      </c>
      <c r="BU48" s="134">
        <v>1386</v>
      </c>
      <c r="BV48" s="134">
        <v>1499</v>
      </c>
      <c r="BW48" s="134">
        <v>3579</v>
      </c>
      <c r="BX48" s="134">
        <v>42485</v>
      </c>
      <c r="BY48" s="134">
        <v>46064</v>
      </c>
      <c r="BZ48" s="134">
        <v>3480</v>
      </c>
      <c r="CA48" s="134">
        <v>41248</v>
      </c>
      <c r="CB48" s="134">
        <v>44728</v>
      </c>
      <c r="CC48" s="134">
        <v>86735</v>
      </c>
      <c r="CD48" s="134">
        <v>84</v>
      </c>
      <c r="CE48" s="134">
        <v>972</v>
      </c>
      <c r="CF48" s="134">
        <v>96</v>
      </c>
      <c r="CG48" s="134">
        <v>713</v>
      </c>
      <c r="CH48" s="134">
        <v>809</v>
      </c>
      <c r="CI48" s="134">
        <v>715</v>
      </c>
      <c r="CJ48" s="134">
        <v>17</v>
      </c>
      <c r="CK48" s="134">
        <v>3</v>
      </c>
      <c r="CL48" s="134">
        <v>524</v>
      </c>
      <c r="CM48" s="134">
        <v>527</v>
      </c>
      <c r="CN48" s="134">
        <v>229</v>
      </c>
      <c r="CO48" s="134">
        <v>3941</v>
      </c>
      <c r="CP48" s="134">
        <v>4170</v>
      </c>
      <c r="CQ48" s="134">
        <v>0</v>
      </c>
      <c r="CR48" s="134">
        <v>0</v>
      </c>
      <c r="CS48" s="134">
        <v>0</v>
      </c>
      <c r="CT48" s="134">
        <v>3350</v>
      </c>
      <c r="CU48" s="134">
        <v>38544</v>
      </c>
      <c r="CV48" s="134">
        <v>41894</v>
      </c>
      <c r="CW48" s="134">
        <v>280</v>
      </c>
      <c r="CX48" s="134">
        <v>2551</v>
      </c>
      <c r="CY48" s="134">
        <v>2831</v>
      </c>
      <c r="CZ48" s="134">
        <v>253</v>
      </c>
      <c r="DA48" s="134">
        <v>5</v>
      </c>
      <c r="DB48" s="134">
        <v>0</v>
      </c>
      <c r="DC48" s="134">
        <v>2106</v>
      </c>
      <c r="DD48" s="134">
        <v>45</v>
      </c>
      <c r="DE48" s="134">
        <v>14</v>
      </c>
      <c r="DF48" s="134">
        <v>258</v>
      </c>
      <c r="DG48" s="134">
        <v>2165</v>
      </c>
      <c r="DH48" s="134">
        <v>2423</v>
      </c>
      <c r="DI48" s="134">
        <v>19</v>
      </c>
      <c r="DJ48" s="134">
        <v>3</v>
      </c>
      <c r="DK48" s="134">
        <v>0</v>
      </c>
      <c r="DL48" s="134">
        <v>374</v>
      </c>
      <c r="DM48" s="134">
        <v>10</v>
      </c>
      <c r="DN48" s="134">
        <v>2</v>
      </c>
      <c r="DO48" s="134">
        <v>22</v>
      </c>
      <c r="DP48" s="134">
        <v>386</v>
      </c>
      <c r="DQ48" s="134">
        <v>408</v>
      </c>
      <c r="DR48" s="134">
        <v>0</v>
      </c>
      <c r="DS48" s="134">
        <v>0</v>
      </c>
      <c r="DT48" s="135">
        <v>0</v>
      </c>
      <c r="DU48" s="116"/>
      <c r="DV48" s="136"/>
      <c r="DX48" s="136"/>
      <c r="DY48" s="136"/>
    </row>
    <row r="49" spans="1:129" s="137" customFormat="1">
      <c r="A49" s="133" t="s">
        <v>318</v>
      </c>
      <c r="B49" s="134">
        <v>1003</v>
      </c>
      <c r="C49" s="134">
        <v>344</v>
      </c>
      <c r="D49" s="134">
        <v>1056</v>
      </c>
      <c r="E49" s="134">
        <v>685</v>
      </c>
      <c r="F49" s="134">
        <v>1</v>
      </c>
      <c r="G49" s="134">
        <v>21</v>
      </c>
      <c r="H49" s="134">
        <v>22</v>
      </c>
      <c r="I49" s="134">
        <v>0</v>
      </c>
      <c r="J49" s="134">
        <v>300</v>
      </c>
      <c r="K49" s="134">
        <v>300</v>
      </c>
      <c r="L49" s="134">
        <v>0</v>
      </c>
      <c r="M49" s="134">
        <v>58</v>
      </c>
      <c r="N49" s="134">
        <v>58</v>
      </c>
      <c r="O49" s="134">
        <v>0</v>
      </c>
      <c r="P49" s="134">
        <v>242</v>
      </c>
      <c r="Q49" s="134">
        <v>242</v>
      </c>
      <c r="R49" s="134">
        <v>0</v>
      </c>
      <c r="S49" s="134">
        <v>67</v>
      </c>
      <c r="T49" s="134">
        <v>67</v>
      </c>
      <c r="U49" s="134">
        <v>0</v>
      </c>
      <c r="V49" s="134">
        <v>71</v>
      </c>
      <c r="W49" s="134">
        <v>71</v>
      </c>
      <c r="X49" s="134">
        <v>7</v>
      </c>
      <c r="Y49" s="134">
        <v>580</v>
      </c>
      <c r="Z49" s="134">
        <v>587</v>
      </c>
      <c r="AA49" s="134">
        <v>3</v>
      </c>
      <c r="AB49" s="134">
        <v>203</v>
      </c>
      <c r="AC49" s="134">
        <v>206</v>
      </c>
      <c r="AD49" s="134">
        <v>3</v>
      </c>
      <c r="AE49" s="134">
        <v>197</v>
      </c>
      <c r="AF49" s="134">
        <v>200</v>
      </c>
      <c r="AG49" s="134">
        <v>0</v>
      </c>
      <c r="AH49" s="134">
        <v>5</v>
      </c>
      <c r="AI49" s="134">
        <v>5</v>
      </c>
      <c r="AJ49" s="134">
        <v>0</v>
      </c>
      <c r="AK49" s="134">
        <v>1</v>
      </c>
      <c r="AL49" s="134">
        <v>1</v>
      </c>
      <c r="AM49" s="134">
        <v>4</v>
      </c>
      <c r="AN49" s="134">
        <v>377</v>
      </c>
      <c r="AO49" s="134">
        <v>381</v>
      </c>
      <c r="AP49" s="134">
        <v>906</v>
      </c>
      <c r="AQ49" s="134">
        <v>12000</v>
      </c>
      <c r="AR49" s="134">
        <v>12906</v>
      </c>
      <c r="AS49" s="134">
        <v>883</v>
      </c>
      <c r="AT49" s="134">
        <v>11927</v>
      </c>
      <c r="AU49" s="134">
        <v>12810</v>
      </c>
      <c r="AV49" s="134">
        <v>23</v>
      </c>
      <c r="AW49" s="134">
        <v>73</v>
      </c>
      <c r="AX49" s="134">
        <v>96</v>
      </c>
      <c r="AY49" s="134">
        <v>42</v>
      </c>
      <c r="AZ49" s="134">
        <v>1414</v>
      </c>
      <c r="BA49" s="134">
        <v>1456</v>
      </c>
      <c r="BB49" s="134">
        <v>23</v>
      </c>
      <c r="BC49" s="134">
        <v>0</v>
      </c>
      <c r="BD49" s="134">
        <v>0</v>
      </c>
      <c r="BE49" s="134">
        <v>657</v>
      </c>
      <c r="BF49" s="134">
        <v>4</v>
      </c>
      <c r="BG49" s="134">
        <v>1</v>
      </c>
      <c r="BH49" s="134">
        <v>23</v>
      </c>
      <c r="BI49" s="134">
        <v>662</v>
      </c>
      <c r="BJ49" s="134">
        <v>685</v>
      </c>
      <c r="BK49" s="134">
        <v>-33</v>
      </c>
      <c r="BL49" s="134">
        <v>33</v>
      </c>
      <c r="BM49" s="134">
        <v>0</v>
      </c>
      <c r="BN49" s="134">
        <v>2</v>
      </c>
      <c r="BO49" s="134">
        <v>14</v>
      </c>
      <c r="BP49" s="134">
        <v>16</v>
      </c>
      <c r="BQ49" s="134">
        <v>0</v>
      </c>
      <c r="BR49" s="134">
        <v>0</v>
      </c>
      <c r="BS49" s="134">
        <v>0</v>
      </c>
      <c r="BT49" s="134">
        <v>50</v>
      </c>
      <c r="BU49" s="134">
        <v>705</v>
      </c>
      <c r="BV49" s="134">
        <v>755</v>
      </c>
      <c r="BW49" s="134">
        <v>948</v>
      </c>
      <c r="BX49" s="134">
        <v>13414</v>
      </c>
      <c r="BY49" s="134">
        <v>14362</v>
      </c>
      <c r="BZ49" s="134">
        <v>945</v>
      </c>
      <c r="CA49" s="134">
        <v>13351</v>
      </c>
      <c r="CB49" s="134">
        <v>14296</v>
      </c>
      <c r="CC49" s="134">
        <v>25353</v>
      </c>
      <c r="CD49" s="134">
        <v>3</v>
      </c>
      <c r="CE49" s="134">
        <v>69</v>
      </c>
      <c r="CF49" s="134">
        <v>3</v>
      </c>
      <c r="CG49" s="134">
        <v>53</v>
      </c>
      <c r="CH49" s="134">
        <v>56</v>
      </c>
      <c r="CI49" s="134">
        <v>0</v>
      </c>
      <c r="CJ49" s="134">
        <v>12</v>
      </c>
      <c r="CK49" s="134">
        <v>0</v>
      </c>
      <c r="CL49" s="134">
        <v>10</v>
      </c>
      <c r="CM49" s="134">
        <v>10</v>
      </c>
      <c r="CN49" s="134">
        <v>57</v>
      </c>
      <c r="CO49" s="134">
        <v>1242</v>
      </c>
      <c r="CP49" s="134">
        <v>1299</v>
      </c>
      <c r="CQ49" s="134">
        <v>0</v>
      </c>
      <c r="CR49" s="134">
        <v>0</v>
      </c>
      <c r="CS49" s="134">
        <v>0</v>
      </c>
      <c r="CT49" s="134">
        <v>891</v>
      </c>
      <c r="CU49" s="134">
        <v>12172</v>
      </c>
      <c r="CV49" s="134">
        <v>13063</v>
      </c>
      <c r="CW49" s="134">
        <v>93</v>
      </c>
      <c r="CX49" s="134">
        <v>726</v>
      </c>
      <c r="CY49" s="134">
        <v>819</v>
      </c>
      <c r="CZ49" s="134">
        <v>91</v>
      </c>
      <c r="DA49" s="134">
        <v>1</v>
      </c>
      <c r="DB49" s="134">
        <v>0</v>
      </c>
      <c r="DC49" s="134">
        <v>690</v>
      </c>
      <c r="DD49" s="134">
        <v>0</v>
      </c>
      <c r="DE49" s="134">
        <v>0</v>
      </c>
      <c r="DF49" s="134">
        <v>92</v>
      </c>
      <c r="DG49" s="134">
        <v>690</v>
      </c>
      <c r="DH49" s="134">
        <v>782</v>
      </c>
      <c r="DI49" s="134">
        <v>1</v>
      </c>
      <c r="DJ49" s="134">
        <v>0</v>
      </c>
      <c r="DK49" s="134">
        <v>0</v>
      </c>
      <c r="DL49" s="134">
        <v>36</v>
      </c>
      <c r="DM49" s="134">
        <v>0</v>
      </c>
      <c r="DN49" s="134">
        <v>0</v>
      </c>
      <c r="DO49" s="134">
        <v>1</v>
      </c>
      <c r="DP49" s="134">
        <v>36</v>
      </c>
      <c r="DQ49" s="134">
        <v>37</v>
      </c>
      <c r="DR49" s="134">
        <v>0</v>
      </c>
      <c r="DS49" s="134">
        <v>0</v>
      </c>
      <c r="DT49" s="135">
        <v>0</v>
      </c>
      <c r="DU49" s="116"/>
      <c r="DV49" s="136"/>
      <c r="DX49" s="136"/>
      <c r="DY49" s="136"/>
    </row>
    <row r="50" spans="1:129" s="137" customFormat="1">
      <c r="A50" s="133" t="s">
        <v>319</v>
      </c>
      <c r="B50" s="134">
        <v>961</v>
      </c>
      <c r="C50" s="134">
        <v>231</v>
      </c>
      <c r="D50" s="134">
        <v>1020</v>
      </c>
      <c r="E50" s="134">
        <v>573</v>
      </c>
      <c r="F50" s="134">
        <v>2</v>
      </c>
      <c r="G50" s="134">
        <v>34</v>
      </c>
      <c r="H50" s="134">
        <v>36</v>
      </c>
      <c r="I50" s="134">
        <v>0</v>
      </c>
      <c r="J50" s="134">
        <v>420</v>
      </c>
      <c r="K50" s="134">
        <v>420</v>
      </c>
      <c r="L50" s="134">
        <v>0</v>
      </c>
      <c r="M50" s="134">
        <v>71</v>
      </c>
      <c r="N50" s="134">
        <v>71</v>
      </c>
      <c r="O50" s="134">
        <v>0</v>
      </c>
      <c r="P50" s="134">
        <v>349</v>
      </c>
      <c r="Q50" s="134">
        <v>349</v>
      </c>
      <c r="R50" s="134">
        <v>0</v>
      </c>
      <c r="S50" s="134">
        <v>12</v>
      </c>
      <c r="T50" s="134">
        <v>12</v>
      </c>
      <c r="U50" s="134">
        <v>0</v>
      </c>
      <c r="V50" s="134">
        <v>27</v>
      </c>
      <c r="W50" s="134">
        <v>27</v>
      </c>
      <c r="X50" s="134">
        <v>23</v>
      </c>
      <c r="Y50" s="134">
        <v>997</v>
      </c>
      <c r="Z50" s="134">
        <v>1020</v>
      </c>
      <c r="AA50" s="134">
        <v>12</v>
      </c>
      <c r="AB50" s="134">
        <v>385</v>
      </c>
      <c r="AC50" s="134">
        <v>397</v>
      </c>
      <c r="AD50" s="134">
        <v>11</v>
      </c>
      <c r="AE50" s="134">
        <v>369</v>
      </c>
      <c r="AF50" s="134">
        <v>380</v>
      </c>
      <c r="AG50" s="134">
        <v>0</v>
      </c>
      <c r="AH50" s="134">
        <v>9</v>
      </c>
      <c r="AI50" s="134">
        <v>9</v>
      </c>
      <c r="AJ50" s="134">
        <v>1</v>
      </c>
      <c r="AK50" s="134">
        <v>7</v>
      </c>
      <c r="AL50" s="134">
        <v>8</v>
      </c>
      <c r="AM50" s="134">
        <v>11</v>
      </c>
      <c r="AN50" s="134">
        <v>612</v>
      </c>
      <c r="AO50" s="134">
        <v>623</v>
      </c>
      <c r="AP50" s="134">
        <v>1063</v>
      </c>
      <c r="AQ50" s="134">
        <v>10325</v>
      </c>
      <c r="AR50" s="134">
        <v>11388</v>
      </c>
      <c r="AS50" s="134">
        <v>1063</v>
      </c>
      <c r="AT50" s="134">
        <v>10325</v>
      </c>
      <c r="AU50" s="134">
        <v>11388</v>
      </c>
      <c r="AV50" s="134">
        <v>0</v>
      </c>
      <c r="AW50" s="134">
        <v>0</v>
      </c>
      <c r="AX50" s="134">
        <v>0</v>
      </c>
      <c r="AY50" s="134">
        <v>82</v>
      </c>
      <c r="AZ50" s="134">
        <v>1026</v>
      </c>
      <c r="BA50" s="134">
        <v>1108</v>
      </c>
      <c r="BB50" s="134">
        <v>27</v>
      </c>
      <c r="BC50" s="134">
        <v>1</v>
      </c>
      <c r="BD50" s="134">
        <v>0</v>
      </c>
      <c r="BE50" s="134">
        <v>544</v>
      </c>
      <c r="BF50" s="134">
        <v>0</v>
      </c>
      <c r="BG50" s="134">
        <v>1</v>
      </c>
      <c r="BH50" s="134">
        <v>28</v>
      </c>
      <c r="BI50" s="134">
        <v>545</v>
      </c>
      <c r="BJ50" s="134">
        <v>573</v>
      </c>
      <c r="BK50" s="134">
        <v>5</v>
      </c>
      <c r="BL50" s="134">
        <v>-5</v>
      </c>
      <c r="BM50" s="134">
        <v>0</v>
      </c>
      <c r="BN50" s="134">
        <v>7</v>
      </c>
      <c r="BO50" s="134">
        <v>44</v>
      </c>
      <c r="BP50" s="134">
        <v>51</v>
      </c>
      <c r="BQ50" s="134">
        <v>9</v>
      </c>
      <c r="BR50" s="134">
        <v>185</v>
      </c>
      <c r="BS50" s="134">
        <v>194</v>
      </c>
      <c r="BT50" s="134">
        <v>33</v>
      </c>
      <c r="BU50" s="134">
        <v>257</v>
      </c>
      <c r="BV50" s="134">
        <v>290</v>
      </c>
      <c r="BW50" s="134">
        <v>1145</v>
      </c>
      <c r="BX50" s="134">
        <v>11351</v>
      </c>
      <c r="BY50" s="134">
        <v>12496</v>
      </c>
      <c r="BZ50" s="134">
        <v>1141</v>
      </c>
      <c r="CA50" s="134">
        <v>11317</v>
      </c>
      <c r="CB50" s="134">
        <v>12458</v>
      </c>
      <c r="CC50" s="134">
        <v>23319</v>
      </c>
      <c r="CD50" s="134">
        <v>2</v>
      </c>
      <c r="CE50" s="134">
        <v>21</v>
      </c>
      <c r="CF50" s="134">
        <v>4</v>
      </c>
      <c r="CG50" s="134">
        <v>18</v>
      </c>
      <c r="CH50" s="134">
        <v>22</v>
      </c>
      <c r="CI50" s="134">
        <v>17</v>
      </c>
      <c r="CJ50" s="134">
        <v>4</v>
      </c>
      <c r="CK50" s="134">
        <v>0</v>
      </c>
      <c r="CL50" s="134">
        <v>16</v>
      </c>
      <c r="CM50" s="134">
        <v>16</v>
      </c>
      <c r="CN50" s="134">
        <v>66</v>
      </c>
      <c r="CO50" s="134">
        <v>1155</v>
      </c>
      <c r="CP50" s="134">
        <v>1221</v>
      </c>
      <c r="CQ50" s="134">
        <v>0</v>
      </c>
      <c r="CR50" s="134">
        <v>23</v>
      </c>
      <c r="CS50" s="134">
        <v>23</v>
      </c>
      <c r="CT50" s="134">
        <v>1079</v>
      </c>
      <c r="CU50" s="134">
        <v>10196</v>
      </c>
      <c r="CV50" s="134">
        <v>11275</v>
      </c>
      <c r="CW50" s="134">
        <v>68</v>
      </c>
      <c r="CX50" s="134">
        <v>411</v>
      </c>
      <c r="CY50" s="134">
        <v>479</v>
      </c>
      <c r="CZ50" s="134">
        <v>68</v>
      </c>
      <c r="DA50" s="134">
        <v>0</v>
      </c>
      <c r="DB50" s="134">
        <v>0</v>
      </c>
      <c r="DC50" s="134">
        <v>403</v>
      </c>
      <c r="DD50" s="134">
        <v>0</v>
      </c>
      <c r="DE50" s="134">
        <v>1</v>
      </c>
      <c r="DF50" s="134">
        <v>68</v>
      </c>
      <c r="DG50" s="134">
        <v>404</v>
      </c>
      <c r="DH50" s="134">
        <v>472</v>
      </c>
      <c r="DI50" s="134">
        <v>0</v>
      </c>
      <c r="DJ50" s="134">
        <v>0</v>
      </c>
      <c r="DK50" s="134">
        <v>0</v>
      </c>
      <c r="DL50" s="134">
        <v>7</v>
      </c>
      <c r="DM50" s="134">
        <v>0</v>
      </c>
      <c r="DN50" s="134">
        <v>0</v>
      </c>
      <c r="DO50" s="134">
        <v>0</v>
      </c>
      <c r="DP50" s="134">
        <v>7</v>
      </c>
      <c r="DQ50" s="134">
        <v>7</v>
      </c>
      <c r="DR50" s="134">
        <v>0</v>
      </c>
      <c r="DS50" s="134">
        <v>0</v>
      </c>
      <c r="DT50" s="135">
        <v>0</v>
      </c>
      <c r="DU50" s="116"/>
      <c r="DV50" s="136"/>
      <c r="DX50" s="136"/>
      <c r="DY50" s="136"/>
    </row>
    <row r="51" spans="1:129" s="137" customFormat="1">
      <c r="A51" s="133" t="s">
        <v>320</v>
      </c>
      <c r="B51" s="134">
        <v>9</v>
      </c>
      <c r="C51" s="134">
        <v>0</v>
      </c>
      <c r="D51" s="134">
        <v>8</v>
      </c>
      <c r="E51" s="134">
        <v>6</v>
      </c>
      <c r="F51" s="134">
        <v>0</v>
      </c>
      <c r="G51" s="134">
        <v>0</v>
      </c>
      <c r="H51" s="134">
        <v>0</v>
      </c>
      <c r="I51" s="134">
        <v>0</v>
      </c>
      <c r="J51" s="134">
        <v>1</v>
      </c>
      <c r="K51" s="134">
        <v>1</v>
      </c>
      <c r="L51" s="134">
        <v>0</v>
      </c>
      <c r="M51" s="134">
        <v>0</v>
      </c>
      <c r="N51" s="134">
        <v>0</v>
      </c>
      <c r="O51" s="134">
        <v>0</v>
      </c>
      <c r="P51" s="134">
        <v>1</v>
      </c>
      <c r="Q51" s="134">
        <v>1</v>
      </c>
      <c r="R51" s="134">
        <v>0</v>
      </c>
      <c r="S51" s="134">
        <v>0</v>
      </c>
      <c r="T51" s="134">
        <v>0</v>
      </c>
      <c r="U51" s="134">
        <v>0</v>
      </c>
      <c r="V51" s="134">
        <v>1</v>
      </c>
      <c r="W51" s="134">
        <v>1</v>
      </c>
      <c r="X51" s="134">
        <v>1</v>
      </c>
      <c r="Y51" s="134">
        <v>7</v>
      </c>
      <c r="Z51" s="134">
        <v>8</v>
      </c>
      <c r="AA51" s="134">
        <v>0</v>
      </c>
      <c r="AB51" s="134">
        <v>2</v>
      </c>
      <c r="AC51" s="134">
        <v>2</v>
      </c>
      <c r="AD51" s="134">
        <v>0</v>
      </c>
      <c r="AE51" s="134">
        <v>2</v>
      </c>
      <c r="AF51" s="134">
        <v>2</v>
      </c>
      <c r="AG51" s="134">
        <v>0</v>
      </c>
      <c r="AH51" s="134">
        <v>0</v>
      </c>
      <c r="AI51" s="134">
        <v>0</v>
      </c>
      <c r="AJ51" s="134">
        <v>0</v>
      </c>
      <c r="AK51" s="134">
        <v>0</v>
      </c>
      <c r="AL51" s="134">
        <v>0</v>
      </c>
      <c r="AM51" s="134">
        <v>1</v>
      </c>
      <c r="AN51" s="134">
        <v>5</v>
      </c>
      <c r="AO51" s="134">
        <v>6</v>
      </c>
      <c r="AP51" s="134">
        <v>9</v>
      </c>
      <c r="AQ51" s="134">
        <v>136</v>
      </c>
      <c r="AR51" s="134">
        <v>145</v>
      </c>
      <c r="AS51" s="134">
        <v>9</v>
      </c>
      <c r="AT51" s="134">
        <v>136</v>
      </c>
      <c r="AU51" s="134">
        <v>145</v>
      </c>
      <c r="AV51" s="134">
        <v>0</v>
      </c>
      <c r="AW51" s="134">
        <v>0</v>
      </c>
      <c r="AX51" s="134">
        <v>0</v>
      </c>
      <c r="AY51" s="134">
        <v>2</v>
      </c>
      <c r="AZ51" s="134">
        <v>10</v>
      </c>
      <c r="BA51" s="134">
        <v>12</v>
      </c>
      <c r="BB51" s="134">
        <v>1</v>
      </c>
      <c r="BC51" s="134">
        <v>0</v>
      </c>
      <c r="BD51" s="134">
        <v>0</v>
      </c>
      <c r="BE51" s="134">
        <v>5</v>
      </c>
      <c r="BF51" s="134">
        <v>0</v>
      </c>
      <c r="BG51" s="134">
        <v>0</v>
      </c>
      <c r="BH51" s="134">
        <v>1</v>
      </c>
      <c r="BI51" s="134">
        <v>5</v>
      </c>
      <c r="BJ51" s="134">
        <v>6</v>
      </c>
      <c r="BK51" s="134">
        <v>1</v>
      </c>
      <c r="BL51" s="134">
        <v>-1</v>
      </c>
      <c r="BM51" s="134">
        <v>0</v>
      </c>
      <c r="BN51" s="134">
        <v>0</v>
      </c>
      <c r="BO51" s="134">
        <v>0</v>
      </c>
      <c r="BP51" s="134">
        <v>0</v>
      </c>
      <c r="BQ51" s="134">
        <v>0</v>
      </c>
      <c r="BR51" s="134">
        <v>1</v>
      </c>
      <c r="BS51" s="134">
        <v>1</v>
      </c>
      <c r="BT51" s="134">
        <v>0</v>
      </c>
      <c r="BU51" s="134">
        <v>5</v>
      </c>
      <c r="BV51" s="134">
        <v>5</v>
      </c>
      <c r="BW51" s="134">
        <v>11</v>
      </c>
      <c r="BX51" s="134">
        <v>146</v>
      </c>
      <c r="BY51" s="134">
        <v>157</v>
      </c>
      <c r="BZ51" s="134">
        <v>11</v>
      </c>
      <c r="CA51" s="134">
        <v>146</v>
      </c>
      <c r="CB51" s="134">
        <v>157</v>
      </c>
      <c r="CC51" s="134">
        <v>264</v>
      </c>
      <c r="CD51" s="134">
        <v>0</v>
      </c>
      <c r="CE51" s="134">
        <v>0</v>
      </c>
      <c r="CF51" s="134">
        <v>0</v>
      </c>
      <c r="CG51" s="134">
        <v>0</v>
      </c>
      <c r="CH51" s="134">
        <v>0</v>
      </c>
      <c r="CI51" s="134">
        <v>0</v>
      </c>
      <c r="CJ51" s="134">
        <v>0</v>
      </c>
      <c r="CK51" s="134">
        <v>0</v>
      </c>
      <c r="CL51" s="134">
        <v>0</v>
      </c>
      <c r="CM51" s="134">
        <v>0</v>
      </c>
      <c r="CN51" s="134">
        <v>1</v>
      </c>
      <c r="CO51" s="134">
        <v>12</v>
      </c>
      <c r="CP51" s="134">
        <v>13</v>
      </c>
      <c r="CQ51" s="134">
        <v>0</v>
      </c>
      <c r="CR51" s="134">
        <v>0</v>
      </c>
      <c r="CS51" s="134">
        <v>0</v>
      </c>
      <c r="CT51" s="134">
        <v>10</v>
      </c>
      <c r="CU51" s="134">
        <v>134</v>
      </c>
      <c r="CV51" s="134">
        <v>144</v>
      </c>
      <c r="CW51" s="134">
        <v>0</v>
      </c>
      <c r="CX51" s="134">
        <v>8</v>
      </c>
      <c r="CY51" s="134">
        <v>8</v>
      </c>
      <c r="CZ51" s="134">
        <v>0</v>
      </c>
      <c r="DA51" s="134">
        <v>0</v>
      </c>
      <c r="DB51" s="134">
        <v>0</v>
      </c>
      <c r="DC51" s="134">
        <v>8</v>
      </c>
      <c r="DD51" s="134">
        <v>0</v>
      </c>
      <c r="DE51" s="134">
        <v>0</v>
      </c>
      <c r="DF51" s="134">
        <v>0</v>
      </c>
      <c r="DG51" s="134">
        <v>8</v>
      </c>
      <c r="DH51" s="134">
        <v>8</v>
      </c>
      <c r="DI51" s="134">
        <v>0</v>
      </c>
      <c r="DJ51" s="134">
        <v>0</v>
      </c>
      <c r="DK51" s="134">
        <v>0</v>
      </c>
      <c r="DL51" s="134">
        <v>0</v>
      </c>
      <c r="DM51" s="134">
        <v>0</v>
      </c>
      <c r="DN51" s="134">
        <v>0</v>
      </c>
      <c r="DO51" s="134">
        <v>0</v>
      </c>
      <c r="DP51" s="134">
        <v>0</v>
      </c>
      <c r="DQ51" s="134">
        <v>0</v>
      </c>
      <c r="DR51" s="134">
        <v>0</v>
      </c>
      <c r="DS51" s="134">
        <v>0</v>
      </c>
      <c r="DT51" s="135">
        <v>0</v>
      </c>
      <c r="DU51" s="116"/>
      <c r="DV51" s="136"/>
      <c r="DX51" s="136"/>
      <c r="DY51" s="136"/>
    </row>
    <row r="52" spans="1:129" s="137" customFormat="1">
      <c r="A52" s="133" t="s">
        <v>321</v>
      </c>
      <c r="B52" s="134">
        <v>278</v>
      </c>
      <c r="C52" s="134">
        <v>95</v>
      </c>
      <c r="D52" s="134">
        <v>295</v>
      </c>
      <c r="E52" s="134">
        <v>172</v>
      </c>
      <c r="F52" s="134">
        <v>0</v>
      </c>
      <c r="G52" s="134">
        <v>8</v>
      </c>
      <c r="H52" s="134">
        <v>8</v>
      </c>
      <c r="I52" s="134">
        <v>0</v>
      </c>
      <c r="J52" s="134">
        <v>107</v>
      </c>
      <c r="K52" s="134">
        <v>107</v>
      </c>
      <c r="L52" s="134">
        <v>0</v>
      </c>
      <c r="M52" s="134">
        <v>18</v>
      </c>
      <c r="N52" s="134">
        <v>18</v>
      </c>
      <c r="O52" s="134">
        <v>0</v>
      </c>
      <c r="P52" s="134">
        <v>89</v>
      </c>
      <c r="Q52" s="134">
        <v>89</v>
      </c>
      <c r="R52" s="134">
        <v>0</v>
      </c>
      <c r="S52" s="134">
        <v>1</v>
      </c>
      <c r="T52" s="134">
        <v>1</v>
      </c>
      <c r="U52" s="134">
        <v>0</v>
      </c>
      <c r="V52" s="134">
        <v>16</v>
      </c>
      <c r="W52" s="134">
        <v>16</v>
      </c>
      <c r="X52" s="134">
        <v>3</v>
      </c>
      <c r="Y52" s="134">
        <v>292</v>
      </c>
      <c r="Z52" s="134">
        <v>295</v>
      </c>
      <c r="AA52" s="134">
        <v>3</v>
      </c>
      <c r="AB52" s="134">
        <v>115</v>
      </c>
      <c r="AC52" s="134">
        <v>118</v>
      </c>
      <c r="AD52" s="134">
        <v>2</v>
      </c>
      <c r="AE52" s="134">
        <v>102</v>
      </c>
      <c r="AF52" s="134">
        <v>104</v>
      </c>
      <c r="AG52" s="134">
        <v>0</v>
      </c>
      <c r="AH52" s="134">
        <v>2</v>
      </c>
      <c r="AI52" s="134">
        <v>2</v>
      </c>
      <c r="AJ52" s="134">
        <v>1</v>
      </c>
      <c r="AK52" s="134">
        <v>11</v>
      </c>
      <c r="AL52" s="134">
        <v>12</v>
      </c>
      <c r="AM52" s="134">
        <v>0</v>
      </c>
      <c r="AN52" s="134">
        <v>177</v>
      </c>
      <c r="AO52" s="134">
        <v>177</v>
      </c>
      <c r="AP52" s="134">
        <v>314</v>
      </c>
      <c r="AQ52" s="134">
        <v>2522</v>
      </c>
      <c r="AR52" s="134">
        <v>2836</v>
      </c>
      <c r="AS52" s="134">
        <v>314</v>
      </c>
      <c r="AT52" s="134">
        <v>2522</v>
      </c>
      <c r="AU52" s="134">
        <v>2836</v>
      </c>
      <c r="AV52" s="134">
        <v>0</v>
      </c>
      <c r="AW52" s="134">
        <v>0</v>
      </c>
      <c r="AX52" s="134">
        <v>0</v>
      </c>
      <c r="AY52" s="134">
        <v>30</v>
      </c>
      <c r="AZ52" s="134">
        <v>274</v>
      </c>
      <c r="BA52" s="134">
        <v>304</v>
      </c>
      <c r="BB52" s="134">
        <v>10</v>
      </c>
      <c r="BC52" s="134">
        <v>0</v>
      </c>
      <c r="BD52" s="134">
        <v>0</v>
      </c>
      <c r="BE52" s="134">
        <v>160</v>
      </c>
      <c r="BF52" s="134">
        <v>2</v>
      </c>
      <c r="BG52" s="134">
        <v>0</v>
      </c>
      <c r="BH52" s="134">
        <v>10</v>
      </c>
      <c r="BI52" s="134">
        <v>162</v>
      </c>
      <c r="BJ52" s="134">
        <v>172</v>
      </c>
      <c r="BK52" s="134">
        <v>-2</v>
      </c>
      <c r="BL52" s="134">
        <v>2</v>
      </c>
      <c r="BM52" s="134">
        <v>0</v>
      </c>
      <c r="BN52" s="134">
        <v>1</v>
      </c>
      <c r="BO52" s="134">
        <v>5</v>
      </c>
      <c r="BP52" s="134">
        <v>6</v>
      </c>
      <c r="BQ52" s="134">
        <v>4</v>
      </c>
      <c r="BR52" s="134">
        <v>32</v>
      </c>
      <c r="BS52" s="134">
        <v>36</v>
      </c>
      <c r="BT52" s="134">
        <v>17</v>
      </c>
      <c r="BU52" s="134">
        <v>73</v>
      </c>
      <c r="BV52" s="134">
        <v>90</v>
      </c>
      <c r="BW52" s="134">
        <v>344</v>
      </c>
      <c r="BX52" s="134">
        <v>2796</v>
      </c>
      <c r="BY52" s="134">
        <v>3140</v>
      </c>
      <c r="BZ52" s="134">
        <v>344</v>
      </c>
      <c r="CA52" s="134">
        <v>2786</v>
      </c>
      <c r="CB52" s="134">
        <v>3130</v>
      </c>
      <c r="CC52" s="134">
        <v>6435</v>
      </c>
      <c r="CD52" s="134">
        <v>3</v>
      </c>
      <c r="CE52" s="134">
        <v>6</v>
      </c>
      <c r="CF52" s="134">
        <v>0</v>
      </c>
      <c r="CG52" s="134">
        <v>8</v>
      </c>
      <c r="CH52" s="134">
        <v>8</v>
      </c>
      <c r="CI52" s="134">
        <v>3</v>
      </c>
      <c r="CJ52" s="134">
        <v>0</v>
      </c>
      <c r="CK52" s="134">
        <v>0</v>
      </c>
      <c r="CL52" s="134">
        <v>2</v>
      </c>
      <c r="CM52" s="134">
        <v>2</v>
      </c>
      <c r="CN52" s="134">
        <v>40</v>
      </c>
      <c r="CO52" s="134">
        <v>271</v>
      </c>
      <c r="CP52" s="134">
        <v>311</v>
      </c>
      <c r="CQ52" s="134">
        <v>0</v>
      </c>
      <c r="CR52" s="134">
        <v>5</v>
      </c>
      <c r="CS52" s="134">
        <v>5</v>
      </c>
      <c r="CT52" s="134">
        <v>304</v>
      </c>
      <c r="CU52" s="134">
        <v>2525</v>
      </c>
      <c r="CV52" s="134">
        <v>2829</v>
      </c>
      <c r="CW52" s="134">
        <v>19</v>
      </c>
      <c r="CX52" s="134">
        <v>106</v>
      </c>
      <c r="CY52" s="134">
        <v>125</v>
      </c>
      <c r="CZ52" s="134">
        <v>19</v>
      </c>
      <c r="DA52" s="134">
        <v>0</v>
      </c>
      <c r="DB52" s="134">
        <v>0</v>
      </c>
      <c r="DC52" s="134">
        <v>103</v>
      </c>
      <c r="DD52" s="134">
        <v>1</v>
      </c>
      <c r="DE52" s="134">
        <v>0</v>
      </c>
      <c r="DF52" s="134">
        <v>19</v>
      </c>
      <c r="DG52" s="134">
        <v>104</v>
      </c>
      <c r="DH52" s="134">
        <v>123</v>
      </c>
      <c r="DI52" s="134">
        <v>0</v>
      </c>
      <c r="DJ52" s="134">
        <v>0</v>
      </c>
      <c r="DK52" s="134">
        <v>0</v>
      </c>
      <c r="DL52" s="134">
        <v>2</v>
      </c>
      <c r="DM52" s="134">
        <v>0</v>
      </c>
      <c r="DN52" s="134">
        <v>0</v>
      </c>
      <c r="DO52" s="134">
        <v>0</v>
      </c>
      <c r="DP52" s="134">
        <v>2</v>
      </c>
      <c r="DQ52" s="134">
        <v>2</v>
      </c>
      <c r="DR52" s="134">
        <v>0</v>
      </c>
      <c r="DS52" s="134">
        <v>0</v>
      </c>
      <c r="DT52" s="135">
        <v>0</v>
      </c>
      <c r="DU52" s="116"/>
      <c r="DV52" s="136"/>
      <c r="DX52" s="136"/>
      <c r="DY52" s="136"/>
    </row>
    <row r="53" spans="1:129" s="137" customFormat="1">
      <c r="A53" s="133" t="s">
        <v>322</v>
      </c>
      <c r="B53" s="134">
        <v>1372</v>
      </c>
      <c r="C53" s="134">
        <v>437</v>
      </c>
      <c r="D53" s="134">
        <v>1298</v>
      </c>
      <c r="E53" s="134">
        <v>794</v>
      </c>
      <c r="F53" s="134">
        <v>6</v>
      </c>
      <c r="G53" s="134">
        <v>18</v>
      </c>
      <c r="H53" s="134">
        <v>24</v>
      </c>
      <c r="I53" s="134">
        <v>2</v>
      </c>
      <c r="J53" s="134">
        <v>447</v>
      </c>
      <c r="K53" s="134">
        <v>449</v>
      </c>
      <c r="L53" s="134">
        <v>0</v>
      </c>
      <c r="M53" s="134">
        <v>132</v>
      </c>
      <c r="N53" s="134">
        <v>132</v>
      </c>
      <c r="O53" s="134">
        <v>2</v>
      </c>
      <c r="P53" s="134">
        <v>315</v>
      </c>
      <c r="Q53" s="134">
        <v>317</v>
      </c>
      <c r="R53" s="134">
        <v>0</v>
      </c>
      <c r="S53" s="134">
        <v>23</v>
      </c>
      <c r="T53" s="134">
        <v>23</v>
      </c>
      <c r="U53" s="134">
        <v>0</v>
      </c>
      <c r="V53" s="134">
        <v>55</v>
      </c>
      <c r="W53" s="134">
        <v>55</v>
      </c>
      <c r="X53" s="134">
        <v>30</v>
      </c>
      <c r="Y53" s="134">
        <v>780</v>
      </c>
      <c r="Z53" s="134">
        <v>810</v>
      </c>
      <c r="AA53" s="134">
        <v>21</v>
      </c>
      <c r="AB53" s="134">
        <v>464</v>
      </c>
      <c r="AC53" s="134">
        <v>485</v>
      </c>
      <c r="AD53" s="134">
        <v>21</v>
      </c>
      <c r="AE53" s="134">
        <v>445</v>
      </c>
      <c r="AF53" s="134">
        <v>466</v>
      </c>
      <c r="AG53" s="134">
        <v>0</v>
      </c>
      <c r="AH53" s="134">
        <v>11</v>
      </c>
      <c r="AI53" s="134">
        <v>11</v>
      </c>
      <c r="AJ53" s="134">
        <v>0</v>
      </c>
      <c r="AK53" s="134">
        <v>8</v>
      </c>
      <c r="AL53" s="134">
        <v>8</v>
      </c>
      <c r="AM53" s="134">
        <v>9</v>
      </c>
      <c r="AN53" s="134">
        <v>316</v>
      </c>
      <c r="AO53" s="134">
        <v>325</v>
      </c>
      <c r="AP53" s="134">
        <v>2043</v>
      </c>
      <c r="AQ53" s="134">
        <v>17196</v>
      </c>
      <c r="AR53" s="134">
        <v>19239</v>
      </c>
      <c r="AS53" s="134">
        <v>2088</v>
      </c>
      <c r="AT53" s="134">
        <v>17678</v>
      </c>
      <c r="AU53" s="134">
        <v>19766</v>
      </c>
      <c r="AV53" s="134">
        <v>-45</v>
      </c>
      <c r="AW53" s="134">
        <v>-482</v>
      </c>
      <c r="AX53" s="134">
        <v>-527</v>
      </c>
      <c r="AY53" s="134">
        <v>158</v>
      </c>
      <c r="AZ53" s="134">
        <v>1608</v>
      </c>
      <c r="BA53" s="134">
        <v>1766</v>
      </c>
      <c r="BB53" s="134">
        <v>52</v>
      </c>
      <c r="BC53" s="134">
        <v>0</v>
      </c>
      <c r="BD53" s="134">
        <v>0</v>
      </c>
      <c r="BE53" s="134">
        <v>725</v>
      </c>
      <c r="BF53" s="134">
        <v>10</v>
      </c>
      <c r="BG53" s="134">
        <v>7</v>
      </c>
      <c r="BH53" s="134">
        <v>52</v>
      </c>
      <c r="BI53" s="134">
        <v>742</v>
      </c>
      <c r="BJ53" s="134">
        <v>794</v>
      </c>
      <c r="BK53" s="134">
        <v>17</v>
      </c>
      <c r="BL53" s="134">
        <v>-17</v>
      </c>
      <c r="BM53" s="134">
        <v>0</v>
      </c>
      <c r="BN53" s="134">
        <v>8</v>
      </c>
      <c r="BO53" s="134">
        <v>53</v>
      </c>
      <c r="BP53" s="134">
        <v>61</v>
      </c>
      <c r="BQ53" s="134">
        <v>4</v>
      </c>
      <c r="BR53" s="134">
        <v>98</v>
      </c>
      <c r="BS53" s="134">
        <v>102</v>
      </c>
      <c r="BT53" s="134">
        <v>77</v>
      </c>
      <c r="BU53" s="134">
        <v>732</v>
      </c>
      <c r="BV53" s="134">
        <v>809</v>
      </c>
      <c r="BW53" s="134">
        <v>2201</v>
      </c>
      <c r="BX53" s="134">
        <v>18804</v>
      </c>
      <c r="BY53" s="134">
        <v>21005</v>
      </c>
      <c r="BZ53" s="134">
        <v>2181</v>
      </c>
      <c r="CA53" s="134">
        <v>18588</v>
      </c>
      <c r="CB53" s="134">
        <v>20769</v>
      </c>
      <c r="CC53" s="134">
        <v>38868</v>
      </c>
      <c r="CD53" s="134">
        <v>185</v>
      </c>
      <c r="CE53" s="134">
        <v>160</v>
      </c>
      <c r="CF53" s="134">
        <v>20</v>
      </c>
      <c r="CG53" s="134">
        <v>139</v>
      </c>
      <c r="CH53" s="134">
        <v>159</v>
      </c>
      <c r="CI53" s="134">
        <v>100</v>
      </c>
      <c r="CJ53" s="134">
        <v>75</v>
      </c>
      <c r="CK53" s="134">
        <v>0</v>
      </c>
      <c r="CL53" s="134">
        <v>77</v>
      </c>
      <c r="CM53" s="134">
        <v>77</v>
      </c>
      <c r="CN53" s="134">
        <v>152</v>
      </c>
      <c r="CO53" s="134">
        <v>2024</v>
      </c>
      <c r="CP53" s="134">
        <v>2176</v>
      </c>
      <c r="CQ53" s="134">
        <v>0</v>
      </c>
      <c r="CR53" s="134">
        <v>0</v>
      </c>
      <c r="CS53" s="134">
        <v>0</v>
      </c>
      <c r="CT53" s="134">
        <v>2049</v>
      </c>
      <c r="CU53" s="134">
        <v>16780</v>
      </c>
      <c r="CV53" s="134">
        <v>18829</v>
      </c>
      <c r="CW53" s="134">
        <v>160</v>
      </c>
      <c r="CX53" s="134">
        <v>1000</v>
      </c>
      <c r="CY53" s="134">
        <v>1160</v>
      </c>
      <c r="CZ53" s="134">
        <v>156</v>
      </c>
      <c r="DA53" s="134">
        <v>1</v>
      </c>
      <c r="DB53" s="134">
        <v>0</v>
      </c>
      <c r="DC53" s="134">
        <v>945</v>
      </c>
      <c r="DD53" s="134">
        <v>14</v>
      </c>
      <c r="DE53" s="134">
        <v>5</v>
      </c>
      <c r="DF53" s="134">
        <v>157</v>
      </c>
      <c r="DG53" s="134">
        <v>964</v>
      </c>
      <c r="DH53" s="134">
        <v>1121</v>
      </c>
      <c r="DI53" s="134">
        <v>3</v>
      </c>
      <c r="DJ53" s="134">
        <v>0</v>
      </c>
      <c r="DK53" s="134">
        <v>0</v>
      </c>
      <c r="DL53" s="134">
        <v>36</v>
      </c>
      <c r="DM53" s="134">
        <v>0</v>
      </c>
      <c r="DN53" s="134">
        <v>0</v>
      </c>
      <c r="DO53" s="134">
        <v>3</v>
      </c>
      <c r="DP53" s="134">
        <v>36</v>
      </c>
      <c r="DQ53" s="134">
        <v>39</v>
      </c>
      <c r="DR53" s="134">
        <v>0</v>
      </c>
      <c r="DS53" s="134">
        <v>0</v>
      </c>
      <c r="DT53" s="135">
        <v>0</v>
      </c>
      <c r="DU53" s="116"/>
      <c r="DV53" s="136"/>
      <c r="DX53" s="136"/>
      <c r="DY53" s="136"/>
    </row>
    <row r="54" spans="1:129" s="137" customFormat="1">
      <c r="A54" s="133" t="s">
        <v>323</v>
      </c>
      <c r="B54" s="134">
        <v>931</v>
      </c>
      <c r="C54" s="134">
        <v>371</v>
      </c>
      <c r="D54" s="134">
        <v>1204</v>
      </c>
      <c r="E54" s="134">
        <v>464</v>
      </c>
      <c r="F54" s="134">
        <v>0</v>
      </c>
      <c r="G54" s="134">
        <v>63</v>
      </c>
      <c r="H54" s="134">
        <v>63</v>
      </c>
      <c r="I54" s="134">
        <v>2</v>
      </c>
      <c r="J54" s="134">
        <v>658</v>
      </c>
      <c r="K54" s="134">
        <v>660</v>
      </c>
      <c r="L54" s="134">
        <v>0</v>
      </c>
      <c r="M54" s="134">
        <v>159</v>
      </c>
      <c r="N54" s="134">
        <v>159</v>
      </c>
      <c r="O54" s="134">
        <v>2</v>
      </c>
      <c r="P54" s="134">
        <v>499</v>
      </c>
      <c r="Q54" s="134">
        <v>501</v>
      </c>
      <c r="R54" s="134">
        <v>1</v>
      </c>
      <c r="S54" s="134">
        <v>326</v>
      </c>
      <c r="T54" s="134">
        <v>327</v>
      </c>
      <c r="U54" s="134">
        <v>0</v>
      </c>
      <c r="V54" s="134">
        <v>80</v>
      </c>
      <c r="W54" s="134">
        <v>80</v>
      </c>
      <c r="X54" s="134">
        <v>9</v>
      </c>
      <c r="Y54" s="134">
        <v>1195</v>
      </c>
      <c r="Z54" s="134">
        <v>1204</v>
      </c>
      <c r="AA54" s="134">
        <v>5</v>
      </c>
      <c r="AB54" s="134">
        <v>332</v>
      </c>
      <c r="AC54" s="134">
        <v>337</v>
      </c>
      <c r="AD54" s="134">
        <v>5</v>
      </c>
      <c r="AE54" s="134">
        <v>167</v>
      </c>
      <c r="AF54" s="134">
        <v>172</v>
      </c>
      <c r="AG54" s="134">
        <v>0</v>
      </c>
      <c r="AH54" s="134">
        <v>72</v>
      </c>
      <c r="AI54" s="134">
        <v>72</v>
      </c>
      <c r="AJ54" s="134">
        <v>0</v>
      </c>
      <c r="AK54" s="134">
        <v>93</v>
      </c>
      <c r="AL54" s="134">
        <v>93</v>
      </c>
      <c r="AM54" s="134">
        <v>4</v>
      </c>
      <c r="AN54" s="134">
        <v>863</v>
      </c>
      <c r="AO54" s="134">
        <v>867</v>
      </c>
      <c r="AP54" s="134">
        <v>1144</v>
      </c>
      <c r="AQ54" s="134">
        <v>14722</v>
      </c>
      <c r="AR54" s="134">
        <v>15866</v>
      </c>
      <c r="AS54" s="134">
        <v>1129</v>
      </c>
      <c r="AT54" s="134">
        <v>14294</v>
      </c>
      <c r="AU54" s="134">
        <v>15423</v>
      </c>
      <c r="AV54" s="134">
        <v>15</v>
      </c>
      <c r="AW54" s="134">
        <v>428</v>
      </c>
      <c r="AX54" s="134">
        <v>443</v>
      </c>
      <c r="AY54" s="134">
        <v>50</v>
      </c>
      <c r="AZ54" s="134">
        <v>968</v>
      </c>
      <c r="BA54" s="134">
        <v>1018</v>
      </c>
      <c r="BB54" s="134">
        <v>19</v>
      </c>
      <c r="BC54" s="134">
        <v>0</v>
      </c>
      <c r="BD54" s="134">
        <v>0</v>
      </c>
      <c r="BE54" s="134">
        <v>439</v>
      </c>
      <c r="BF54" s="134">
        <v>2</v>
      </c>
      <c r="BG54" s="134">
        <v>4</v>
      </c>
      <c r="BH54" s="134">
        <v>19</v>
      </c>
      <c r="BI54" s="134">
        <v>445</v>
      </c>
      <c r="BJ54" s="134">
        <v>464</v>
      </c>
      <c r="BK54" s="134">
        <v>-13</v>
      </c>
      <c r="BL54" s="134">
        <v>13</v>
      </c>
      <c r="BM54" s="134">
        <v>0</v>
      </c>
      <c r="BN54" s="134">
        <v>1</v>
      </c>
      <c r="BO54" s="134">
        <v>19</v>
      </c>
      <c r="BP54" s="134">
        <v>20</v>
      </c>
      <c r="BQ54" s="134">
        <v>15</v>
      </c>
      <c r="BR54" s="134">
        <v>148</v>
      </c>
      <c r="BS54" s="134">
        <v>163</v>
      </c>
      <c r="BT54" s="134">
        <v>28</v>
      </c>
      <c r="BU54" s="134">
        <v>343</v>
      </c>
      <c r="BV54" s="134">
        <v>371</v>
      </c>
      <c r="BW54" s="134">
        <v>1194</v>
      </c>
      <c r="BX54" s="134">
        <v>15690</v>
      </c>
      <c r="BY54" s="134">
        <v>16884</v>
      </c>
      <c r="BZ54" s="134">
        <v>1164</v>
      </c>
      <c r="CA54" s="134">
        <v>15434</v>
      </c>
      <c r="CB54" s="134">
        <v>16598</v>
      </c>
      <c r="CC54" s="134">
        <v>29749</v>
      </c>
      <c r="CD54" s="134">
        <v>15</v>
      </c>
      <c r="CE54" s="134">
        <v>263</v>
      </c>
      <c r="CF54" s="134">
        <v>30</v>
      </c>
      <c r="CG54" s="134">
        <v>201</v>
      </c>
      <c r="CH54" s="134">
        <v>231</v>
      </c>
      <c r="CI54" s="134">
        <v>67</v>
      </c>
      <c r="CJ54" s="134">
        <v>2</v>
      </c>
      <c r="CK54" s="134">
        <v>0</v>
      </c>
      <c r="CL54" s="134">
        <v>55</v>
      </c>
      <c r="CM54" s="134">
        <v>55</v>
      </c>
      <c r="CN54" s="134">
        <v>74</v>
      </c>
      <c r="CO54" s="134">
        <v>1563</v>
      </c>
      <c r="CP54" s="134">
        <v>1637</v>
      </c>
      <c r="CQ54" s="134">
        <v>0</v>
      </c>
      <c r="CR54" s="134">
        <v>0</v>
      </c>
      <c r="CS54" s="134">
        <v>0</v>
      </c>
      <c r="CT54" s="134">
        <v>1120</v>
      </c>
      <c r="CU54" s="134">
        <v>14127</v>
      </c>
      <c r="CV54" s="134">
        <v>15247</v>
      </c>
      <c r="CW54" s="134">
        <v>95</v>
      </c>
      <c r="CX54" s="134">
        <v>681</v>
      </c>
      <c r="CY54" s="134">
        <v>776</v>
      </c>
      <c r="CZ54" s="134">
        <v>89</v>
      </c>
      <c r="DA54" s="134">
        <v>1</v>
      </c>
      <c r="DB54" s="134">
        <v>0</v>
      </c>
      <c r="DC54" s="134">
        <v>652</v>
      </c>
      <c r="DD54" s="134">
        <v>8</v>
      </c>
      <c r="DE54" s="134">
        <v>0</v>
      </c>
      <c r="DF54" s="134">
        <v>90</v>
      </c>
      <c r="DG54" s="134">
        <v>660</v>
      </c>
      <c r="DH54" s="134">
        <v>750</v>
      </c>
      <c r="DI54" s="134">
        <v>5</v>
      </c>
      <c r="DJ54" s="134">
        <v>0</v>
      </c>
      <c r="DK54" s="134">
        <v>0</v>
      </c>
      <c r="DL54" s="134">
        <v>21</v>
      </c>
      <c r="DM54" s="134">
        <v>0</v>
      </c>
      <c r="DN54" s="134">
        <v>0</v>
      </c>
      <c r="DO54" s="134">
        <v>5</v>
      </c>
      <c r="DP54" s="134">
        <v>21</v>
      </c>
      <c r="DQ54" s="134">
        <v>26</v>
      </c>
      <c r="DR54" s="134">
        <v>0</v>
      </c>
      <c r="DS54" s="134">
        <v>2</v>
      </c>
      <c r="DT54" s="135">
        <v>2</v>
      </c>
      <c r="DU54" s="116"/>
      <c r="DV54" s="136"/>
      <c r="DX54" s="136"/>
      <c r="DY54" s="136"/>
    </row>
    <row r="55" spans="1:129" s="137" customFormat="1">
      <c r="A55" s="133" t="s">
        <v>324</v>
      </c>
      <c r="B55" s="134">
        <v>2578</v>
      </c>
      <c r="C55" s="134">
        <v>585</v>
      </c>
      <c r="D55" s="134">
        <v>2650</v>
      </c>
      <c r="E55" s="134">
        <v>1718</v>
      </c>
      <c r="F55" s="134">
        <v>3</v>
      </c>
      <c r="G55" s="134">
        <v>25</v>
      </c>
      <c r="H55" s="134">
        <v>28</v>
      </c>
      <c r="I55" s="134">
        <v>0</v>
      </c>
      <c r="J55" s="134">
        <v>852</v>
      </c>
      <c r="K55" s="134">
        <v>852</v>
      </c>
      <c r="L55" s="134">
        <v>0</v>
      </c>
      <c r="M55" s="134">
        <v>335</v>
      </c>
      <c r="N55" s="134">
        <v>335</v>
      </c>
      <c r="O55" s="134">
        <v>0</v>
      </c>
      <c r="P55" s="134">
        <v>517</v>
      </c>
      <c r="Q55" s="134">
        <v>517</v>
      </c>
      <c r="R55" s="134">
        <v>0</v>
      </c>
      <c r="S55" s="134">
        <v>6</v>
      </c>
      <c r="T55" s="134">
        <v>6</v>
      </c>
      <c r="U55" s="134">
        <v>0</v>
      </c>
      <c r="V55" s="134">
        <v>80</v>
      </c>
      <c r="W55" s="134">
        <v>80</v>
      </c>
      <c r="X55" s="134">
        <v>51</v>
      </c>
      <c r="Y55" s="134">
        <v>2599</v>
      </c>
      <c r="Z55" s="134">
        <v>2650</v>
      </c>
      <c r="AA55" s="134">
        <v>24</v>
      </c>
      <c r="AB55" s="134">
        <v>1111</v>
      </c>
      <c r="AC55" s="134">
        <v>1135</v>
      </c>
      <c r="AD55" s="134">
        <v>19</v>
      </c>
      <c r="AE55" s="134">
        <v>1049</v>
      </c>
      <c r="AF55" s="134">
        <v>1068</v>
      </c>
      <c r="AG55" s="134">
        <v>3</v>
      </c>
      <c r="AH55" s="134">
        <v>31</v>
      </c>
      <c r="AI55" s="134">
        <v>34</v>
      </c>
      <c r="AJ55" s="134">
        <v>2</v>
      </c>
      <c r="AK55" s="134">
        <v>31</v>
      </c>
      <c r="AL55" s="134">
        <v>33</v>
      </c>
      <c r="AM55" s="134">
        <v>27</v>
      </c>
      <c r="AN55" s="134">
        <v>1488</v>
      </c>
      <c r="AO55" s="134">
        <v>1515</v>
      </c>
      <c r="AP55" s="134">
        <v>4681</v>
      </c>
      <c r="AQ55" s="134">
        <v>31706</v>
      </c>
      <c r="AR55" s="134">
        <v>36387</v>
      </c>
      <c r="AS55" s="134">
        <v>4682</v>
      </c>
      <c r="AT55" s="134">
        <v>31706</v>
      </c>
      <c r="AU55" s="134">
        <v>36388</v>
      </c>
      <c r="AV55" s="134">
        <v>-1</v>
      </c>
      <c r="AW55" s="134">
        <v>0</v>
      </c>
      <c r="AX55" s="134">
        <v>-1</v>
      </c>
      <c r="AY55" s="134">
        <v>123</v>
      </c>
      <c r="AZ55" s="134">
        <v>2818</v>
      </c>
      <c r="BA55" s="134">
        <v>2941</v>
      </c>
      <c r="BB55" s="134">
        <v>63</v>
      </c>
      <c r="BC55" s="134">
        <v>0</v>
      </c>
      <c r="BD55" s="134">
        <v>0</v>
      </c>
      <c r="BE55" s="134">
        <v>1645</v>
      </c>
      <c r="BF55" s="134">
        <v>9</v>
      </c>
      <c r="BG55" s="134">
        <v>1</v>
      </c>
      <c r="BH55" s="134">
        <v>63</v>
      </c>
      <c r="BI55" s="134">
        <v>1655</v>
      </c>
      <c r="BJ55" s="134">
        <v>1718</v>
      </c>
      <c r="BK55" s="134">
        <v>-64</v>
      </c>
      <c r="BL55" s="134">
        <v>64</v>
      </c>
      <c r="BM55" s="134">
        <v>0</v>
      </c>
      <c r="BN55" s="134">
        <v>22</v>
      </c>
      <c r="BO55" s="134">
        <v>78</v>
      </c>
      <c r="BP55" s="134">
        <v>100</v>
      </c>
      <c r="BQ55" s="134">
        <v>19</v>
      </c>
      <c r="BR55" s="134">
        <v>473</v>
      </c>
      <c r="BS55" s="134">
        <v>492</v>
      </c>
      <c r="BT55" s="134">
        <v>83</v>
      </c>
      <c r="BU55" s="134">
        <v>548</v>
      </c>
      <c r="BV55" s="134">
        <v>631</v>
      </c>
      <c r="BW55" s="134">
        <v>4804</v>
      </c>
      <c r="BX55" s="134">
        <v>34524</v>
      </c>
      <c r="BY55" s="134">
        <v>39328</v>
      </c>
      <c r="BZ55" s="134">
        <v>4773</v>
      </c>
      <c r="CA55" s="134">
        <v>34321</v>
      </c>
      <c r="CB55" s="134">
        <v>39094</v>
      </c>
      <c r="CC55" s="134">
        <v>81610</v>
      </c>
      <c r="CD55" s="134">
        <v>19</v>
      </c>
      <c r="CE55" s="134">
        <v>225</v>
      </c>
      <c r="CF55" s="134">
        <v>30</v>
      </c>
      <c r="CG55" s="134">
        <v>169</v>
      </c>
      <c r="CH55" s="134">
        <v>199</v>
      </c>
      <c r="CI55" s="134">
        <v>33</v>
      </c>
      <c r="CJ55" s="134">
        <v>8</v>
      </c>
      <c r="CK55" s="134">
        <v>1</v>
      </c>
      <c r="CL55" s="134">
        <v>34</v>
      </c>
      <c r="CM55" s="134">
        <v>35</v>
      </c>
      <c r="CN55" s="134">
        <v>243</v>
      </c>
      <c r="CO55" s="134">
        <v>3346</v>
      </c>
      <c r="CP55" s="134">
        <v>3589</v>
      </c>
      <c r="CQ55" s="134">
        <v>0</v>
      </c>
      <c r="CR55" s="134">
        <v>0</v>
      </c>
      <c r="CS55" s="134">
        <v>0</v>
      </c>
      <c r="CT55" s="134">
        <v>4561</v>
      </c>
      <c r="CU55" s="134">
        <v>31178</v>
      </c>
      <c r="CV55" s="134">
        <v>35739</v>
      </c>
      <c r="CW55" s="134">
        <v>315</v>
      </c>
      <c r="CX55" s="134">
        <v>1598</v>
      </c>
      <c r="CY55" s="134">
        <v>1913</v>
      </c>
      <c r="CZ55" s="134">
        <v>308</v>
      </c>
      <c r="DA55" s="134">
        <v>6</v>
      </c>
      <c r="DB55" s="134">
        <v>0</v>
      </c>
      <c r="DC55" s="134">
        <v>1577</v>
      </c>
      <c r="DD55" s="134">
        <v>9</v>
      </c>
      <c r="DE55" s="134">
        <v>0</v>
      </c>
      <c r="DF55" s="134">
        <v>314</v>
      </c>
      <c r="DG55" s="134">
        <v>1586</v>
      </c>
      <c r="DH55" s="134">
        <v>1900</v>
      </c>
      <c r="DI55" s="134">
        <v>1</v>
      </c>
      <c r="DJ55" s="134">
        <v>0</v>
      </c>
      <c r="DK55" s="134">
        <v>0</v>
      </c>
      <c r="DL55" s="134">
        <v>12</v>
      </c>
      <c r="DM55" s="134">
        <v>0</v>
      </c>
      <c r="DN55" s="134">
        <v>0</v>
      </c>
      <c r="DO55" s="134">
        <v>1</v>
      </c>
      <c r="DP55" s="134">
        <v>12</v>
      </c>
      <c r="DQ55" s="134">
        <v>13</v>
      </c>
      <c r="DR55" s="134">
        <v>0</v>
      </c>
      <c r="DS55" s="134">
        <v>0</v>
      </c>
      <c r="DT55" s="135">
        <v>0</v>
      </c>
      <c r="DU55" s="116"/>
      <c r="DV55" s="136"/>
      <c r="DX55" s="136"/>
      <c r="DY55" s="136"/>
    </row>
    <row r="56" spans="1:129" s="137" customFormat="1">
      <c r="A56" s="133" t="s">
        <v>325</v>
      </c>
      <c r="B56" s="134">
        <v>409</v>
      </c>
      <c r="C56" s="134">
        <v>112</v>
      </c>
      <c r="D56" s="134">
        <v>430</v>
      </c>
      <c r="E56" s="134">
        <v>269</v>
      </c>
      <c r="F56" s="134">
        <v>0</v>
      </c>
      <c r="G56" s="134">
        <v>7</v>
      </c>
      <c r="H56" s="134">
        <v>7</v>
      </c>
      <c r="I56" s="134">
        <v>0</v>
      </c>
      <c r="J56" s="134">
        <v>144</v>
      </c>
      <c r="K56" s="134">
        <v>144</v>
      </c>
      <c r="L56" s="134">
        <v>0</v>
      </c>
      <c r="M56" s="134">
        <v>24</v>
      </c>
      <c r="N56" s="134">
        <v>24</v>
      </c>
      <c r="O56" s="134">
        <v>0</v>
      </c>
      <c r="P56" s="134">
        <v>120</v>
      </c>
      <c r="Q56" s="134">
        <v>120</v>
      </c>
      <c r="R56" s="134">
        <v>0</v>
      </c>
      <c r="S56" s="134">
        <v>2</v>
      </c>
      <c r="T56" s="134">
        <v>2</v>
      </c>
      <c r="U56" s="134">
        <v>0</v>
      </c>
      <c r="V56" s="134">
        <v>17</v>
      </c>
      <c r="W56" s="134">
        <v>17</v>
      </c>
      <c r="X56" s="134">
        <v>5</v>
      </c>
      <c r="Y56" s="134">
        <v>425</v>
      </c>
      <c r="Z56" s="134">
        <v>430</v>
      </c>
      <c r="AA56" s="134">
        <v>2</v>
      </c>
      <c r="AB56" s="134">
        <v>205</v>
      </c>
      <c r="AC56" s="134">
        <v>207</v>
      </c>
      <c r="AD56" s="134">
        <v>2</v>
      </c>
      <c r="AE56" s="134">
        <v>195</v>
      </c>
      <c r="AF56" s="134">
        <v>197</v>
      </c>
      <c r="AG56" s="134">
        <v>0</v>
      </c>
      <c r="AH56" s="134">
        <v>5</v>
      </c>
      <c r="AI56" s="134">
        <v>5</v>
      </c>
      <c r="AJ56" s="134">
        <v>0</v>
      </c>
      <c r="AK56" s="134">
        <v>5</v>
      </c>
      <c r="AL56" s="134">
        <v>5</v>
      </c>
      <c r="AM56" s="134">
        <v>3</v>
      </c>
      <c r="AN56" s="134">
        <v>220</v>
      </c>
      <c r="AO56" s="134">
        <v>223</v>
      </c>
      <c r="AP56" s="134">
        <v>624</v>
      </c>
      <c r="AQ56" s="134">
        <v>4284</v>
      </c>
      <c r="AR56" s="134">
        <v>4908</v>
      </c>
      <c r="AS56" s="134">
        <v>624</v>
      </c>
      <c r="AT56" s="134">
        <v>4284</v>
      </c>
      <c r="AU56" s="134">
        <v>4908</v>
      </c>
      <c r="AV56" s="134">
        <v>0</v>
      </c>
      <c r="AW56" s="134">
        <v>0</v>
      </c>
      <c r="AX56" s="134">
        <v>0</v>
      </c>
      <c r="AY56" s="134">
        <v>50</v>
      </c>
      <c r="AZ56" s="134">
        <v>481</v>
      </c>
      <c r="BA56" s="134">
        <v>531</v>
      </c>
      <c r="BB56" s="134">
        <v>11</v>
      </c>
      <c r="BC56" s="134">
        <v>0</v>
      </c>
      <c r="BD56" s="134">
        <v>0</v>
      </c>
      <c r="BE56" s="134">
        <v>252</v>
      </c>
      <c r="BF56" s="134">
        <v>6</v>
      </c>
      <c r="BG56" s="134">
        <v>0</v>
      </c>
      <c r="BH56" s="134">
        <v>11</v>
      </c>
      <c r="BI56" s="134">
        <v>258</v>
      </c>
      <c r="BJ56" s="134">
        <v>269</v>
      </c>
      <c r="BK56" s="134">
        <v>4</v>
      </c>
      <c r="BL56" s="134">
        <v>-4</v>
      </c>
      <c r="BM56" s="134">
        <v>0</v>
      </c>
      <c r="BN56" s="134">
        <v>3</v>
      </c>
      <c r="BO56" s="134">
        <v>35</v>
      </c>
      <c r="BP56" s="134">
        <v>38</v>
      </c>
      <c r="BQ56" s="134">
        <v>4</v>
      </c>
      <c r="BR56" s="134">
        <v>60</v>
      </c>
      <c r="BS56" s="134">
        <v>64</v>
      </c>
      <c r="BT56" s="134">
        <v>28</v>
      </c>
      <c r="BU56" s="134">
        <v>132</v>
      </c>
      <c r="BV56" s="134">
        <v>160</v>
      </c>
      <c r="BW56" s="134">
        <v>674</v>
      </c>
      <c r="BX56" s="134">
        <v>4765</v>
      </c>
      <c r="BY56" s="134">
        <v>5439</v>
      </c>
      <c r="BZ56" s="134">
        <v>658</v>
      </c>
      <c r="CA56" s="134">
        <v>4698</v>
      </c>
      <c r="CB56" s="134">
        <v>5356</v>
      </c>
      <c r="CC56" s="134">
        <v>12311</v>
      </c>
      <c r="CD56" s="134">
        <v>6</v>
      </c>
      <c r="CE56" s="134">
        <v>74</v>
      </c>
      <c r="CF56" s="134">
        <v>15</v>
      </c>
      <c r="CG56" s="134">
        <v>53</v>
      </c>
      <c r="CH56" s="134">
        <v>68</v>
      </c>
      <c r="CI56" s="134">
        <v>16</v>
      </c>
      <c r="CJ56" s="134">
        <v>4</v>
      </c>
      <c r="CK56" s="134">
        <v>1</v>
      </c>
      <c r="CL56" s="134">
        <v>14</v>
      </c>
      <c r="CM56" s="134">
        <v>15</v>
      </c>
      <c r="CN56" s="134">
        <v>51</v>
      </c>
      <c r="CO56" s="134">
        <v>504</v>
      </c>
      <c r="CP56" s="134">
        <v>555</v>
      </c>
      <c r="CQ56" s="134">
        <v>1</v>
      </c>
      <c r="CR56" s="134">
        <v>1</v>
      </c>
      <c r="CS56" s="134">
        <v>2</v>
      </c>
      <c r="CT56" s="134">
        <v>623</v>
      </c>
      <c r="CU56" s="134">
        <v>4261</v>
      </c>
      <c r="CV56" s="134">
        <v>4884</v>
      </c>
      <c r="CW56" s="134">
        <v>28</v>
      </c>
      <c r="CX56" s="134">
        <v>206</v>
      </c>
      <c r="CY56" s="134">
        <v>234</v>
      </c>
      <c r="CZ56" s="134">
        <v>28</v>
      </c>
      <c r="DA56" s="134">
        <v>0</v>
      </c>
      <c r="DB56" s="134">
        <v>0</v>
      </c>
      <c r="DC56" s="134">
        <v>200</v>
      </c>
      <c r="DD56" s="134">
        <v>1</v>
      </c>
      <c r="DE56" s="134">
        <v>0</v>
      </c>
      <c r="DF56" s="134">
        <v>28</v>
      </c>
      <c r="DG56" s="134">
        <v>201</v>
      </c>
      <c r="DH56" s="134">
        <v>229</v>
      </c>
      <c r="DI56" s="134">
        <v>0</v>
      </c>
      <c r="DJ56" s="134">
        <v>0</v>
      </c>
      <c r="DK56" s="134">
        <v>0</v>
      </c>
      <c r="DL56" s="134">
        <v>5</v>
      </c>
      <c r="DM56" s="134">
        <v>0</v>
      </c>
      <c r="DN56" s="134">
        <v>0</v>
      </c>
      <c r="DO56" s="134">
        <v>0</v>
      </c>
      <c r="DP56" s="134">
        <v>5</v>
      </c>
      <c r="DQ56" s="134">
        <v>5</v>
      </c>
      <c r="DR56" s="134">
        <v>0</v>
      </c>
      <c r="DS56" s="134">
        <v>0</v>
      </c>
      <c r="DT56" s="135">
        <v>0</v>
      </c>
      <c r="DU56" s="116"/>
      <c r="DV56" s="136"/>
      <c r="DX56" s="136"/>
      <c r="DY56" s="136"/>
    </row>
    <row r="57" spans="1:129" s="137" customFormat="1">
      <c r="A57" s="133" t="s">
        <v>326</v>
      </c>
      <c r="B57" s="134">
        <v>367</v>
      </c>
      <c r="C57" s="134">
        <v>45</v>
      </c>
      <c r="D57" s="134">
        <v>375</v>
      </c>
      <c r="E57" s="134">
        <v>213</v>
      </c>
      <c r="F57" s="134">
        <v>0</v>
      </c>
      <c r="G57" s="134">
        <v>22</v>
      </c>
      <c r="H57" s="134">
        <v>22</v>
      </c>
      <c r="I57" s="134">
        <v>0</v>
      </c>
      <c r="J57" s="134">
        <v>136</v>
      </c>
      <c r="K57" s="134">
        <v>136</v>
      </c>
      <c r="L57" s="134">
        <v>0</v>
      </c>
      <c r="M57" s="134">
        <v>23</v>
      </c>
      <c r="N57" s="134">
        <v>23</v>
      </c>
      <c r="O57" s="134">
        <v>0</v>
      </c>
      <c r="P57" s="134">
        <v>113</v>
      </c>
      <c r="Q57" s="134">
        <v>113</v>
      </c>
      <c r="R57" s="134">
        <v>0</v>
      </c>
      <c r="S57" s="134">
        <v>4</v>
      </c>
      <c r="T57" s="134">
        <v>4</v>
      </c>
      <c r="U57" s="134">
        <v>0</v>
      </c>
      <c r="V57" s="134">
        <v>26</v>
      </c>
      <c r="W57" s="134">
        <v>26</v>
      </c>
      <c r="X57" s="134">
        <v>4</v>
      </c>
      <c r="Y57" s="134">
        <v>371</v>
      </c>
      <c r="Z57" s="134">
        <v>375</v>
      </c>
      <c r="AA57" s="134">
        <v>1</v>
      </c>
      <c r="AB57" s="134">
        <v>146</v>
      </c>
      <c r="AC57" s="134">
        <v>147</v>
      </c>
      <c r="AD57" s="134">
        <v>1</v>
      </c>
      <c r="AE57" s="134">
        <v>138</v>
      </c>
      <c r="AF57" s="134">
        <v>139</v>
      </c>
      <c r="AG57" s="134">
        <v>0</v>
      </c>
      <c r="AH57" s="134">
        <v>2</v>
      </c>
      <c r="AI57" s="134">
        <v>2</v>
      </c>
      <c r="AJ57" s="134">
        <v>0</v>
      </c>
      <c r="AK57" s="134">
        <v>6</v>
      </c>
      <c r="AL57" s="134">
        <v>6</v>
      </c>
      <c r="AM57" s="134">
        <v>3</v>
      </c>
      <c r="AN57" s="134">
        <v>225</v>
      </c>
      <c r="AO57" s="134">
        <v>228</v>
      </c>
      <c r="AP57" s="134">
        <v>412</v>
      </c>
      <c r="AQ57" s="134">
        <v>3419</v>
      </c>
      <c r="AR57" s="134">
        <v>3831</v>
      </c>
      <c r="AS57" s="134">
        <v>412</v>
      </c>
      <c r="AT57" s="134">
        <v>3419</v>
      </c>
      <c r="AU57" s="134">
        <v>3831</v>
      </c>
      <c r="AV57" s="134">
        <v>0</v>
      </c>
      <c r="AW57" s="134">
        <v>0</v>
      </c>
      <c r="AX57" s="134">
        <v>0</v>
      </c>
      <c r="AY57" s="134">
        <v>7</v>
      </c>
      <c r="AZ57" s="134">
        <v>409</v>
      </c>
      <c r="BA57" s="134">
        <v>416</v>
      </c>
      <c r="BB57" s="134">
        <v>6</v>
      </c>
      <c r="BC57" s="134">
        <v>0</v>
      </c>
      <c r="BD57" s="134">
        <v>0</v>
      </c>
      <c r="BE57" s="134">
        <v>207</v>
      </c>
      <c r="BF57" s="134">
        <v>0</v>
      </c>
      <c r="BG57" s="134">
        <v>0</v>
      </c>
      <c r="BH57" s="134">
        <v>6</v>
      </c>
      <c r="BI57" s="134">
        <v>207</v>
      </c>
      <c r="BJ57" s="134">
        <v>213</v>
      </c>
      <c r="BK57" s="134">
        <v>-12</v>
      </c>
      <c r="BL57" s="134">
        <v>12</v>
      </c>
      <c r="BM57" s="134">
        <v>0</v>
      </c>
      <c r="BN57" s="134">
        <v>1</v>
      </c>
      <c r="BO57" s="134">
        <v>18</v>
      </c>
      <c r="BP57" s="134">
        <v>19</v>
      </c>
      <c r="BQ57" s="134">
        <v>4</v>
      </c>
      <c r="BR57" s="134">
        <v>50</v>
      </c>
      <c r="BS57" s="134">
        <v>54</v>
      </c>
      <c r="BT57" s="134">
        <v>8</v>
      </c>
      <c r="BU57" s="134">
        <v>122</v>
      </c>
      <c r="BV57" s="134">
        <v>130</v>
      </c>
      <c r="BW57" s="134">
        <v>419</v>
      </c>
      <c r="BX57" s="134">
        <v>3828</v>
      </c>
      <c r="BY57" s="134">
        <v>4247</v>
      </c>
      <c r="BZ57" s="134">
        <v>419</v>
      </c>
      <c r="CA57" s="134">
        <v>3822</v>
      </c>
      <c r="CB57" s="134">
        <v>4241</v>
      </c>
      <c r="CC57" s="134">
        <v>9157</v>
      </c>
      <c r="CD57" s="134">
        <v>0</v>
      </c>
      <c r="CE57" s="134">
        <v>7</v>
      </c>
      <c r="CF57" s="134">
        <v>0</v>
      </c>
      <c r="CG57" s="134">
        <v>4</v>
      </c>
      <c r="CH57" s="134">
        <v>4</v>
      </c>
      <c r="CI57" s="134">
        <v>2</v>
      </c>
      <c r="CJ57" s="134">
        <v>0</v>
      </c>
      <c r="CK57" s="134">
        <v>0</v>
      </c>
      <c r="CL57" s="134">
        <v>2</v>
      </c>
      <c r="CM57" s="134">
        <v>2</v>
      </c>
      <c r="CN57" s="134">
        <v>24</v>
      </c>
      <c r="CO57" s="134">
        <v>398</v>
      </c>
      <c r="CP57" s="134">
        <v>422</v>
      </c>
      <c r="CQ57" s="134">
        <v>0</v>
      </c>
      <c r="CR57" s="134">
        <v>7</v>
      </c>
      <c r="CS57" s="134">
        <v>7</v>
      </c>
      <c r="CT57" s="134">
        <v>395</v>
      </c>
      <c r="CU57" s="134">
        <v>3430</v>
      </c>
      <c r="CV57" s="134">
        <v>3825</v>
      </c>
      <c r="CW57" s="134">
        <v>14</v>
      </c>
      <c r="CX57" s="134">
        <v>171</v>
      </c>
      <c r="CY57" s="134">
        <v>185</v>
      </c>
      <c r="CZ57" s="134">
        <v>14</v>
      </c>
      <c r="DA57" s="134">
        <v>0</v>
      </c>
      <c r="DB57" s="134">
        <v>0</v>
      </c>
      <c r="DC57" s="134">
        <v>168</v>
      </c>
      <c r="DD57" s="134">
        <v>1</v>
      </c>
      <c r="DE57" s="134">
        <v>0</v>
      </c>
      <c r="DF57" s="134">
        <v>14</v>
      </c>
      <c r="DG57" s="134">
        <v>169</v>
      </c>
      <c r="DH57" s="134">
        <v>183</v>
      </c>
      <c r="DI57" s="134">
        <v>0</v>
      </c>
      <c r="DJ57" s="134">
        <v>0</v>
      </c>
      <c r="DK57" s="134">
        <v>0</v>
      </c>
      <c r="DL57" s="134">
        <v>2</v>
      </c>
      <c r="DM57" s="134">
        <v>0</v>
      </c>
      <c r="DN57" s="134">
        <v>0</v>
      </c>
      <c r="DO57" s="134">
        <v>0</v>
      </c>
      <c r="DP57" s="134">
        <v>2</v>
      </c>
      <c r="DQ57" s="134">
        <v>2</v>
      </c>
      <c r="DR57" s="134">
        <v>0</v>
      </c>
      <c r="DS57" s="134">
        <v>0</v>
      </c>
      <c r="DT57" s="135">
        <v>0</v>
      </c>
      <c r="DU57" s="116"/>
      <c r="DV57" s="136"/>
      <c r="DX57" s="136"/>
      <c r="DY57" s="136"/>
    </row>
    <row r="58" spans="1:129" s="137" customFormat="1">
      <c r="A58" s="133" t="s">
        <v>327</v>
      </c>
      <c r="B58" s="134">
        <v>76</v>
      </c>
      <c r="C58" s="134">
        <v>15</v>
      </c>
      <c r="D58" s="134">
        <v>92</v>
      </c>
      <c r="E58" s="134">
        <v>64</v>
      </c>
      <c r="F58" s="134">
        <v>0</v>
      </c>
      <c r="G58" s="134">
        <v>1</v>
      </c>
      <c r="H58" s="134">
        <v>1</v>
      </c>
      <c r="I58" s="134">
        <v>0</v>
      </c>
      <c r="J58" s="134">
        <v>26</v>
      </c>
      <c r="K58" s="134">
        <v>26</v>
      </c>
      <c r="L58" s="134">
        <v>0</v>
      </c>
      <c r="M58" s="134">
        <v>5</v>
      </c>
      <c r="N58" s="134">
        <v>5</v>
      </c>
      <c r="O58" s="134">
        <v>0</v>
      </c>
      <c r="P58" s="134">
        <v>21</v>
      </c>
      <c r="Q58" s="134">
        <v>21</v>
      </c>
      <c r="R58" s="134">
        <v>0</v>
      </c>
      <c r="S58" s="134">
        <v>0</v>
      </c>
      <c r="T58" s="134">
        <v>0</v>
      </c>
      <c r="U58" s="134">
        <v>0</v>
      </c>
      <c r="V58" s="134">
        <v>2</v>
      </c>
      <c r="W58" s="134">
        <v>2</v>
      </c>
      <c r="X58" s="134">
        <v>4</v>
      </c>
      <c r="Y58" s="134">
        <v>88</v>
      </c>
      <c r="Z58" s="134">
        <v>92</v>
      </c>
      <c r="AA58" s="134">
        <v>2</v>
      </c>
      <c r="AB58" s="134">
        <v>53</v>
      </c>
      <c r="AC58" s="134">
        <v>55</v>
      </c>
      <c r="AD58" s="134">
        <v>2</v>
      </c>
      <c r="AE58" s="134">
        <v>33</v>
      </c>
      <c r="AF58" s="134">
        <v>35</v>
      </c>
      <c r="AG58" s="134">
        <v>0</v>
      </c>
      <c r="AH58" s="134">
        <v>11</v>
      </c>
      <c r="AI58" s="134">
        <v>11</v>
      </c>
      <c r="AJ58" s="134">
        <v>0</v>
      </c>
      <c r="AK58" s="134">
        <v>9</v>
      </c>
      <c r="AL58" s="134">
        <v>9</v>
      </c>
      <c r="AM58" s="134">
        <v>2</v>
      </c>
      <c r="AN58" s="134">
        <v>35</v>
      </c>
      <c r="AO58" s="134">
        <v>37</v>
      </c>
      <c r="AP58" s="134">
        <v>69</v>
      </c>
      <c r="AQ58" s="134">
        <v>817</v>
      </c>
      <c r="AR58" s="134">
        <v>886</v>
      </c>
      <c r="AS58" s="134">
        <v>69</v>
      </c>
      <c r="AT58" s="134">
        <v>817</v>
      </c>
      <c r="AU58" s="134">
        <v>886</v>
      </c>
      <c r="AV58" s="134">
        <v>0</v>
      </c>
      <c r="AW58" s="134">
        <v>0</v>
      </c>
      <c r="AX58" s="134">
        <v>0</v>
      </c>
      <c r="AY58" s="134">
        <v>5</v>
      </c>
      <c r="AZ58" s="134">
        <v>120</v>
      </c>
      <c r="BA58" s="134">
        <v>125</v>
      </c>
      <c r="BB58" s="134">
        <v>5</v>
      </c>
      <c r="BC58" s="134">
        <v>0</v>
      </c>
      <c r="BD58" s="134">
        <v>0</v>
      </c>
      <c r="BE58" s="134">
        <v>59</v>
      </c>
      <c r="BF58" s="134">
        <v>0</v>
      </c>
      <c r="BG58" s="134">
        <v>0</v>
      </c>
      <c r="BH58" s="134">
        <v>5</v>
      </c>
      <c r="BI58" s="134">
        <v>59</v>
      </c>
      <c r="BJ58" s="134">
        <v>64</v>
      </c>
      <c r="BK58" s="134">
        <v>-1</v>
      </c>
      <c r="BL58" s="134">
        <v>1</v>
      </c>
      <c r="BM58" s="134">
        <v>0</v>
      </c>
      <c r="BN58" s="134">
        <v>0</v>
      </c>
      <c r="BO58" s="134">
        <v>4</v>
      </c>
      <c r="BP58" s="134">
        <v>4</v>
      </c>
      <c r="BQ58" s="134">
        <v>0</v>
      </c>
      <c r="BR58" s="134">
        <v>36</v>
      </c>
      <c r="BS58" s="134">
        <v>36</v>
      </c>
      <c r="BT58" s="134">
        <v>1</v>
      </c>
      <c r="BU58" s="134">
        <v>20</v>
      </c>
      <c r="BV58" s="134">
        <v>21</v>
      </c>
      <c r="BW58" s="134">
        <v>74</v>
      </c>
      <c r="BX58" s="134">
        <v>937</v>
      </c>
      <c r="BY58" s="134">
        <v>1011</v>
      </c>
      <c r="BZ58" s="134">
        <v>74</v>
      </c>
      <c r="CA58" s="134">
        <v>936</v>
      </c>
      <c r="CB58" s="134">
        <v>1010</v>
      </c>
      <c r="CC58" s="134">
        <v>1732</v>
      </c>
      <c r="CD58" s="134">
        <v>0</v>
      </c>
      <c r="CE58" s="134">
        <v>1</v>
      </c>
      <c r="CF58" s="134">
        <v>0</v>
      </c>
      <c r="CG58" s="134">
        <v>1</v>
      </c>
      <c r="CH58" s="134">
        <v>1</v>
      </c>
      <c r="CI58" s="134">
        <v>0</v>
      </c>
      <c r="CJ58" s="134">
        <v>0</v>
      </c>
      <c r="CK58" s="134">
        <v>0</v>
      </c>
      <c r="CL58" s="134">
        <v>0</v>
      </c>
      <c r="CM58" s="134">
        <v>0</v>
      </c>
      <c r="CN58" s="134">
        <v>6</v>
      </c>
      <c r="CO58" s="134">
        <v>95</v>
      </c>
      <c r="CP58" s="134">
        <v>101</v>
      </c>
      <c r="CQ58" s="134">
        <v>0</v>
      </c>
      <c r="CR58" s="134">
        <v>0</v>
      </c>
      <c r="CS58" s="134">
        <v>0</v>
      </c>
      <c r="CT58" s="134">
        <v>68</v>
      </c>
      <c r="CU58" s="134">
        <v>842</v>
      </c>
      <c r="CV58" s="134">
        <v>910</v>
      </c>
      <c r="CW58" s="134">
        <v>4</v>
      </c>
      <c r="CX58" s="134">
        <v>42</v>
      </c>
      <c r="CY58" s="134">
        <v>46</v>
      </c>
      <c r="CZ58" s="134">
        <v>4</v>
      </c>
      <c r="DA58" s="134">
        <v>0</v>
      </c>
      <c r="DB58" s="134">
        <v>0</v>
      </c>
      <c r="DC58" s="134">
        <v>42</v>
      </c>
      <c r="DD58" s="134">
        <v>0</v>
      </c>
      <c r="DE58" s="134">
        <v>0</v>
      </c>
      <c r="DF58" s="134">
        <v>4</v>
      </c>
      <c r="DG58" s="134">
        <v>42</v>
      </c>
      <c r="DH58" s="134">
        <v>46</v>
      </c>
      <c r="DI58" s="134">
        <v>0</v>
      </c>
      <c r="DJ58" s="134">
        <v>0</v>
      </c>
      <c r="DK58" s="134">
        <v>0</v>
      </c>
      <c r="DL58" s="134">
        <v>0</v>
      </c>
      <c r="DM58" s="134">
        <v>0</v>
      </c>
      <c r="DN58" s="134">
        <v>0</v>
      </c>
      <c r="DO58" s="134">
        <v>0</v>
      </c>
      <c r="DP58" s="134">
        <v>0</v>
      </c>
      <c r="DQ58" s="134">
        <v>0</v>
      </c>
      <c r="DR58" s="134">
        <v>0</v>
      </c>
      <c r="DS58" s="134">
        <v>0</v>
      </c>
      <c r="DT58" s="135">
        <v>0</v>
      </c>
      <c r="DU58" s="116"/>
      <c r="DV58" s="136"/>
      <c r="DX58" s="136"/>
      <c r="DY58" s="136"/>
    </row>
    <row r="59" spans="1:129" s="137" customFormat="1">
      <c r="A59" s="133" t="s">
        <v>328</v>
      </c>
      <c r="B59" s="134">
        <v>2627</v>
      </c>
      <c r="C59" s="134">
        <v>199</v>
      </c>
      <c r="D59" s="134">
        <v>2515</v>
      </c>
      <c r="E59" s="134">
        <v>2060</v>
      </c>
      <c r="F59" s="134">
        <v>1</v>
      </c>
      <c r="G59" s="134">
        <v>11</v>
      </c>
      <c r="H59" s="134">
        <v>12</v>
      </c>
      <c r="I59" s="134">
        <v>1</v>
      </c>
      <c r="J59" s="134">
        <v>399</v>
      </c>
      <c r="K59" s="134">
        <v>400</v>
      </c>
      <c r="L59" s="134">
        <v>0</v>
      </c>
      <c r="M59" s="134">
        <v>195</v>
      </c>
      <c r="N59" s="134">
        <v>195</v>
      </c>
      <c r="O59" s="134">
        <v>1</v>
      </c>
      <c r="P59" s="134">
        <v>204</v>
      </c>
      <c r="Q59" s="134">
        <v>205</v>
      </c>
      <c r="R59" s="134">
        <v>0</v>
      </c>
      <c r="S59" s="134">
        <v>22</v>
      </c>
      <c r="T59" s="134">
        <v>22</v>
      </c>
      <c r="U59" s="134">
        <v>0</v>
      </c>
      <c r="V59" s="134">
        <v>55</v>
      </c>
      <c r="W59" s="134">
        <v>55</v>
      </c>
      <c r="X59" s="134">
        <v>34</v>
      </c>
      <c r="Y59" s="134">
        <v>1091</v>
      </c>
      <c r="Z59" s="134">
        <v>1125</v>
      </c>
      <c r="AA59" s="134">
        <v>12</v>
      </c>
      <c r="AB59" s="134">
        <v>277</v>
      </c>
      <c r="AC59" s="134">
        <v>289</v>
      </c>
      <c r="AD59" s="134">
        <v>9</v>
      </c>
      <c r="AE59" s="134">
        <v>229</v>
      </c>
      <c r="AF59" s="134">
        <v>238</v>
      </c>
      <c r="AG59" s="134">
        <v>3</v>
      </c>
      <c r="AH59" s="134">
        <v>39</v>
      </c>
      <c r="AI59" s="134">
        <v>42</v>
      </c>
      <c r="AJ59" s="134">
        <v>0</v>
      </c>
      <c r="AK59" s="134">
        <v>9</v>
      </c>
      <c r="AL59" s="134">
        <v>9</v>
      </c>
      <c r="AM59" s="134">
        <v>22</v>
      </c>
      <c r="AN59" s="134">
        <v>814</v>
      </c>
      <c r="AO59" s="134">
        <v>836</v>
      </c>
      <c r="AP59" s="134">
        <v>7049</v>
      </c>
      <c r="AQ59" s="134">
        <v>43977</v>
      </c>
      <c r="AR59" s="134">
        <v>51026</v>
      </c>
      <c r="AS59" s="134">
        <v>6987</v>
      </c>
      <c r="AT59" s="134">
        <v>43877</v>
      </c>
      <c r="AU59" s="134">
        <v>50864</v>
      </c>
      <c r="AV59" s="134">
        <v>62</v>
      </c>
      <c r="AW59" s="134">
        <v>100</v>
      </c>
      <c r="AX59" s="134">
        <v>162</v>
      </c>
      <c r="AY59" s="134">
        <v>550</v>
      </c>
      <c r="AZ59" s="134">
        <v>4081</v>
      </c>
      <c r="BA59" s="134">
        <v>4631</v>
      </c>
      <c r="BB59" s="134">
        <v>146</v>
      </c>
      <c r="BC59" s="134">
        <v>1</v>
      </c>
      <c r="BD59" s="134">
        <v>0</v>
      </c>
      <c r="BE59" s="134">
        <v>1863</v>
      </c>
      <c r="BF59" s="134">
        <v>43</v>
      </c>
      <c r="BG59" s="134">
        <v>7</v>
      </c>
      <c r="BH59" s="134">
        <v>147</v>
      </c>
      <c r="BI59" s="134">
        <v>1913</v>
      </c>
      <c r="BJ59" s="134">
        <v>2060</v>
      </c>
      <c r="BK59" s="134">
        <v>116</v>
      </c>
      <c r="BL59" s="134">
        <v>-116</v>
      </c>
      <c r="BM59" s="134">
        <v>0</v>
      </c>
      <c r="BN59" s="134">
        <v>4</v>
      </c>
      <c r="BO59" s="134">
        <v>48</v>
      </c>
      <c r="BP59" s="134">
        <v>52</v>
      </c>
      <c r="BQ59" s="134">
        <v>42</v>
      </c>
      <c r="BR59" s="134">
        <v>598</v>
      </c>
      <c r="BS59" s="134">
        <v>640</v>
      </c>
      <c r="BT59" s="134">
        <v>241</v>
      </c>
      <c r="BU59" s="134">
        <v>1638</v>
      </c>
      <c r="BV59" s="134">
        <v>1879</v>
      </c>
      <c r="BW59" s="134">
        <v>7599</v>
      </c>
      <c r="BX59" s="134">
        <v>48058</v>
      </c>
      <c r="BY59" s="134">
        <v>55657</v>
      </c>
      <c r="BZ59" s="134">
        <v>7532</v>
      </c>
      <c r="CA59" s="134">
        <v>47169</v>
      </c>
      <c r="CB59" s="134">
        <v>54701</v>
      </c>
      <c r="CC59" s="134">
        <v>118756</v>
      </c>
      <c r="CD59" s="134">
        <v>91</v>
      </c>
      <c r="CE59" s="134">
        <v>875</v>
      </c>
      <c r="CF59" s="134">
        <v>67</v>
      </c>
      <c r="CG59" s="134">
        <v>698</v>
      </c>
      <c r="CH59" s="134">
        <v>765</v>
      </c>
      <c r="CI59" s="134">
        <v>233</v>
      </c>
      <c r="CJ59" s="134">
        <v>2</v>
      </c>
      <c r="CK59" s="134">
        <v>0</v>
      </c>
      <c r="CL59" s="134">
        <v>191</v>
      </c>
      <c r="CM59" s="134">
        <v>191</v>
      </c>
      <c r="CN59" s="134">
        <v>368</v>
      </c>
      <c r="CO59" s="134">
        <v>4110</v>
      </c>
      <c r="CP59" s="134">
        <v>4478</v>
      </c>
      <c r="CQ59" s="134">
        <v>0</v>
      </c>
      <c r="CR59" s="134">
        <v>0</v>
      </c>
      <c r="CS59" s="134">
        <v>0</v>
      </c>
      <c r="CT59" s="134">
        <v>7231</v>
      </c>
      <c r="CU59" s="134">
        <v>43948</v>
      </c>
      <c r="CV59" s="134">
        <v>51179</v>
      </c>
      <c r="CW59" s="134">
        <v>467</v>
      </c>
      <c r="CX59" s="134">
        <v>2370</v>
      </c>
      <c r="CY59" s="134">
        <v>2837</v>
      </c>
      <c r="CZ59" s="134">
        <v>460</v>
      </c>
      <c r="DA59" s="134">
        <v>4</v>
      </c>
      <c r="DB59" s="134">
        <v>0</v>
      </c>
      <c r="DC59" s="134">
        <v>2203</v>
      </c>
      <c r="DD59" s="134">
        <v>35</v>
      </c>
      <c r="DE59" s="134">
        <v>5</v>
      </c>
      <c r="DF59" s="134">
        <v>464</v>
      </c>
      <c r="DG59" s="134">
        <v>2243</v>
      </c>
      <c r="DH59" s="134">
        <v>2707</v>
      </c>
      <c r="DI59" s="134">
        <v>3</v>
      </c>
      <c r="DJ59" s="134">
        <v>0</v>
      </c>
      <c r="DK59" s="134">
        <v>0</v>
      </c>
      <c r="DL59" s="134">
        <v>119</v>
      </c>
      <c r="DM59" s="134">
        <v>8</v>
      </c>
      <c r="DN59" s="134">
        <v>0</v>
      </c>
      <c r="DO59" s="134">
        <v>3</v>
      </c>
      <c r="DP59" s="134">
        <v>127</v>
      </c>
      <c r="DQ59" s="134">
        <v>130</v>
      </c>
      <c r="DR59" s="134">
        <v>0</v>
      </c>
      <c r="DS59" s="134">
        <v>0</v>
      </c>
      <c r="DT59" s="135">
        <v>0</v>
      </c>
      <c r="DU59" s="116"/>
      <c r="DV59" s="136"/>
      <c r="DX59" s="136"/>
      <c r="DY59" s="136"/>
    </row>
    <row r="60" spans="1:129" s="137" customFormat="1">
      <c r="A60" s="133" t="s">
        <v>329</v>
      </c>
      <c r="B60" s="134">
        <v>192</v>
      </c>
      <c r="C60" s="134">
        <v>2</v>
      </c>
      <c r="D60" s="134">
        <v>211</v>
      </c>
      <c r="E60" s="134">
        <v>118</v>
      </c>
      <c r="F60" s="134">
        <v>0</v>
      </c>
      <c r="G60" s="134">
        <v>3</v>
      </c>
      <c r="H60" s="134">
        <v>3</v>
      </c>
      <c r="I60" s="134">
        <v>0</v>
      </c>
      <c r="J60" s="134">
        <v>69</v>
      </c>
      <c r="K60" s="134">
        <v>69</v>
      </c>
      <c r="L60" s="134">
        <v>0</v>
      </c>
      <c r="M60" s="134">
        <v>24</v>
      </c>
      <c r="N60" s="134">
        <v>24</v>
      </c>
      <c r="O60" s="134">
        <v>0</v>
      </c>
      <c r="P60" s="134">
        <v>45</v>
      </c>
      <c r="Q60" s="134">
        <v>45</v>
      </c>
      <c r="R60" s="134">
        <v>0</v>
      </c>
      <c r="S60" s="134">
        <v>1</v>
      </c>
      <c r="T60" s="134">
        <v>1</v>
      </c>
      <c r="U60" s="134">
        <v>0</v>
      </c>
      <c r="V60" s="134">
        <v>24</v>
      </c>
      <c r="W60" s="134">
        <v>24</v>
      </c>
      <c r="X60" s="134">
        <v>9</v>
      </c>
      <c r="Y60" s="134">
        <v>202</v>
      </c>
      <c r="Z60" s="134">
        <v>211</v>
      </c>
      <c r="AA60" s="134">
        <v>8</v>
      </c>
      <c r="AB60" s="134">
        <v>64</v>
      </c>
      <c r="AC60" s="134">
        <v>72</v>
      </c>
      <c r="AD60" s="134">
        <v>8</v>
      </c>
      <c r="AE60" s="134">
        <v>62</v>
      </c>
      <c r="AF60" s="134">
        <v>70</v>
      </c>
      <c r="AG60" s="134">
        <v>0</v>
      </c>
      <c r="AH60" s="134">
        <v>2</v>
      </c>
      <c r="AI60" s="134">
        <v>2</v>
      </c>
      <c r="AJ60" s="134">
        <v>0</v>
      </c>
      <c r="AK60" s="134">
        <v>0</v>
      </c>
      <c r="AL60" s="134">
        <v>0</v>
      </c>
      <c r="AM60" s="134">
        <v>1</v>
      </c>
      <c r="AN60" s="134">
        <v>138</v>
      </c>
      <c r="AO60" s="134">
        <v>139</v>
      </c>
      <c r="AP60" s="134">
        <v>237</v>
      </c>
      <c r="AQ60" s="134">
        <v>2293</v>
      </c>
      <c r="AR60" s="134">
        <v>2530</v>
      </c>
      <c r="AS60" s="134">
        <v>237</v>
      </c>
      <c r="AT60" s="134">
        <v>2293</v>
      </c>
      <c r="AU60" s="134">
        <v>2530</v>
      </c>
      <c r="AV60" s="134">
        <v>0</v>
      </c>
      <c r="AW60" s="134">
        <v>0</v>
      </c>
      <c r="AX60" s="134">
        <v>0</v>
      </c>
      <c r="AY60" s="134">
        <v>14</v>
      </c>
      <c r="AZ60" s="134">
        <v>191</v>
      </c>
      <c r="BA60" s="134">
        <v>205</v>
      </c>
      <c r="BB60" s="134">
        <v>8</v>
      </c>
      <c r="BC60" s="134">
        <v>0</v>
      </c>
      <c r="BD60" s="134">
        <v>0</v>
      </c>
      <c r="BE60" s="134">
        <v>110</v>
      </c>
      <c r="BF60" s="134">
        <v>0</v>
      </c>
      <c r="BG60" s="134">
        <v>0</v>
      </c>
      <c r="BH60" s="134">
        <v>8</v>
      </c>
      <c r="BI60" s="134">
        <v>110</v>
      </c>
      <c r="BJ60" s="134">
        <v>118</v>
      </c>
      <c r="BK60" s="134">
        <v>0</v>
      </c>
      <c r="BL60" s="134">
        <v>0</v>
      </c>
      <c r="BM60" s="134">
        <v>0</v>
      </c>
      <c r="BN60" s="134">
        <v>2</v>
      </c>
      <c r="BO60" s="134">
        <v>5</v>
      </c>
      <c r="BP60" s="134">
        <v>7</v>
      </c>
      <c r="BQ60" s="134">
        <v>1</v>
      </c>
      <c r="BR60" s="134">
        <v>46</v>
      </c>
      <c r="BS60" s="134">
        <v>47</v>
      </c>
      <c r="BT60" s="134">
        <v>3</v>
      </c>
      <c r="BU60" s="134">
        <v>30</v>
      </c>
      <c r="BV60" s="134">
        <v>33</v>
      </c>
      <c r="BW60" s="134">
        <v>251</v>
      </c>
      <c r="BX60" s="134">
        <v>2484</v>
      </c>
      <c r="BY60" s="134">
        <v>2735</v>
      </c>
      <c r="BZ60" s="134">
        <v>251</v>
      </c>
      <c r="CA60" s="134">
        <v>2479</v>
      </c>
      <c r="CB60" s="134">
        <v>2730</v>
      </c>
      <c r="CC60" s="134">
        <v>4815</v>
      </c>
      <c r="CD60" s="134">
        <v>0</v>
      </c>
      <c r="CE60" s="134">
        <v>3</v>
      </c>
      <c r="CF60" s="134">
        <v>0</v>
      </c>
      <c r="CG60" s="134">
        <v>2</v>
      </c>
      <c r="CH60" s="134">
        <v>2</v>
      </c>
      <c r="CI60" s="134">
        <v>4</v>
      </c>
      <c r="CJ60" s="134">
        <v>0</v>
      </c>
      <c r="CK60" s="134">
        <v>0</v>
      </c>
      <c r="CL60" s="134">
        <v>3</v>
      </c>
      <c r="CM60" s="134">
        <v>3</v>
      </c>
      <c r="CN60" s="134">
        <v>17</v>
      </c>
      <c r="CO60" s="134">
        <v>257</v>
      </c>
      <c r="CP60" s="134">
        <v>274</v>
      </c>
      <c r="CQ60" s="134">
        <v>15</v>
      </c>
      <c r="CR60" s="134">
        <v>217</v>
      </c>
      <c r="CS60" s="134">
        <v>232</v>
      </c>
      <c r="CT60" s="134">
        <v>234</v>
      </c>
      <c r="CU60" s="134">
        <v>2227</v>
      </c>
      <c r="CV60" s="134">
        <v>2461</v>
      </c>
      <c r="CW60" s="134">
        <v>19</v>
      </c>
      <c r="CX60" s="134">
        <v>82</v>
      </c>
      <c r="CY60" s="134">
        <v>101</v>
      </c>
      <c r="CZ60" s="134">
        <v>18</v>
      </c>
      <c r="DA60" s="134">
        <v>0</v>
      </c>
      <c r="DB60" s="134">
        <v>0</v>
      </c>
      <c r="DC60" s="134">
        <v>81</v>
      </c>
      <c r="DD60" s="134">
        <v>0</v>
      </c>
      <c r="DE60" s="134">
        <v>0</v>
      </c>
      <c r="DF60" s="134">
        <v>18</v>
      </c>
      <c r="DG60" s="134">
        <v>81</v>
      </c>
      <c r="DH60" s="134">
        <v>99</v>
      </c>
      <c r="DI60" s="134">
        <v>1</v>
      </c>
      <c r="DJ60" s="134">
        <v>0</v>
      </c>
      <c r="DK60" s="134">
        <v>0</v>
      </c>
      <c r="DL60" s="134">
        <v>1</v>
      </c>
      <c r="DM60" s="134">
        <v>0</v>
      </c>
      <c r="DN60" s="134">
        <v>0</v>
      </c>
      <c r="DO60" s="134">
        <v>1</v>
      </c>
      <c r="DP60" s="134">
        <v>1</v>
      </c>
      <c r="DQ60" s="134">
        <v>2</v>
      </c>
      <c r="DR60" s="134">
        <v>0</v>
      </c>
      <c r="DS60" s="134">
        <v>0</v>
      </c>
      <c r="DT60" s="135">
        <v>0</v>
      </c>
      <c r="DU60" s="116"/>
      <c r="DV60" s="136"/>
      <c r="DX60" s="136"/>
      <c r="DY60" s="136"/>
    </row>
    <row r="61" spans="1:129" s="137" customFormat="1">
      <c r="A61" s="133" t="s">
        <v>330</v>
      </c>
      <c r="B61" s="134">
        <v>2541</v>
      </c>
      <c r="C61" s="134">
        <v>490</v>
      </c>
      <c r="D61" s="134">
        <v>2203</v>
      </c>
      <c r="E61" s="134">
        <v>1517</v>
      </c>
      <c r="F61" s="134">
        <v>3</v>
      </c>
      <c r="G61" s="134">
        <v>13</v>
      </c>
      <c r="H61" s="134">
        <v>16</v>
      </c>
      <c r="I61" s="134">
        <v>0</v>
      </c>
      <c r="J61" s="134">
        <v>615</v>
      </c>
      <c r="K61" s="134">
        <v>615</v>
      </c>
      <c r="L61" s="134">
        <v>0</v>
      </c>
      <c r="M61" s="134">
        <v>185</v>
      </c>
      <c r="N61" s="134">
        <v>185</v>
      </c>
      <c r="O61" s="134">
        <v>0</v>
      </c>
      <c r="P61" s="134">
        <v>430</v>
      </c>
      <c r="Q61" s="134">
        <v>430</v>
      </c>
      <c r="R61" s="134">
        <v>0</v>
      </c>
      <c r="S61" s="134">
        <v>46</v>
      </c>
      <c r="T61" s="134">
        <v>46</v>
      </c>
      <c r="U61" s="134">
        <v>0</v>
      </c>
      <c r="V61" s="134">
        <v>71</v>
      </c>
      <c r="W61" s="134">
        <v>71</v>
      </c>
      <c r="X61" s="134">
        <v>17</v>
      </c>
      <c r="Y61" s="134">
        <v>1335</v>
      </c>
      <c r="Z61" s="134">
        <v>1352</v>
      </c>
      <c r="AA61" s="134">
        <v>15</v>
      </c>
      <c r="AB61" s="134">
        <v>715</v>
      </c>
      <c r="AC61" s="134">
        <v>730</v>
      </c>
      <c r="AD61" s="134">
        <v>15</v>
      </c>
      <c r="AE61" s="134">
        <v>681</v>
      </c>
      <c r="AF61" s="134">
        <v>696</v>
      </c>
      <c r="AG61" s="134">
        <v>0</v>
      </c>
      <c r="AH61" s="134">
        <v>16</v>
      </c>
      <c r="AI61" s="134">
        <v>16</v>
      </c>
      <c r="AJ61" s="134">
        <v>0</v>
      </c>
      <c r="AK61" s="134">
        <v>18</v>
      </c>
      <c r="AL61" s="134">
        <v>18</v>
      </c>
      <c r="AM61" s="134">
        <v>2</v>
      </c>
      <c r="AN61" s="134">
        <v>620</v>
      </c>
      <c r="AO61" s="134">
        <v>622</v>
      </c>
      <c r="AP61" s="134">
        <v>2526</v>
      </c>
      <c r="AQ61" s="134">
        <v>29740</v>
      </c>
      <c r="AR61" s="134">
        <v>32266</v>
      </c>
      <c r="AS61" s="134">
        <v>2518</v>
      </c>
      <c r="AT61" s="134">
        <v>29416</v>
      </c>
      <c r="AU61" s="134">
        <v>31934</v>
      </c>
      <c r="AV61" s="134">
        <v>8</v>
      </c>
      <c r="AW61" s="134">
        <v>324</v>
      </c>
      <c r="AX61" s="134">
        <v>332</v>
      </c>
      <c r="AY61" s="134">
        <v>92</v>
      </c>
      <c r="AZ61" s="134">
        <v>2731</v>
      </c>
      <c r="BA61" s="134">
        <v>2823</v>
      </c>
      <c r="BB61" s="134">
        <v>44</v>
      </c>
      <c r="BC61" s="134">
        <v>0</v>
      </c>
      <c r="BD61" s="134">
        <v>0</v>
      </c>
      <c r="BE61" s="134">
        <v>1453</v>
      </c>
      <c r="BF61" s="134">
        <v>15</v>
      </c>
      <c r="BG61" s="134">
        <v>5</v>
      </c>
      <c r="BH61" s="134">
        <v>44</v>
      </c>
      <c r="BI61" s="134">
        <v>1473</v>
      </c>
      <c r="BJ61" s="134">
        <v>1517</v>
      </c>
      <c r="BK61" s="134">
        <v>-30</v>
      </c>
      <c r="BL61" s="134">
        <v>30</v>
      </c>
      <c r="BM61" s="134">
        <v>0</v>
      </c>
      <c r="BN61" s="134">
        <v>2</v>
      </c>
      <c r="BO61" s="134">
        <v>41</v>
      </c>
      <c r="BP61" s="134">
        <v>43</v>
      </c>
      <c r="BQ61" s="134">
        <v>12</v>
      </c>
      <c r="BR61" s="134">
        <v>328</v>
      </c>
      <c r="BS61" s="134">
        <v>340</v>
      </c>
      <c r="BT61" s="134">
        <v>64</v>
      </c>
      <c r="BU61" s="134">
        <v>859</v>
      </c>
      <c r="BV61" s="134">
        <v>923</v>
      </c>
      <c r="BW61" s="134">
        <v>2618</v>
      </c>
      <c r="BX61" s="134">
        <v>32471</v>
      </c>
      <c r="BY61" s="134">
        <v>35089</v>
      </c>
      <c r="BZ61" s="134">
        <v>2594</v>
      </c>
      <c r="CA61" s="134">
        <v>31941</v>
      </c>
      <c r="CB61" s="134">
        <v>34535</v>
      </c>
      <c r="CC61" s="134">
        <v>69434</v>
      </c>
      <c r="CD61" s="134">
        <v>44</v>
      </c>
      <c r="CE61" s="134">
        <v>565</v>
      </c>
      <c r="CF61" s="134">
        <v>23</v>
      </c>
      <c r="CG61" s="134">
        <v>314</v>
      </c>
      <c r="CH61" s="134">
        <v>337</v>
      </c>
      <c r="CI61" s="134">
        <v>279</v>
      </c>
      <c r="CJ61" s="134">
        <v>8</v>
      </c>
      <c r="CK61" s="134">
        <v>1</v>
      </c>
      <c r="CL61" s="134">
        <v>216</v>
      </c>
      <c r="CM61" s="134">
        <v>217</v>
      </c>
      <c r="CN61" s="134">
        <v>155</v>
      </c>
      <c r="CO61" s="134">
        <v>3129</v>
      </c>
      <c r="CP61" s="134">
        <v>3284</v>
      </c>
      <c r="CQ61" s="134">
        <v>0</v>
      </c>
      <c r="CR61" s="134">
        <v>0</v>
      </c>
      <c r="CS61" s="134">
        <v>0</v>
      </c>
      <c r="CT61" s="134">
        <v>2463</v>
      </c>
      <c r="CU61" s="134">
        <v>29342</v>
      </c>
      <c r="CV61" s="134">
        <v>31805</v>
      </c>
      <c r="CW61" s="134">
        <v>176</v>
      </c>
      <c r="CX61" s="134">
        <v>1344</v>
      </c>
      <c r="CY61" s="134">
        <v>1520</v>
      </c>
      <c r="CZ61" s="134">
        <v>169</v>
      </c>
      <c r="DA61" s="134">
        <v>2</v>
      </c>
      <c r="DB61" s="134">
        <v>0</v>
      </c>
      <c r="DC61" s="134">
        <v>1249</v>
      </c>
      <c r="DD61" s="134">
        <v>14</v>
      </c>
      <c r="DE61" s="134">
        <v>4</v>
      </c>
      <c r="DF61" s="134">
        <v>171</v>
      </c>
      <c r="DG61" s="134">
        <v>1267</v>
      </c>
      <c r="DH61" s="134">
        <v>1438</v>
      </c>
      <c r="DI61" s="134">
        <v>5</v>
      </c>
      <c r="DJ61" s="134">
        <v>0</v>
      </c>
      <c r="DK61" s="134">
        <v>0</v>
      </c>
      <c r="DL61" s="134">
        <v>76</v>
      </c>
      <c r="DM61" s="134">
        <v>1</v>
      </c>
      <c r="DN61" s="134">
        <v>0</v>
      </c>
      <c r="DO61" s="134">
        <v>5</v>
      </c>
      <c r="DP61" s="134">
        <v>77</v>
      </c>
      <c r="DQ61" s="134">
        <v>82</v>
      </c>
      <c r="DR61" s="134">
        <v>0</v>
      </c>
      <c r="DS61" s="134">
        <v>1</v>
      </c>
      <c r="DT61" s="135">
        <v>1</v>
      </c>
      <c r="DU61" s="116"/>
      <c r="DV61" s="136"/>
      <c r="DX61" s="136"/>
      <c r="DY61" s="136"/>
    </row>
    <row r="62" spans="1:129" s="137" customFormat="1">
      <c r="A62" s="133" t="s">
        <v>331</v>
      </c>
      <c r="B62" s="134">
        <v>833</v>
      </c>
      <c r="C62" s="134">
        <v>235</v>
      </c>
      <c r="D62" s="134">
        <v>986</v>
      </c>
      <c r="E62" s="134">
        <v>539</v>
      </c>
      <c r="F62" s="134">
        <v>4</v>
      </c>
      <c r="G62" s="134">
        <v>95</v>
      </c>
      <c r="H62" s="134">
        <v>99</v>
      </c>
      <c r="I62" s="134">
        <v>0</v>
      </c>
      <c r="J62" s="134">
        <v>395</v>
      </c>
      <c r="K62" s="134">
        <v>395</v>
      </c>
      <c r="L62" s="134">
        <v>0</v>
      </c>
      <c r="M62" s="134">
        <v>102</v>
      </c>
      <c r="N62" s="134">
        <v>102</v>
      </c>
      <c r="O62" s="134">
        <v>0</v>
      </c>
      <c r="P62" s="134">
        <v>293</v>
      </c>
      <c r="Q62" s="134">
        <v>293</v>
      </c>
      <c r="R62" s="134">
        <v>0</v>
      </c>
      <c r="S62" s="134">
        <v>103</v>
      </c>
      <c r="T62" s="134">
        <v>103</v>
      </c>
      <c r="U62" s="134">
        <v>0</v>
      </c>
      <c r="V62" s="134">
        <v>52</v>
      </c>
      <c r="W62" s="134">
        <v>52</v>
      </c>
      <c r="X62" s="134">
        <v>6</v>
      </c>
      <c r="Y62" s="134">
        <v>216</v>
      </c>
      <c r="Z62" s="134">
        <v>222</v>
      </c>
      <c r="AA62" s="134">
        <v>6</v>
      </c>
      <c r="AB62" s="134">
        <v>208</v>
      </c>
      <c r="AC62" s="134">
        <v>214</v>
      </c>
      <c r="AD62" s="134">
        <v>4</v>
      </c>
      <c r="AE62" s="134">
        <v>181</v>
      </c>
      <c r="AF62" s="134">
        <v>185</v>
      </c>
      <c r="AG62" s="134">
        <v>2</v>
      </c>
      <c r="AH62" s="134">
        <v>19</v>
      </c>
      <c r="AI62" s="134">
        <v>21</v>
      </c>
      <c r="AJ62" s="134">
        <v>0</v>
      </c>
      <c r="AK62" s="134">
        <v>8</v>
      </c>
      <c r="AL62" s="134">
        <v>8</v>
      </c>
      <c r="AM62" s="134">
        <v>0</v>
      </c>
      <c r="AN62" s="134">
        <v>8</v>
      </c>
      <c r="AO62" s="134">
        <v>8</v>
      </c>
      <c r="AP62" s="134">
        <v>723</v>
      </c>
      <c r="AQ62" s="134">
        <v>8408</v>
      </c>
      <c r="AR62" s="134">
        <v>9131</v>
      </c>
      <c r="AS62" s="134">
        <v>723</v>
      </c>
      <c r="AT62" s="134">
        <v>8446</v>
      </c>
      <c r="AU62" s="134">
        <v>9169</v>
      </c>
      <c r="AV62" s="134">
        <v>0</v>
      </c>
      <c r="AW62" s="134">
        <v>-38</v>
      </c>
      <c r="AX62" s="134">
        <v>-38</v>
      </c>
      <c r="AY62" s="134">
        <v>45</v>
      </c>
      <c r="AZ62" s="134">
        <v>967</v>
      </c>
      <c r="BA62" s="134">
        <v>1012</v>
      </c>
      <c r="BB62" s="134">
        <v>23</v>
      </c>
      <c r="BC62" s="134">
        <v>0</v>
      </c>
      <c r="BD62" s="134">
        <v>0</v>
      </c>
      <c r="BE62" s="134">
        <v>509</v>
      </c>
      <c r="BF62" s="134">
        <v>6</v>
      </c>
      <c r="BG62" s="134">
        <v>1</v>
      </c>
      <c r="BH62" s="134">
        <v>23</v>
      </c>
      <c r="BI62" s="134">
        <v>516</v>
      </c>
      <c r="BJ62" s="134">
        <v>539</v>
      </c>
      <c r="BK62" s="134">
        <v>-18</v>
      </c>
      <c r="BL62" s="134">
        <v>18</v>
      </c>
      <c r="BM62" s="134">
        <v>0</v>
      </c>
      <c r="BN62" s="134">
        <v>5</v>
      </c>
      <c r="BO62" s="134">
        <v>17</v>
      </c>
      <c r="BP62" s="134">
        <v>22</v>
      </c>
      <c r="BQ62" s="134">
        <v>7</v>
      </c>
      <c r="BR62" s="134">
        <v>80</v>
      </c>
      <c r="BS62" s="134">
        <v>87</v>
      </c>
      <c r="BT62" s="134">
        <v>28</v>
      </c>
      <c r="BU62" s="134">
        <v>336</v>
      </c>
      <c r="BV62" s="134">
        <v>364</v>
      </c>
      <c r="BW62" s="134">
        <v>768</v>
      </c>
      <c r="BX62" s="134">
        <v>9375</v>
      </c>
      <c r="BY62" s="134">
        <v>10143</v>
      </c>
      <c r="BZ62" s="134">
        <v>720</v>
      </c>
      <c r="CA62" s="134">
        <v>9179</v>
      </c>
      <c r="CB62" s="134">
        <v>9899</v>
      </c>
      <c r="CC62" s="134">
        <v>18340</v>
      </c>
      <c r="CD62" s="134">
        <v>13</v>
      </c>
      <c r="CE62" s="134">
        <v>291</v>
      </c>
      <c r="CF62" s="134">
        <v>48</v>
      </c>
      <c r="CG62" s="134">
        <v>141</v>
      </c>
      <c r="CH62" s="134">
        <v>189</v>
      </c>
      <c r="CI62" s="134">
        <v>77</v>
      </c>
      <c r="CJ62" s="134">
        <v>0</v>
      </c>
      <c r="CK62" s="134">
        <v>0</v>
      </c>
      <c r="CL62" s="134">
        <v>55</v>
      </c>
      <c r="CM62" s="134">
        <v>55</v>
      </c>
      <c r="CN62" s="134">
        <v>59</v>
      </c>
      <c r="CO62" s="134">
        <v>896</v>
      </c>
      <c r="CP62" s="134">
        <v>955</v>
      </c>
      <c r="CQ62" s="134">
        <v>0</v>
      </c>
      <c r="CR62" s="134">
        <v>0</v>
      </c>
      <c r="CS62" s="134">
        <v>0</v>
      </c>
      <c r="CT62" s="134">
        <v>709</v>
      </c>
      <c r="CU62" s="134">
        <v>8479</v>
      </c>
      <c r="CV62" s="134">
        <v>9188</v>
      </c>
      <c r="CW62" s="134">
        <v>57</v>
      </c>
      <c r="CX62" s="134">
        <v>473</v>
      </c>
      <c r="CY62" s="134">
        <v>530</v>
      </c>
      <c r="CZ62" s="134">
        <v>53</v>
      </c>
      <c r="DA62" s="134">
        <v>3</v>
      </c>
      <c r="DB62" s="134">
        <v>0</v>
      </c>
      <c r="DC62" s="134">
        <v>362</v>
      </c>
      <c r="DD62" s="134">
        <v>8</v>
      </c>
      <c r="DE62" s="134">
        <v>2</v>
      </c>
      <c r="DF62" s="134">
        <v>56</v>
      </c>
      <c r="DG62" s="134">
        <v>372</v>
      </c>
      <c r="DH62" s="134">
        <v>428</v>
      </c>
      <c r="DI62" s="134">
        <v>1</v>
      </c>
      <c r="DJ62" s="134">
        <v>0</v>
      </c>
      <c r="DK62" s="134">
        <v>0</v>
      </c>
      <c r="DL62" s="134">
        <v>99</v>
      </c>
      <c r="DM62" s="134">
        <v>2</v>
      </c>
      <c r="DN62" s="134">
        <v>0</v>
      </c>
      <c r="DO62" s="134">
        <v>1</v>
      </c>
      <c r="DP62" s="134">
        <v>101</v>
      </c>
      <c r="DQ62" s="134">
        <v>102</v>
      </c>
      <c r="DR62" s="134">
        <v>0</v>
      </c>
      <c r="DS62" s="134">
        <v>0</v>
      </c>
      <c r="DT62" s="135">
        <v>0</v>
      </c>
      <c r="DU62" s="116"/>
      <c r="DV62" s="136"/>
      <c r="DX62" s="136"/>
      <c r="DY62" s="136"/>
    </row>
    <row r="63" spans="1:129" s="137" customFormat="1" ht="18" customHeight="1" thickBot="1">
      <c r="A63" s="138" t="s">
        <v>332</v>
      </c>
      <c r="B63" s="139">
        <v>459</v>
      </c>
      <c r="C63" s="139">
        <v>77</v>
      </c>
      <c r="D63" s="139">
        <v>475</v>
      </c>
      <c r="E63" s="139">
        <v>347</v>
      </c>
      <c r="F63" s="139">
        <v>0</v>
      </c>
      <c r="G63" s="139">
        <v>5</v>
      </c>
      <c r="H63" s="139">
        <v>5</v>
      </c>
      <c r="I63" s="139">
        <v>0</v>
      </c>
      <c r="J63" s="139">
        <v>112</v>
      </c>
      <c r="K63" s="139">
        <v>112</v>
      </c>
      <c r="L63" s="139">
        <v>0</v>
      </c>
      <c r="M63" s="139">
        <v>45</v>
      </c>
      <c r="N63" s="139">
        <v>45</v>
      </c>
      <c r="O63" s="139">
        <v>0</v>
      </c>
      <c r="P63" s="139">
        <v>67</v>
      </c>
      <c r="Q63" s="139">
        <v>67</v>
      </c>
      <c r="R63" s="139">
        <v>0</v>
      </c>
      <c r="S63" s="139">
        <v>2</v>
      </c>
      <c r="T63" s="139">
        <v>2</v>
      </c>
      <c r="U63" s="139">
        <v>0</v>
      </c>
      <c r="V63" s="139">
        <v>16</v>
      </c>
      <c r="W63" s="139">
        <v>16</v>
      </c>
      <c r="X63" s="139">
        <v>5</v>
      </c>
      <c r="Y63" s="139">
        <v>470</v>
      </c>
      <c r="Z63" s="139">
        <v>475</v>
      </c>
      <c r="AA63" s="139">
        <v>2</v>
      </c>
      <c r="AB63" s="139">
        <v>254</v>
      </c>
      <c r="AC63" s="139">
        <v>256</v>
      </c>
      <c r="AD63" s="139">
        <v>2</v>
      </c>
      <c r="AE63" s="139">
        <v>247</v>
      </c>
      <c r="AF63" s="139">
        <v>249</v>
      </c>
      <c r="AG63" s="139">
        <v>0</v>
      </c>
      <c r="AH63" s="139">
        <v>7</v>
      </c>
      <c r="AI63" s="139">
        <v>7</v>
      </c>
      <c r="AJ63" s="139">
        <v>0</v>
      </c>
      <c r="AK63" s="139">
        <v>0</v>
      </c>
      <c r="AL63" s="139">
        <v>0</v>
      </c>
      <c r="AM63" s="139">
        <v>3</v>
      </c>
      <c r="AN63" s="139">
        <v>216</v>
      </c>
      <c r="AO63" s="139">
        <v>219</v>
      </c>
      <c r="AP63" s="139">
        <v>742</v>
      </c>
      <c r="AQ63" s="139">
        <v>4812</v>
      </c>
      <c r="AR63" s="139">
        <v>5554</v>
      </c>
      <c r="AS63" s="139">
        <v>742</v>
      </c>
      <c r="AT63" s="139">
        <v>4813</v>
      </c>
      <c r="AU63" s="139">
        <v>5555</v>
      </c>
      <c r="AV63" s="139">
        <v>0</v>
      </c>
      <c r="AW63" s="139">
        <v>-1</v>
      </c>
      <c r="AX63" s="139">
        <v>-1</v>
      </c>
      <c r="AY63" s="139">
        <v>31</v>
      </c>
      <c r="AZ63" s="139">
        <v>539</v>
      </c>
      <c r="BA63" s="139">
        <v>570</v>
      </c>
      <c r="BB63" s="139">
        <v>5</v>
      </c>
      <c r="BC63" s="139">
        <v>0</v>
      </c>
      <c r="BD63" s="139">
        <v>0</v>
      </c>
      <c r="BE63" s="139">
        <v>338</v>
      </c>
      <c r="BF63" s="139">
        <v>3</v>
      </c>
      <c r="BG63" s="139">
        <v>1</v>
      </c>
      <c r="BH63" s="139">
        <v>5</v>
      </c>
      <c r="BI63" s="139">
        <v>342</v>
      </c>
      <c r="BJ63" s="139">
        <v>347</v>
      </c>
      <c r="BK63" s="139">
        <v>-1</v>
      </c>
      <c r="BL63" s="139">
        <v>1</v>
      </c>
      <c r="BM63" s="139">
        <v>0</v>
      </c>
      <c r="BN63" s="139">
        <v>10</v>
      </c>
      <c r="BO63" s="139">
        <v>30</v>
      </c>
      <c r="BP63" s="139">
        <v>40</v>
      </c>
      <c r="BQ63" s="139">
        <v>6</v>
      </c>
      <c r="BR63" s="139">
        <v>61</v>
      </c>
      <c r="BS63" s="139">
        <v>67</v>
      </c>
      <c r="BT63" s="139">
        <v>11</v>
      </c>
      <c r="BU63" s="139">
        <v>105</v>
      </c>
      <c r="BV63" s="139">
        <v>116</v>
      </c>
      <c r="BW63" s="139">
        <v>773</v>
      </c>
      <c r="BX63" s="139">
        <v>5351</v>
      </c>
      <c r="BY63" s="139">
        <v>6124</v>
      </c>
      <c r="BZ63" s="139">
        <v>770</v>
      </c>
      <c r="CA63" s="139">
        <v>5316</v>
      </c>
      <c r="CB63" s="139">
        <v>6086</v>
      </c>
      <c r="CC63" s="139">
        <v>12997</v>
      </c>
      <c r="CD63" s="139">
        <v>3</v>
      </c>
      <c r="CE63" s="139">
        <v>48</v>
      </c>
      <c r="CF63" s="139">
        <v>3</v>
      </c>
      <c r="CG63" s="139">
        <v>28</v>
      </c>
      <c r="CH63" s="139">
        <v>31</v>
      </c>
      <c r="CI63" s="139">
        <v>7</v>
      </c>
      <c r="CJ63" s="139">
        <v>0</v>
      </c>
      <c r="CK63" s="139">
        <v>0</v>
      </c>
      <c r="CL63" s="139">
        <v>7</v>
      </c>
      <c r="CM63" s="139">
        <v>7</v>
      </c>
      <c r="CN63" s="139">
        <v>30</v>
      </c>
      <c r="CO63" s="139">
        <v>533</v>
      </c>
      <c r="CP63" s="139">
        <v>563</v>
      </c>
      <c r="CQ63" s="139">
        <v>1</v>
      </c>
      <c r="CR63" s="139">
        <v>19</v>
      </c>
      <c r="CS63" s="139">
        <v>20</v>
      </c>
      <c r="CT63" s="139">
        <v>743</v>
      </c>
      <c r="CU63" s="139">
        <v>4818</v>
      </c>
      <c r="CV63" s="139">
        <v>5561</v>
      </c>
      <c r="CW63" s="139">
        <v>47</v>
      </c>
      <c r="CX63" s="139">
        <v>209</v>
      </c>
      <c r="CY63" s="139">
        <v>256</v>
      </c>
      <c r="CZ63" s="139">
        <v>47</v>
      </c>
      <c r="DA63" s="139">
        <v>0</v>
      </c>
      <c r="DB63" s="139">
        <v>0</v>
      </c>
      <c r="DC63" s="139">
        <v>202</v>
      </c>
      <c r="DD63" s="139">
        <v>3</v>
      </c>
      <c r="DE63" s="139">
        <v>0</v>
      </c>
      <c r="DF63" s="139">
        <v>47</v>
      </c>
      <c r="DG63" s="139">
        <v>205</v>
      </c>
      <c r="DH63" s="139">
        <v>252</v>
      </c>
      <c r="DI63" s="139">
        <v>0</v>
      </c>
      <c r="DJ63" s="139">
        <v>0</v>
      </c>
      <c r="DK63" s="139">
        <v>0</v>
      </c>
      <c r="DL63" s="139">
        <v>4</v>
      </c>
      <c r="DM63" s="139">
        <v>0</v>
      </c>
      <c r="DN63" s="139">
        <v>0</v>
      </c>
      <c r="DO63" s="139">
        <v>0</v>
      </c>
      <c r="DP63" s="139">
        <v>4</v>
      </c>
      <c r="DQ63" s="139">
        <v>4</v>
      </c>
      <c r="DR63" s="139">
        <v>0</v>
      </c>
      <c r="DS63" s="139">
        <v>0</v>
      </c>
      <c r="DT63" s="140">
        <v>0</v>
      </c>
      <c r="DU63" s="116"/>
      <c r="DV63" s="141" t="s">
        <v>333</v>
      </c>
      <c r="DX63" s="136"/>
      <c r="DY63" s="136"/>
    </row>
    <row r="64" spans="1:129" s="137" customFormat="1" ht="15.75" thickTop="1">
      <c r="A64" s="142" t="s">
        <v>334</v>
      </c>
      <c r="B64" s="143">
        <v>134003</v>
      </c>
      <c r="C64" s="143">
        <v>41115</v>
      </c>
      <c r="D64" s="143">
        <v>140569</v>
      </c>
      <c r="E64" s="143">
        <v>88446</v>
      </c>
      <c r="F64" s="143">
        <v>125</v>
      </c>
      <c r="G64" s="143">
        <v>1754</v>
      </c>
      <c r="H64" s="143">
        <v>1879</v>
      </c>
      <c r="I64" s="143">
        <v>119</v>
      </c>
      <c r="J64" s="143">
        <v>46755</v>
      </c>
      <c r="K64" s="143">
        <v>46874</v>
      </c>
      <c r="L64" s="143">
        <v>59</v>
      </c>
      <c r="M64" s="143">
        <v>17970</v>
      </c>
      <c r="N64" s="143">
        <v>18029</v>
      </c>
      <c r="O64" s="143">
        <v>60</v>
      </c>
      <c r="P64" s="143">
        <v>28785</v>
      </c>
      <c r="Q64" s="143">
        <v>28845</v>
      </c>
      <c r="R64" s="143">
        <v>8</v>
      </c>
      <c r="S64" s="143">
        <v>2126</v>
      </c>
      <c r="T64" s="143">
        <v>2134</v>
      </c>
      <c r="U64" s="143">
        <v>49</v>
      </c>
      <c r="V64" s="143">
        <v>5200</v>
      </c>
      <c r="W64" s="143">
        <v>5249</v>
      </c>
      <c r="X64" s="143">
        <v>3891</v>
      </c>
      <c r="Y64" s="143">
        <v>119594</v>
      </c>
      <c r="Z64" s="143">
        <v>123485</v>
      </c>
      <c r="AA64" s="143">
        <v>2353</v>
      </c>
      <c r="AB64" s="143">
        <v>47892</v>
      </c>
      <c r="AC64" s="143">
        <v>50245</v>
      </c>
      <c r="AD64" s="143">
        <v>2089</v>
      </c>
      <c r="AE64" s="143">
        <v>44635</v>
      </c>
      <c r="AF64" s="143">
        <v>46724</v>
      </c>
      <c r="AG64" s="143">
        <v>126</v>
      </c>
      <c r="AH64" s="143">
        <v>1692</v>
      </c>
      <c r="AI64" s="143">
        <v>1818</v>
      </c>
      <c r="AJ64" s="143">
        <v>138</v>
      </c>
      <c r="AK64" s="143">
        <v>1565</v>
      </c>
      <c r="AL64" s="143">
        <v>1703</v>
      </c>
      <c r="AM64" s="143">
        <v>1538</v>
      </c>
      <c r="AN64" s="143">
        <v>71702</v>
      </c>
      <c r="AO64" s="143">
        <v>73240</v>
      </c>
      <c r="AP64" s="143">
        <v>219651</v>
      </c>
      <c r="AQ64" s="143">
        <v>1581246</v>
      </c>
      <c r="AR64" s="143">
        <v>1800897</v>
      </c>
      <c r="AS64" s="143">
        <v>220012</v>
      </c>
      <c r="AT64" s="143">
        <v>1593572</v>
      </c>
      <c r="AU64" s="143">
        <v>1813584</v>
      </c>
      <c r="AV64" s="143">
        <v>-361</v>
      </c>
      <c r="AW64" s="143">
        <v>-12326</v>
      </c>
      <c r="AX64" s="143">
        <v>-12687</v>
      </c>
      <c r="AY64" s="143">
        <v>11588</v>
      </c>
      <c r="AZ64" s="143">
        <v>142889</v>
      </c>
      <c r="BA64" s="143">
        <v>154477</v>
      </c>
      <c r="BB64" s="143">
        <v>5287</v>
      </c>
      <c r="BC64" s="143">
        <v>98</v>
      </c>
      <c r="BD64" s="143">
        <v>11</v>
      </c>
      <c r="BE64" s="143">
        <v>81613</v>
      </c>
      <c r="BF64" s="143">
        <v>901</v>
      </c>
      <c r="BG64" s="143">
        <v>536</v>
      </c>
      <c r="BH64" s="143">
        <v>5396</v>
      </c>
      <c r="BI64" s="143">
        <v>83050</v>
      </c>
      <c r="BJ64" s="143">
        <v>88446</v>
      </c>
      <c r="BK64" s="143">
        <v>-1786</v>
      </c>
      <c r="BL64" s="143">
        <v>1786</v>
      </c>
      <c r="BM64" s="143">
        <v>0</v>
      </c>
      <c r="BN64" s="143">
        <v>518</v>
      </c>
      <c r="BO64" s="143">
        <v>2665</v>
      </c>
      <c r="BP64" s="143">
        <v>3183</v>
      </c>
      <c r="BQ64" s="143">
        <v>1239</v>
      </c>
      <c r="BR64" s="143">
        <v>15220</v>
      </c>
      <c r="BS64" s="143">
        <v>16459</v>
      </c>
      <c r="BT64" s="143">
        <v>6221</v>
      </c>
      <c r="BU64" s="143">
        <v>40168</v>
      </c>
      <c r="BV64" s="143">
        <v>46389</v>
      </c>
      <c r="BW64" s="143">
        <v>231239</v>
      </c>
      <c r="BX64" s="143">
        <v>1724135</v>
      </c>
      <c r="BY64" s="143">
        <v>1955374</v>
      </c>
      <c r="BZ64" s="143">
        <v>226592</v>
      </c>
      <c r="CA64" s="143">
        <v>1695667</v>
      </c>
      <c r="CB64" s="143">
        <v>1922259</v>
      </c>
      <c r="CC64" s="143">
        <v>3971138</v>
      </c>
      <c r="CD64" s="143">
        <v>2470</v>
      </c>
      <c r="CE64" s="143">
        <v>28556</v>
      </c>
      <c r="CF64" s="143">
        <v>4422</v>
      </c>
      <c r="CG64" s="143">
        <v>19217</v>
      </c>
      <c r="CH64" s="143">
        <v>23639</v>
      </c>
      <c r="CI64" s="143">
        <v>11450</v>
      </c>
      <c r="CJ64" s="143">
        <v>1007</v>
      </c>
      <c r="CK64" s="143">
        <v>225</v>
      </c>
      <c r="CL64" s="143">
        <v>9251</v>
      </c>
      <c r="CM64" s="143">
        <v>9476</v>
      </c>
      <c r="CN64" s="143">
        <v>13250</v>
      </c>
      <c r="CO64" s="143">
        <v>150475</v>
      </c>
      <c r="CP64" s="143">
        <v>163725</v>
      </c>
      <c r="CQ64" s="143">
        <v>84</v>
      </c>
      <c r="CR64" s="143">
        <v>866</v>
      </c>
      <c r="CS64" s="143">
        <v>950</v>
      </c>
      <c r="CT64" s="143">
        <v>217989</v>
      </c>
      <c r="CU64" s="143">
        <v>1573660</v>
      </c>
      <c r="CV64" s="143">
        <v>1791649</v>
      </c>
      <c r="CW64" s="143">
        <v>14118</v>
      </c>
      <c r="CX64" s="143">
        <v>74035</v>
      </c>
      <c r="CY64" s="143">
        <v>88153</v>
      </c>
      <c r="CZ64" s="143">
        <v>13501</v>
      </c>
      <c r="DA64" s="143">
        <v>250</v>
      </c>
      <c r="DB64" s="143">
        <v>7</v>
      </c>
      <c r="DC64" s="143">
        <v>67859</v>
      </c>
      <c r="DD64" s="143">
        <v>983</v>
      </c>
      <c r="DE64" s="143">
        <v>244</v>
      </c>
      <c r="DF64" s="143">
        <v>13758</v>
      </c>
      <c r="DG64" s="143">
        <v>69086</v>
      </c>
      <c r="DH64" s="143">
        <v>82844</v>
      </c>
      <c r="DI64" s="143">
        <v>352</v>
      </c>
      <c r="DJ64" s="143">
        <v>8</v>
      </c>
      <c r="DK64" s="143">
        <v>0</v>
      </c>
      <c r="DL64" s="143">
        <v>4797</v>
      </c>
      <c r="DM64" s="143">
        <v>121</v>
      </c>
      <c r="DN64" s="143">
        <v>31</v>
      </c>
      <c r="DO64" s="143">
        <v>360</v>
      </c>
      <c r="DP64" s="143">
        <v>4949</v>
      </c>
      <c r="DQ64" s="143">
        <v>5309</v>
      </c>
      <c r="DR64" s="143">
        <v>9</v>
      </c>
      <c r="DS64" s="143">
        <v>82</v>
      </c>
      <c r="DT64" s="143">
        <v>91</v>
      </c>
      <c r="DU64" s="116"/>
      <c r="DV64" s="144">
        <v>25304237</v>
      </c>
      <c r="DX64" s="136"/>
      <c r="DY64" s="136"/>
    </row>
  </sheetData>
  <conditionalFormatting sqref="B6:DT63">
    <cfRule type="containsBlanks" dxfId="377" priority="1">
      <formula>LEN(TRIM(B6))=0</formula>
    </cfRule>
  </conditionalFormatting>
  <dataValidations count="123">
    <dataValidation allowBlank="1" prompt="Part D.  RECERTIFICATIONS_x000a_ Item 10. Overdue recertifications during the month_x000a_ Column C. Total" sqref="DT5"/>
    <dataValidation allowBlank="1" prompt="Part D.  RECERTIFICATIONS_x000a_ Item 10. Overdue recertifications during the month_x000a_ Column B. NACF" sqref="DS5"/>
    <dataValidation allowBlank="1" prompt="Part D.  RECERTIFICATIONS_x000a_ Item 10. Overdue recertifications during the month_x000a_ Column A. PACF" sqref="DR5"/>
    <dataValidation allowBlank="1" prompt="Part D.  RECERTIFICATIONS_x000a_ Item 9B. Determined ineligible_x000a_ Column C. Total" sqref="DQ5"/>
    <dataValidation allowBlank="1" prompt="Part D.  RECERTIFICATIONS_x000a_ Item 9B. Determined ineligible_x000a_ Column B. NACF" sqref="DP5"/>
    <dataValidation allowBlank="1" prompt="Part D.  RECERTIFICATIONS_x000a_ Item 9B. Determined ineligible_x000a_ Column A. PACF" sqref="DO5"/>
    <dataValidation allowBlank="1" prompt="Part D.  RECERTIFICATIONS_x000a_ Item 9B. Determined ineligible_x000a_ Column NACF: State" sqref="DN5"/>
    <dataValidation allowBlank="1" prompt="Part D.  RECERTIFICATIONS_x000a_ Item 9B. Determined ineligible_x000a_ Column NACF: Federal/State" sqref="DM5"/>
    <dataValidation allowBlank="1" prompt="Part D.  RECERTIFICATIONS_x000a_ Item 9B. Determined ineligible_x000a_ Column NACF: Federal" sqref="DL5"/>
    <dataValidation allowBlank="1" prompt="Part D.  RECERTIFICATIONS_x000a_ Item 9B. Determined ineligible_x000a_ Column PACF: State" sqref="DK5"/>
    <dataValidation allowBlank="1" prompt="Part D.  RECERTIFICATIONS_x000a_ Item 9B. Determined ineligible_x000a_ Column PACF: Federal/State" sqref="DJ5"/>
    <dataValidation allowBlank="1" prompt="Part D.  RECERTIFICATIONS_x000a_ Item 9B. Determined ineligible_x000a_ Column PACF: Federal" sqref="DI5"/>
    <dataValidation allowBlank="1" prompt="Part D.  RECERTIFICATIONS_x000a_ Item 9A. Determined continuing eligible_x000a_ Column C. Total" sqref="DH5"/>
    <dataValidation allowBlank="1" prompt="Part D.  RECERTIFICATIONS_x000a_ Item 9A. Determined continuing eligible_x000a_ Column B. NACF" sqref="DG5"/>
    <dataValidation allowBlank="1" prompt="Part D.  RECERTIFICATIONS_x000a_ Item 9A. Determined continuing eligible_x000a_ Column A. PACF" sqref="DF5"/>
    <dataValidation allowBlank="1" prompt="Part D.  RECERTIFICATIONS_x000a_ Item 9A. Determined continuing eligible_x000a_ Column NACF: State" sqref="DE5"/>
    <dataValidation allowBlank="1" prompt="Part D.  RECERTIFICATIONS_x000a_ Item 9A. Determined continuing eligible_x000a_ Column NACF: Federal/State" sqref="DD5"/>
    <dataValidation allowBlank="1" prompt="Part D.  RECERTIFICATIONS_x000a_ Item 9A. Determined continuing eligible_x000a_ Column NACF: Federal" sqref="DC5"/>
    <dataValidation allowBlank="1" prompt="Part D.  RECERTIFICATIONS_x000a_ Item 9A. Determined continuing eligible_x000a_ Column PACF: State" sqref="DB5"/>
    <dataValidation allowBlank="1" prompt="Part D.  RECERTIFICATIONS_x000a_ Item 9A. Determined continuing eligible_x000a_ Column PACF: Federal/State" sqref="DA5"/>
    <dataValidation allowBlank="1" prompt="Part D.  RECERTIFICATIONS_x000a_ Item 9A. Determined continuing eligible_x000a_ Column PACF: Federal" sqref="CZ5"/>
    <dataValidation allowBlank="1" prompt="Part D.  RECERTIFICATIONS_x000a_ Item 9. Recertifications disposed of during the month _x000a_ Column C. Total" sqref="CY5"/>
    <dataValidation allowBlank="1" prompt="Part D.  RECERTIFICATIONS_x000a_ Item 9. Recertifications disposed of during the month _x000a_ Column B. NACF" sqref="CX5"/>
    <dataValidation allowBlank="1" prompt="Part D.  RECERTIFICATIONS_x000a_ Item 9. Recertifications disposed of during the month _x000a_ Column A. PACF" sqref="CW5"/>
    <dataValidation allowBlank="1" prompt="Part C.  CERTIFIED CASELOAD MOVEMENT_x000a_ Item 8. Cases brought forward at the end of the month_x000a_ Column C. Total" sqref="CV5"/>
    <dataValidation allowBlank="1" prompt="Part C.  CERTIFIED CASELOAD MOVEMENT_x000a_ Item 8. Cases brought forward at the end of the month_x000a_ Column B. NACF" sqref="CU5"/>
    <dataValidation allowBlank="1" prompt="Part C.  CERTIFIED CASELOAD MOVEMENT_x000a_ Item 8. Cases brought forward at the end of the month_x000a_ Column A. PACF" sqref="CT5"/>
    <dataValidation allowBlank="1" prompt="Part C.  CERTIFIED CASELOAD MOVEMENT_x000a_ Item 7A. Households discontinued due to recipient failure to complete application process for ongoing benefits (Expedited services only)_x000a_ Column C. Total" sqref="CS5"/>
    <dataValidation allowBlank="1" prompt="Part C.  CERTIFIED CASELOAD MOVEMENT_x000a_ Item 7A. Households discontinued due to recipient failure to complete application process for ongoing benefits (Expedited services only)_x000a_ Column B. NACF" sqref="CR5"/>
    <dataValidation allowBlank="1" prompt="Part C.  CERTIFIED CASELOAD MOVEMENT_x000a_ Item 7A. Households discontinued due to recipient failure to complete application process for ongoing benefits (Expedited services only)_x000a_ Column A. PACF" sqref="CQ5"/>
    <dataValidation allowBlank="1" prompt="Part C.  CERTIFIED CASELOAD MOVEMENT_x000a_ Item 7. Cases discontinued during the month_x000a_ Column C. Total" sqref="CP5"/>
    <dataValidation allowBlank="1" prompt="Part C.  CERTIFIED CASELOAD MOVEMENT_x000a_ Item 7. Cases discontinued during the month_x000a_ Column B. NACF" sqref="CO5"/>
    <dataValidation allowBlank="1" prompt="Part C.  CERTIFIED CASELOAD MOVEMENT_x000a_ Item 7. Cases discontinued during the month_x000a_ Column A. PACF" sqref="CN5"/>
    <dataValidation allowBlank="1" prompt="Part C.  CERTIFIED CASELOAD MOVEMENT_x000a_ Item 6C. Pure state cases_x000a_ Column C. Total" sqref="CM5"/>
    <dataValidation allowBlank="1" prompt="Part C.  CERTIFIED CASELOAD MOVEMENT_x000a_ Item 6C. Pure state cases_x000a_ Column B. NACF" sqref="CL5"/>
    <dataValidation allowBlank="1" prompt="Part C.  CERTIFIED CASELOAD MOVEMENT_x000a_ Item 6C. Pure state cases_x000a_ Column A. PACF" sqref="CK5"/>
    <dataValidation allowBlank="1" prompt="Part C.  CERTIFIED CASELOAD MOVEMENT_x000a_ Item 6C. Pure state cases_x000a_ Column State Persons: Families" sqref="CJ5"/>
    <dataValidation allowBlank="1" prompt="Part C.  CERTIFIED CASELOAD MOVEMENT_x000a_ Item 6C. Pure state cases_x000a_ Column State Persons: Single" sqref="CI5"/>
    <dataValidation allowBlank="1" prompt="Part C.  CERTIFIED CASELOAD MOVEMENT_x000a_ Item 6B. Federal/State combined cases_x000a_ Column C. Total" sqref="CH5"/>
    <dataValidation allowBlank="1" prompt="Part C.  CERTIFIED CASELOAD MOVEMENT_x000a_ Item 6B. Federal/State combined cases_x000a_ Column B. NACF" sqref="CG5"/>
    <dataValidation allowBlank="1" prompt="Part C.  CERTIFIED CASELOAD MOVEMENT_x000a_ Item 6B. Federal/State combined cases_x000a_ Column A. PACF" sqref="CF5"/>
    <dataValidation allowBlank="1" prompt="Part C.  CERTIFIED CASELOAD MOVEMENT_x000a_ Item 6B. Federal/State combined cases_x000a_ Column State Persons: Families" sqref="CE5"/>
    <dataValidation allowBlank="1" prompt="Part C.  CERTIFIED CASELOAD MOVEMENT_x000a_ Item 6B. Federal/State combined cases_x000a_ Column State Persons: Single" sqref="CD5"/>
    <dataValidation allowBlank="1" prompt="Part C.  CERTIFIED CASELOAD MOVEMENT_x000a_ Item 6A.1) Federal persons in Item 6A cases plus federal persons in Item 6B cases_x000a_ Column Federal Persons" sqref="CC5"/>
    <dataValidation allowBlank="1" prompt="Part C.  CERTIFIED CASELOAD MOVEMENT_x000a_ Item 6A. Pure federal cases_x000a_ Column C. Total" sqref="CB5"/>
    <dataValidation allowBlank="1" prompt="Part C.  CERTIFIED CASELOAD MOVEMENT_x000a_ Item 6A. Pure federal cases_x000a_ Column B. NACF" sqref="CA5"/>
    <dataValidation allowBlank="1" prompt="Part C.  CERTIFIED CASELOAD MOVEMENT_x000a_ Item 6A. Pure federal cases_x000a_ Column A. PACF" sqref="BZ5"/>
    <dataValidation allowBlank="1" prompt="Part C.  CERTIFIED CASELOAD MOVEMENT_x000a_ Item 6. Total cases open during the month _x000a_ Column C. Total" sqref="BY5"/>
    <dataValidation allowBlank="1" prompt="Part C.  CERTIFIED CASELOAD MOVEMENT_x000a_ Item 6. Total cases open during the month _x000a_ Column B. NACF" sqref="BX5"/>
    <dataValidation allowBlank="1" prompt="Part C.  CERTIFIED CASELOAD MOVEMENT_x000a_ Item 6. Total cases open during the month _x000a_ Column A. PACF" sqref="BW5"/>
    <dataValidation allowBlank="1" prompt="Part C.  CERTIFIED CASELOAD MOVEMENT_x000a_ Item 5E. Other Approvals_x000a_ Column C. Total" sqref="BV5"/>
    <dataValidation allowBlank="1" prompt="Part C.  CERTIFIED CASELOAD MOVEMENT_x000a_ Item 5E. Other Approvals_x000a_ Column B. NACF" sqref="BU5"/>
    <dataValidation allowBlank="1" prompt="Part C.  CERTIFIED CASELOAD MOVEMENT_x000a_ Item 5E. Other Approvals_x000a_ Column A. PACF" sqref="BT5"/>
    <dataValidation allowBlank="1" prompt="Part C.  CERTIFIED CASELOAD MOVEMENT_x000a_ Item 5D. Cases with eligibility reinstated and benefits pro-rated during the month_x000a_ Column C. Total" sqref="BS5"/>
    <dataValidation allowBlank="1" prompt="Part C.  CERTIFIED CASELOAD MOVEMENT_x000a_ Item 5D. Cases with eligibility reinstated and benefits pro-rated during the month_x000a_ Column B. NACF" sqref="BR5"/>
    <dataValidation allowBlank="1" prompt="Part C.  CERTIFIED CASELOAD MOVEMENT_x000a_ Item 5D. Cases with eligibility reinstated and benefits pro-rated during the month_x000a_ Column A. PACF" sqref="BQ5"/>
    <dataValidation allowBlank="1" prompt="Part C.  CERTIFIED CASELOAD MOVEMENT_x000a_ Item 5C. Inter-County Transfers_x000a_ Column C. Total" sqref="BP5"/>
    <dataValidation allowBlank="1" prompt="Part C.  CERTIFIED CASELOAD MOVEMENT_x000a_ Item 5C. Inter-County Transfers_x000a_ Column B. NACF" sqref="BO5"/>
    <dataValidation allowBlank="1" prompt="Part C.  CERTIFIED CASELOAD MOVEMENT_x000a_ Item 5C. Inter-County Transfers_x000a_ Column A. PACF" sqref="BN5"/>
    <dataValidation allowBlank="1" prompt="Part C.  CERTIFIED CASELOAD MOVEMENT_x000a_ Item 5B. Change in asssistance status from PACF or NACF_x000a_ Column C. Total" sqref="BM5"/>
    <dataValidation allowBlank="1" prompt="Part C.  CERTIFIED CASELOAD MOVEMENT_x000a_ Item 5B. Change in asssistance status from PACF or NACF_x000a_ Column B. NACF" sqref="BL5"/>
    <dataValidation allowBlank="1" prompt="Part C.  CERTIFIED CASELOAD MOVEMENT_x000a_ Item 5B. Change in asssistance status from PACF or NACF_x000a_ Column A. PACF" sqref="BK5"/>
    <dataValidation allowBlank="1" prompt="Part C.  CERTIFIED CASELOAD MOVEMENT_x000a_ Item 5A. Applications Approved_x000a_ Column C. Total" sqref="BJ5"/>
    <dataValidation allowBlank="1" prompt="Part C.  CERTIFIED CASELOAD MOVEMENT_x000a_ Item 5A. Applications Approved_x000a_ Column B. NACF" sqref="BI5"/>
    <dataValidation allowBlank="1" prompt="Part C.  CERTIFIED CASELOAD MOVEMENT_x000a_ Item 5A. Applications Approved_x000a_ Column A. PACF" sqref="BH5"/>
    <dataValidation allowBlank="1" prompt="Part C.  CERTIFIED CASELOAD MOVEMENT_x000a_ Item 5A. Applications Approved_x000a_ Column NACF (State)" sqref="BG5"/>
    <dataValidation allowBlank="1" prompt="Part C.  CERTIFIED CASELOAD MOVEMENT_x000a_ Item 5A. Applications Approved_x000a_ Column NACF (Federal/State)" sqref="BF5"/>
    <dataValidation allowBlank="1" prompt="Part C.  CERTIFIED CASELOAD MOVEMENT_x000a_ Item 5A. Applications Approved_x000a_ Column NACF (Federal)" sqref="BE5"/>
    <dataValidation allowBlank="1" prompt="Part C.  CERTIFIED CASELOAD MOVEMENT_x000a_ Item 5A. Applications Approved_x000a_ Column PACF (State)" sqref="BD5"/>
    <dataValidation allowBlank="1" prompt="Part C.  CERTIFIED CASELOAD MOVEMENT_x000a_ Item 5A. Applications Approved_x000a_ Column PACF (Federal/State)" sqref="BC5"/>
    <dataValidation allowBlank="1" prompt="Part C.  CERTIFIED CASELOAD MOVEMENT_x000a_ Item 5A. Applications Approved_x000a_ Column PACF (Federal)" sqref="BB5"/>
    <dataValidation allowBlank="1" prompt="Part C.  CERTIFIED CASELOAD MOVEMENT_x000a_ Item 5. Cases added during the month _x000a_ Column C. Total" sqref="BA5"/>
    <dataValidation allowBlank="1" prompt="Part C.  CERTIFIED CASELOAD MOVEMENT_x000a_ Item 5. Cases added during the month _x000a_ Column B. NACF" sqref="AZ5"/>
    <dataValidation allowBlank="1" prompt="Part C.  CERTIFIED CASELOAD MOVEMENT_x000a_ Item 5. Cases added during the month _x000a_ Column A. PACF" sqref="AY5"/>
    <dataValidation allowBlank="1" prompt="Part C.  CERTIFIED CASELOAD MOVEMENT_x000a_ Item 4B. Adjustment_x000a_ Column C. Total" sqref="AX5"/>
    <dataValidation allowBlank="1" prompt="Part C.  CERTIFIED CASELOAD MOVEMENT_x000a_ Item 4B. Adjustment_x000a_ Column B. NACF" sqref="AW5"/>
    <dataValidation allowBlank="1" prompt="Part C.  CERTIFIED CASELOAD MOVEMENT_x000a_ Item 4B. Adjustment_x000a_ Column A. PACF" sqref="AV5"/>
    <dataValidation allowBlank="1" prompt="Part C.  CERTIFIED CASELOAD MOVEMENT_x000a_ Item 4A. Item 8 from last month's report, as reported to CDSS_x000a_ Column C. Total" sqref="AU5"/>
    <dataValidation allowBlank="1" prompt="Part C.  CERTIFIED CASELOAD MOVEMENT_x000a_ Item 4A. Item 8 from last month's report, as reported to CDSS_x000a_ Column B. NACF" sqref="AT5"/>
    <dataValidation allowBlank="1" prompt="Part C.  CERTIFIED CASELOAD MOVEMENT_x000a_ Item 4A. Item 8 from last month's report, as reported to CDSS_x000a_ Column A. PACF" sqref="AS5"/>
    <dataValidation allowBlank="1" prompt="Part C.  CERTIFIED CASELOAD MOVEMENT_x000a_ Item 4. Cases brought forward at the beginning of the month_x000a_ Column C. Total" sqref="AR5"/>
    <dataValidation allowBlank="1" prompt="Part C.  CERTIFIED CASELOAD MOVEMENT_x000a_ Item 4. Cases brought forward at the beginning of the month_x000a_ Column B. NACF" sqref="AQ5"/>
    <dataValidation allowBlank="1" prompt="Part C.  CERTIFIED CASELOAD MOVEMENT_x000a_ Item 4. Cases brought forward at the beginning of the month_x000a_ Column A. PACF" sqref="AP5"/>
    <dataValidation allowBlank="1" prompt="Part B.  APPLICATIONS PROCESSED UNDER EXPEDITED SERVICES (ES)_x000a_ Item 3B. Found not entitled to expedited services_x000a_ Column C. Total" sqref="AO5"/>
    <dataValidation allowBlank="1" prompt="Part B.  APPLICATIONS PROCESSED UNDER EXPEDITED SERVICES (ES)_x000a_ Item 3B. Found not entitled to expedited services_x000a_ Column B. NACF" sqref="AN5"/>
    <dataValidation allowBlank="1" prompt="Part B.  APPLICATIONS PROCESSED UNDER EXPEDITED SERVICES (ES)_x000a_ Item 3B. Found not entitled to expedited services_x000a_ Column A. PACF" sqref="AM5"/>
    <dataValidation allowBlank="1" prompt="Part B.  APPLICATIONS PROCESSED UNDER EXPEDITED SERVICES (ES)_x000a_ Item 3A.3) Benefits issued in over 7 days_x000a_ Column C. Total" sqref="AL5"/>
    <dataValidation allowBlank="1" prompt="Part B.  APPLICATIONS PROCESSED UNDER EXPEDITED SERVICES (ES)_x000a_ Item 3A.3) Benefits issued in over 7 days_x000a_ Column B. NACF" sqref="AK5"/>
    <dataValidation allowBlank="1" prompt="Part B.  APPLICATIONS PROCESSED UNDER EXPEDITED SERVICES (ES)_x000a_ Item 3A.3) Benefits issued in over 7 days_x000a_ Column A. PACF" sqref="AJ5"/>
    <dataValidation allowBlank="1" prompt="Part B.  APPLICATIONS PROCESSED UNDER EXPEDITED SERVICES (ES)_x000a_ Item 3A.2) Benefits issued in 4 to 7 days_x000a_ Column C. Total" sqref="AI5"/>
    <dataValidation allowBlank="1" prompt="Part B.  APPLICATIONS PROCESSED UNDER EXPEDITED SERVICES (ES)_x000a_ Item 3A.2) Benefits issued in 4 to 7 days_x000a_ Column B. NACF" sqref="AH5"/>
    <dataValidation allowBlank="1" prompt="Part B.  APPLICATIONS PROCESSED UNDER EXPEDITED SERVICES (ES)_x000a_ Item 3A.2) Benefits issued in 4 to 7 days_x000a_ Column A. PACF" sqref="AG5"/>
    <dataValidation allowBlank="1" prompt="Part B.  APPLICATIONS PROCESSED UNDER EXPEDITED SERVICES (ES)_x000a_ Item 3A.1) Benefits issued in 1 to 3 days_x000a_ Column C. Total" sqref="AF5"/>
    <dataValidation allowBlank="1" prompt="Part B.  APPLICATIONS PROCESSED UNDER EXPEDITED SERVICES (ES)_x000a_ Item 3A.1) Benefits issued in 1 to 3 days_x000a_ Column B. NACF" sqref="AE5"/>
    <dataValidation allowBlank="1" prompt="Part B.  APPLICATIONS PROCESSED UNDER EXPEDITED SERVICES (ES)_x000a_ Item 3A.1) Benefits issued in 1 to 3 days_x000a_ Column A. PACF" sqref="AD5"/>
    <dataValidation allowBlank="1" prompt="Part B.  APPLICATIONS PROCESSED UNDER EXPEDITED SERVICES (ES)_x000a_ Item 3A. Found entitled to expedited services_x000a_ Column C. Total" sqref="AC5"/>
    <dataValidation allowBlank="1" prompt="Part B.  APPLICATIONS PROCESSED UNDER EXPEDITED SERVICES (ES)_x000a_ Item 3A. Found entitled to expedited services_x000a_ Column B. NACF" sqref="AB5"/>
    <dataValidation allowBlank="1" prompt="Part B.  APPLICATIONS PROCESSED UNDER EXPEDITED SERVICES (ES)_x000a_ Item 3A. Found entitled to expedited services_x000a_ Column A. PACF" sqref="AA5"/>
    <dataValidation allowBlank="1" prompt="Part B.  APPLICATIONS PROCESSED UNDER EXPEDITED SERVICES (ES)_x000a_ Item 3. Of the applications disposed of during the month in Item 2, applications processed under expedited services_x000a_ Column C. Total" sqref="Z5"/>
    <dataValidation allowBlank="1" prompt="Part B.  APPLICATIONS PROCESSED UNDER EXPEDITED SERVICES (ES)_x000a_ Item 3. Of the applications disposed of during the month in Item 2, applications processed under expedited services_x000a_ Column B. NACF" sqref="Y5"/>
    <dataValidation allowBlank="1" prompt="Part B.  APPLICATIONS PROCESSED UNDER EXPEDITED SERVICES (ES)_x000a_ Item 3. Of the applications disposed of during the month in Item 2, applications processed under expedited services_x000a_ Column A. PACF" sqref="X5"/>
    <dataValidation allowBlank="1" prompt="Part A.  APPLICATIONS FOR CALFRESH_x000a_ Item 2C. Applications withdrawn_x000a_ Column C. Total" sqref="W5"/>
    <dataValidation allowBlank="1" prompt="Part A.  APPLICATIONS FOR CALFRESH_x000a_ Item 2C. Applications withdrawn_x000a_ Column B. NACF" sqref="V5"/>
    <dataValidation allowBlank="1" prompt="Part A.  APPLICATIONS FOR CALFRESH_x000a_ Item 2C. Applications withdrawn_x000a_ Column A. PACF" sqref="U5"/>
    <dataValidation allowBlank="1" prompt="Part A.  APPLICATIONS FOR CALFRESH_x000a_ Item 2B.3) Applications denied in over 30 days_x000a_ Column C. Total" sqref="T5"/>
    <dataValidation allowBlank="1" prompt="Part A.  APPLICATIONS FOR CALFRESH_x000a_ Item 2B.3) Applications denied in over 30 days_x000a_ Column B. NACF" sqref="S5"/>
    <dataValidation allowBlank="1" prompt="Part A.  APPLICATIONS FOR CALFRESH_x000a_ Item 2B.3) Applications denied in over 30 days_x000a_ Column A. PACF" sqref="R5"/>
    <dataValidation allowBlank="1" prompt="Part A.  APPLICATIONS FOR CALFRESH_x000a_ Item 2B.2) Applications denied for procedural reasons_x000a_ Column C. Total" sqref="Q5"/>
    <dataValidation allowBlank="1" prompt="Part A.  APPLICATIONS FOR CALFRESH_x000a_ Item 2B.2) Applications denied for procedural reasons_x000a_ Column B. NACF" sqref="P5"/>
    <dataValidation allowBlank="1" prompt="Part A.  APPLICATIONS FOR CALFRESH_x000a_ Item 2B.2) Applications denied for procedural reasons_x000a_ Column A. PACF" sqref="O5"/>
    <dataValidation allowBlank="1" prompt="Part A.  APPLICATIONS FOR CALFRESH_x000a_ Item 2B.1) Applications denied because determined ineligible_x000a_ Column C. Total" sqref="N5"/>
    <dataValidation allowBlank="1" prompt="Part A.  APPLICATIONS FOR CALFRESH_x000a_ Item 2B.1) Applications denied because determined ineligible_x000a_ Column B. NACF" sqref="M5"/>
    <dataValidation allowBlank="1" prompt="Part A.  APPLICATIONS FOR CALFRESH_x000a_ Item 2B.1) Applications denied because determined ineligible_x000a_ Column A. PACF" sqref="L5"/>
    <dataValidation allowBlank="1" prompt="Part A.  APPLICATIONS FOR CALFRESH_x000a_ Item 2B. Applications denied (Item 2B1 plus Item 2B2)_x000a_ Column C. Total" sqref="K5"/>
    <dataValidation allowBlank="1" prompt="Part A.  APPLICATIONS FOR CALFRESH_x000a_ Item 2B. Applications denied (Item 2B1 plus Item 2B2)_x000a_ Column B. NACF" sqref="J5"/>
    <dataValidation allowBlank="1" prompt="Part A.  APPLICATIONS FOR CALFRESH_x000a_ Item 2B. Applications denied (Item 2B1 plus Item 2B2)_x000a_ Column A. PACF" sqref="I5"/>
    <dataValidation allowBlank="1" prompt="Part A.  APPLICATIONS FOR CALFRESH_x000a_ Item 2A.1) Applications approved in over 30 days_x000a_ Column C. Total" sqref="H5"/>
    <dataValidation allowBlank="1" prompt="Part A.  APPLICATIONS FOR CALFRESH_x000a_ Item 2A.1) Applications approved in over 30 days _x000a_ Column B. NACF" sqref="G5"/>
    <dataValidation allowBlank="1" prompt="Part A.  APPLICATIONS FOR CALFRESH_x000a_ Item 2A.1) Applications approved in over 30 days _x000a_ Column A. PACF" sqref="F5"/>
    <dataValidation allowBlank="1" prompt="Part A.  APPLICATIONS FOR CALFRESH_x000a_ Item 2A. Applications approved _x000a_ Column Total" sqref="E5"/>
    <dataValidation allowBlank="1" prompt="Part A.  APPLICATIONS FOR CALFRESH_x000a_ Item 2. Applications disposed of during the month _x000a_ Column Total" sqref="D5"/>
    <dataValidation allowBlank="1" prompt="Part A.  APPLICATIONS FOR CALFRESH_x000a_ Item 1A. Online applications received during the month_x000a_ Column Total" sqref="C5"/>
    <dataValidation allowBlank="1" prompt="Part A.  APPLICATIONS FOR CALFRESH_x000a_ Item 1. Applications received during the month_x000a_ Column Total" sqref="B5"/>
  </dataValidations>
  <printOptions horizontalCentered="1"/>
  <pageMargins left="0.25" right="0.25" top="0.81708333333333305" bottom="0.5" header="0.25" footer="0.25"/>
  <pageSetup scale="10" orientation="portrait" r:id="rId1"/>
  <headerFooter scaleWithDoc="0" alignWithMargins="0"/>
  <rowBreaks count="1" manualBreakCount="1">
    <brk id="64" max="16383" man="1"/>
  </rowBreaks>
  <colBreaks count="12" manualBreakCount="12">
    <brk id="7" max="64" man="1"/>
    <brk id="13" max="64" man="1"/>
    <brk id="19" max="64" man="1"/>
    <brk id="25" max="64" man="1"/>
    <brk id="31" max="64" man="1"/>
    <brk id="37" max="64" man="1"/>
    <brk id="43" max="64" man="1"/>
    <brk id="49" max="64" man="1"/>
    <brk id="55" max="1048575" man="1"/>
    <brk id="61" max="1048575" man="1"/>
    <brk id="80" max="64" man="1"/>
    <brk id="115" max="64" man="1"/>
  </colBreak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>
    <pageSetUpPr fitToPage="1"/>
  </sheetPr>
  <dimension ref="A1:AO57"/>
  <sheetViews>
    <sheetView showGridLines="0" zoomScaleNormal="100" workbookViewId="0"/>
  </sheetViews>
  <sheetFormatPr defaultColWidth="9" defaultRowHeight="12.75"/>
  <cols>
    <col min="1" max="1" width="2.7109375" style="111" customWidth="1"/>
    <col min="2" max="2" width="2.7109375" style="31" customWidth="1"/>
    <col min="3" max="3" width="2.7109375" style="22" customWidth="1"/>
    <col min="4" max="4" width="17.140625" style="22" customWidth="1"/>
    <col min="5" max="5" width="8.5703125" style="21" customWidth="1"/>
    <col min="6" max="6" width="3" style="22" customWidth="1"/>
    <col min="7" max="7" width="8.5703125" style="22" customWidth="1"/>
    <col min="8" max="8" width="3" style="22" customWidth="1"/>
    <col min="9" max="9" width="8.5703125" style="23" customWidth="1"/>
    <col min="10" max="10" width="3" style="21" customWidth="1"/>
    <col min="11" max="11" width="8.5703125" style="22" customWidth="1"/>
    <col min="12" max="12" width="3" style="22" customWidth="1"/>
    <col min="13" max="13" width="12.85546875" style="21" customWidth="1"/>
    <col min="14" max="14" width="3" style="23" customWidth="1"/>
    <col min="15" max="15" width="8.5703125" style="22" customWidth="1"/>
    <col min="16" max="16" width="3" style="21" customWidth="1"/>
    <col min="17" max="17" width="8.42578125" style="21" customWidth="1"/>
    <col min="18" max="18" width="3" style="22" customWidth="1"/>
    <col min="19" max="19" width="8.5703125" style="23" customWidth="1"/>
    <col min="20" max="20" width="3" style="22" customWidth="1"/>
    <col min="21" max="21" width="8.5703125" style="21" customWidth="1"/>
    <col min="22" max="22" width="3" style="21" customWidth="1"/>
    <col min="23" max="23" width="11.140625" style="22" customWidth="1"/>
    <col min="24" max="24" width="2.7109375" style="21" customWidth="1"/>
    <col min="25" max="25" width="2.42578125" style="22" customWidth="1"/>
    <col min="26" max="26" width="2.140625" style="22" customWidth="1"/>
    <col min="27" max="27" width="2.7109375" style="22" customWidth="1"/>
    <col min="28" max="28" width="3" style="23" customWidth="1"/>
    <col min="29" max="29" width="10.85546875" style="150" customWidth="1"/>
    <col min="30" max="30" width="3" style="23" customWidth="1"/>
    <col min="31" max="31" width="10.85546875" style="151" customWidth="1"/>
    <col min="32" max="32" width="9" style="26" customWidth="1"/>
    <col min="33" max="33" width="3.7109375" style="26" customWidth="1"/>
    <col min="34" max="41" width="9" style="26"/>
    <col min="42" max="16384" width="9" style="22"/>
  </cols>
  <sheetData>
    <row r="1" spans="1:41">
      <c r="A1" s="15" t="s">
        <v>94</v>
      </c>
      <c r="B1" s="16"/>
      <c r="C1" s="17"/>
      <c r="D1" s="17"/>
      <c r="E1" s="18"/>
      <c r="F1" s="17"/>
      <c r="G1" s="17"/>
      <c r="H1" s="17"/>
      <c r="I1" s="19"/>
      <c r="J1" s="18"/>
      <c r="K1" s="17"/>
      <c r="L1" s="17"/>
      <c r="M1" s="18"/>
      <c r="N1" s="19"/>
      <c r="O1" s="17"/>
      <c r="P1" s="18"/>
      <c r="Q1" s="18"/>
      <c r="R1" s="17"/>
      <c r="S1" s="19"/>
      <c r="T1" s="17"/>
      <c r="U1" s="18"/>
      <c r="V1" s="18"/>
      <c r="W1" s="20"/>
    </row>
    <row r="2" spans="1:41" s="31" customFormat="1" ht="21" customHeight="1">
      <c r="A2" s="203" t="s">
        <v>7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7"/>
      <c r="Q2" s="27"/>
      <c r="R2" s="27"/>
      <c r="S2" s="27"/>
      <c r="T2" s="27"/>
      <c r="U2" s="27"/>
      <c r="V2" s="28"/>
      <c r="W2" s="29"/>
      <c r="X2" s="30"/>
      <c r="Y2" s="30"/>
      <c r="Z2" s="30"/>
      <c r="AA2" s="30"/>
      <c r="AB2" s="30"/>
      <c r="AC2" s="30"/>
      <c r="AD2" s="30"/>
      <c r="AE2" s="30"/>
    </row>
    <row r="3" spans="1:41" s="35" customFormat="1" ht="16.149999999999999" customHeight="1">
      <c r="A3" s="32" t="s">
        <v>8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4"/>
    </row>
    <row r="4" spans="1:41" s="31" customFormat="1" ht="15.6" customHeight="1">
      <c r="A4" s="32" t="s">
        <v>9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28"/>
      <c r="W4" s="29"/>
      <c r="X4" s="30"/>
      <c r="Y4" s="30"/>
      <c r="Z4" s="30"/>
      <c r="AA4" s="30"/>
      <c r="AB4" s="30"/>
      <c r="AC4" s="30"/>
      <c r="AD4" s="30"/>
      <c r="AE4" s="30"/>
    </row>
    <row r="5" spans="1:41" ht="6" customHeight="1">
      <c r="A5" s="36"/>
      <c r="B5" s="37"/>
      <c r="C5" s="37"/>
      <c r="D5" s="37"/>
      <c r="E5" s="38"/>
      <c r="F5" s="37"/>
      <c r="G5" s="37"/>
      <c r="H5" s="37"/>
      <c r="I5" s="39"/>
      <c r="J5" s="38"/>
      <c r="K5" s="37"/>
      <c r="L5" s="37"/>
      <c r="M5" s="38"/>
      <c r="N5" s="39"/>
      <c r="O5" s="37"/>
      <c r="P5" s="38"/>
      <c r="Q5" s="38"/>
      <c r="R5" s="37"/>
      <c r="S5" s="39"/>
      <c r="T5" s="37"/>
      <c r="U5" s="38"/>
      <c r="V5" s="38"/>
      <c r="W5" s="40"/>
      <c r="X5" s="26"/>
      <c r="Y5" s="26"/>
      <c r="Z5" s="26"/>
      <c r="AA5" s="26"/>
      <c r="AB5" s="26"/>
      <c r="AC5" s="26"/>
      <c r="AD5" s="26"/>
      <c r="AE5" s="26"/>
      <c r="AF5" s="22"/>
      <c r="AG5" s="22"/>
      <c r="AH5" s="22"/>
      <c r="AI5" s="22"/>
      <c r="AJ5" s="22"/>
      <c r="AK5" s="22"/>
      <c r="AL5" s="22"/>
      <c r="AM5" s="22"/>
      <c r="AN5" s="22"/>
      <c r="AO5" s="22"/>
    </row>
    <row r="6" spans="1:41" s="42" customFormat="1" ht="23.25">
      <c r="A6" s="205" t="s">
        <v>10</v>
      </c>
      <c r="B6" s="206"/>
      <c r="C6" s="206"/>
      <c r="D6" s="206"/>
      <c r="E6" s="206"/>
      <c r="F6" s="206"/>
      <c r="G6" s="206"/>
      <c r="H6" s="206"/>
      <c r="I6" s="206"/>
      <c r="J6" s="206"/>
      <c r="K6" s="206"/>
      <c r="L6" s="207" t="s">
        <v>11</v>
      </c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9"/>
      <c r="X6" s="41"/>
      <c r="Y6" s="41"/>
      <c r="Z6" s="41"/>
      <c r="AA6" s="41"/>
      <c r="AB6" s="41"/>
      <c r="AC6" s="41"/>
      <c r="AD6" s="41"/>
      <c r="AE6" s="41"/>
    </row>
    <row r="7" spans="1:41" s="26" customFormat="1" ht="15.75" customHeight="1">
      <c r="A7" s="176" t="s">
        <v>12</v>
      </c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8"/>
      <c r="R7" s="182"/>
      <c r="S7" s="210"/>
      <c r="T7" s="210"/>
      <c r="U7" s="183"/>
      <c r="V7" s="182" t="s">
        <v>13</v>
      </c>
      <c r="W7" s="183"/>
    </row>
    <row r="8" spans="1:41" s="30" customFormat="1">
      <c r="A8" s="43" t="s">
        <v>14</v>
      </c>
      <c r="B8" s="197" t="s">
        <v>15</v>
      </c>
      <c r="C8" s="197"/>
      <c r="D8" s="197"/>
      <c r="E8" s="197"/>
      <c r="F8" s="197"/>
      <c r="G8" s="197"/>
      <c r="H8" s="197"/>
      <c r="I8" s="197"/>
      <c r="J8" s="197"/>
      <c r="K8" s="197"/>
      <c r="L8" s="197"/>
      <c r="M8" s="197"/>
      <c r="N8" s="197"/>
      <c r="O8" s="197"/>
      <c r="P8" s="197"/>
      <c r="Q8" s="198"/>
      <c r="R8" s="44"/>
      <c r="S8" s="45"/>
      <c r="T8" s="45"/>
      <c r="U8" s="46"/>
      <c r="V8" s="47">
        <v>1</v>
      </c>
      <c r="W8" s="48">
        <v>144961</v>
      </c>
      <c r="X8" s="26"/>
      <c r="Y8" s="26"/>
      <c r="Z8" s="26"/>
      <c r="AA8" s="26"/>
      <c r="AB8" s="26"/>
      <c r="AC8" s="26"/>
      <c r="AD8" s="26"/>
      <c r="AE8" s="26"/>
    </row>
    <row r="9" spans="1:41" s="55" customFormat="1">
      <c r="A9" s="43"/>
      <c r="B9" s="49" t="s">
        <v>16</v>
      </c>
      <c r="C9" s="189" t="s">
        <v>17</v>
      </c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90"/>
      <c r="R9" s="50"/>
      <c r="S9" s="51"/>
      <c r="T9" s="51"/>
      <c r="U9" s="52"/>
      <c r="V9" s="53">
        <v>2</v>
      </c>
      <c r="W9" s="54">
        <v>41857</v>
      </c>
      <c r="X9" s="26"/>
      <c r="Y9" s="26"/>
      <c r="Z9" s="26"/>
      <c r="AA9" s="26"/>
      <c r="AB9" s="26"/>
      <c r="AC9" s="26"/>
      <c r="AD9" s="26"/>
      <c r="AE9" s="26"/>
    </row>
    <row r="10" spans="1:41" s="55" customFormat="1">
      <c r="A10" s="43" t="s">
        <v>18</v>
      </c>
      <c r="B10" s="201" t="s">
        <v>19</v>
      </c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2"/>
      <c r="R10" s="50"/>
      <c r="S10" s="51"/>
      <c r="T10" s="51"/>
      <c r="U10" s="52"/>
      <c r="V10" s="70">
        <v>3</v>
      </c>
      <c r="W10" s="152">
        <v>131790</v>
      </c>
      <c r="X10" s="26"/>
      <c r="Y10" s="26"/>
      <c r="Z10" s="26"/>
      <c r="AA10" s="26"/>
      <c r="AB10" s="26"/>
      <c r="AC10" s="26"/>
      <c r="AD10" s="26"/>
      <c r="AE10" s="26"/>
    </row>
    <row r="11" spans="1:41" s="55" customFormat="1">
      <c r="A11" s="43"/>
      <c r="B11" s="56" t="s">
        <v>20</v>
      </c>
      <c r="C11" s="189" t="s">
        <v>21</v>
      </c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90"/>
      <c r="R11" s="57"/>
      <c r="S11" s="58"/>
      <c r="T11" s="58"/>
      <c r="U11" s="59"/>
      <c r="V11" s="60">
        <v>4</v>
      </c>
      <c r="W11" s="48">
        <v>86806</v>
      </c>
      <c r="X11" s="26"/>
      <c r="Y11" s="26"/>
      <c r="Z11" s="26"/>
      <c r="AA11" s="26"/>
      <c r="AB11" s="26"/>
      <c r="AC11" s="26"/>
      <c r="AD11" s="26"/>
      <c r="AE11" s="26"/>
    </row>
    <row r="12" spans="1:41" s="55" customFormat="1">
      <c r="A12" s="43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61"/>
      <c r="R12" s="182" t="s">
        <v>22</v>
      </c>
      <c r="S12" s="183"/>
      <c r="T12" s="182" t="s">
        <v>23</v>
      </c>
      <c r="U12" s="183"/>
      <c r="V12" s="182" t="s">
        <v>24</v>
      </c>
      <c r="W12" s="183"/>
      <c r="X12" s="26"/>
      <c r="Y12" s="26"/>
      <c r="Z12" s="26"/>
      <c r="AA12" s="26"/>
      <c r="AB12" s="26"/>
      <c r="AC12" s="26"/>
      <c r="AD12" s="26"/>
      <c r="AE12" s="26"/>
    </row>
    <row r="13" spans="1:41" s="55" customFormat="1">
      <c r="A13" s="43"/>
      <c r="B13" s="56"/>
      <c r="C13" s="56" t="s">
        <v>25</v>
      </c>
      <c r="D13" s="189" t="s">
        <v>26</v>
      </c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90"/>
      <c r="R13" s="47">
        <v>5</v>
      </c>
      <c r="S13" s="48">
        <v>122</v>
      </c>
      <c r="T13" s="47">
        <v>6</v>
      </c>
      <c r="U13" s="48">
        <v>1055</v>
      </c>
      <c r="V13" s="62">
        <v>7</v>
      </c>
      <c r="W13" s="153">
        <v>1177</v>
      </c>
      <c r="X13" s="26"/>
      <c r="Y13" s="26"/>
      <c r="Z13" s="26"/>
      <c r="AA13" s="26"/>
      <c r="AB13" s="26"/>
      <c r="AC13" s="26"/>
      <c r="AD13" s="26"/>
      <c r="AE13" s="26"/>
    </row>
    <row r="14" spans="1:41" s="55" customFormat="1">
      <c r="A14" s="63"/>
      <c r="B14" s="64" t="s">
        <v>27</v>
      </c>
      <c r="C14" s="189" t="s">
        <v>28</v>
      </c>
      <c r="D14" s="189"/>
      <c r="E14" s="189"/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90"/>
      <c r="R14" s="65">
        <v>8</v>
      </c>
      <c r="S14" s="154">
        <v>143</v>
      </c>
      <c r="T14" s="65">
        <v>9</v>
      </c>
      <c r="U14" s="154">
        <v>39479</v>
      </c>
      <c r="V14" s="65">
        <v>10</v>
      </c>
      <c r="W14" s="155">
        <v>39622</v>
      </c>
      <c r="X14" s="26"/>
      <c r="Y14" s="26"/>
      <c r="Z14" s="26"/>
      <c r="AA14" s="26"/>
      <c r="AB14" s="26"/>
      <c r="AC14" s="26"/>
      <c r="AD14" s="26"/>
      <c r="AE14" s="26"/>
    </row>
    <row r="15" spans="1:41" s="55" customFormat="1">
      <c r="A15" s="66"/>
      <c r="B15" s="64"/>
      <c r="C15" s="64" t="s">
        <v>25</v>
      </c>
      <c r="D15" s="189" t="s">
        <v>29</v>
      </c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90"/>
      <c r="R15" s="53">
        <v>11</v>
      </c>
      <c r="S15" s="48">
        <v>81</v>
      </c>
      <c r="T15" s="53">
        <v>12</v>
      </c>
      <c r="U15" s="48">
        <v>18911</v>
      </c>
      <c r="V15" s="65">
        <v>13</v>
      </c>
      <c r="W15" s="155">
        <v>18992</v>
      </c>
      <c r="X15" s="26"/>
      <c r="Y15" s="26"/>
      <c r="Z15" s="26"/>
      <c r="AA15" s="26"/>
      <c r="AB15" s="26"/>
      <c r="AC15" s="26"/>
      <c r="AD15" s="26"/>
      <c r="AE15" s="26"/>
    </row>
    <row r="16" spans="1:41" s="55" customFormat="1">
      <c r="A16" s="63"/>
      <c r="B16" s="64"/>
      <c r="C16" s="67" t="s">
        <v>30</v>
      </c>
      <c r="D16" s="189" t="s">
        <v>31</v>
      </c>
      <c r="E16" s="189"/>
      <c r="F16" s="189"/>
      <c r="G16" s="189"/>
      <c r="H16" s="189"/>
      <c r="I16" s="189"/>
      <c r="J16" s="189"/>
      <c r="K16" s="189"/>
      <c r="L16" s="189"/>
      <c r="M16" s="189"/>
      <c r="N16" s="189"/>
      <c r="O16" s="189"/>
      <c r="P16" s="189"/>
      <c r="Q16" s="190"/>
      <c r="R16" s="53">
        <v>14</v>
      </c>
      <c r="S16" s="48">
        <v>62</v>
      </c>
      <c r="T16" s="53">
        <v>15</v>
      </c>
      <c r="U16" s="48">
        <v>20568</v>
      </c>
      <c r="V16" s="65">
        <v>16</v>
      </c>
      <c r="W16" s="155">
        <v>20630</v>
      </c>
      <c r="X16" s="26"/>
      <c r="Y16" s="26"/>
      <c r="Z16" s="26"/>
      <c r="AA16" s="26"/>
      <c r="AB16" s="26"/>
      <c r="AC16" s="26"/>
      <c r="AD16" s="26"/>
      <c r="AE16" s="26"/>
    </row>
    <row r="17" spans="1:31" s="55" customFormat="1">
      <c r="A17" s="63"/>
      <c r="B17" s="64"/>
      <c r="C17" s="56" t="s">
        <v>32</v>
      </c>
      <c r="D17" s="199" t="s">
        <v>33</v>
      </c>
      <c r="E17" s="199"/>
      <c r="F17" s="199"/>
      <c r="G17" s="199"/>
      <c r="H17" s="199"/>
      <c r="I17" s="199"/>
      <c r="J17" s="199"/>
      <c r="K17" s="199"/>
      <c r="L17" s="199"/>
      <c r="M17" s="199"/>
      <c r="N17" s="199"/>
      <c r="O17" s="199"/>
      <c r="P17" s="199"/>
      <c r="Q17" s="200"/>
      <c r="R17" s="53">
        <v>17</v>
      </c>
      <c r="S17" s="48">
        <v>2</v>
      </c>
      <c r="T17" s="53">
        <v>18</v>
      </c>
      <c r="U17" s="48">
        <v>1789</v>
      </c>
      <c r="V17" s="65">
        <v>19</v>
      </c>
      <c r="W17" s="155">
        <v>1791</v>
      </c>
      <c r="X17" s="26"/>
      <c r="Y17" s="26"/>
      <c r="Z17" s="26"/>
      <c r="AA17" s="26"/>
      <c r="AB17" s="26"/>
      <c r="AC17" s="26"/>
      <c r="AD17" s="26"/>
      <c r="AE17" s="26"/>
    </row>
    <row r="18" spans="1:31" s="55" customFormat="1">
      <c r="A18" s="63"/>
      <c r="B18" s="64" t="s">
        <v>34</v>
      </c>
      <c r="C18" s="195" t="s">
        <v>35</v>
      </c>
      <c r="D18" s="195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5"/>
      <c r="Q18" s="196"/>
      <c r="R18" s="60">
        <v>20</v>
      </c>
      <c r="S18" s="48">
        <v>45</v>
      </c>
      <c r="T18" s="60">
        <v>21</v>
      </c>
      <c r="U18" s="48">
        <v>5317</v>
      </c>
      <c r="V18" s="65">
        <v>22</v>
      </c>
      <c r="W18" s="155">
        <v>5362</v>
      </c>
      <c r="X18" s="26"/>
      <c r="Y18" s="26"/>
      <c r="Z18" s="26"/>
      <c r="AA18" s="26"/>
      <c r="AB18" s="26"/>
      <c r="AC18" s="26"/>
      <c r="AD18" s="26"/>
      <c r="AE18" s="26"/>
    </row>
    <row r="19" spans="1:31" s="55" customFormat="1" ht="15.75">
      <c r="A19" s="176" t="s">
        <v>36</v>
      </c>
      <c r="B19" s="177"/>
      <c r="C19" s="177"/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8"/>
      <c r="R19" s="182" t="s">
        <v>22</v>
      </c>
      <c r="S19" s="183"/>
      <c r="T19" s="182" t="s">
        <v>23</v>
      </c>
      <c r="U19" s="183"/>
      <c r="V19" s="182" t="s">
        <v>24</v>
      </c>
      <c r="W19" s="183"/>
      <c r="X19" s="26"/>
      <c r="Y19" s="26"/>
      <c r="Z19" s="26"/>
      <c r="AA19" s="26"/>
      <c r="AB19" s="26"/>
      <c r="AC19" s="26"/>
      <c r="AD19" s="26"/>
      <c r="AE19" s="26"/>
    </row>
    <row r="20" spans="1:31" s="55" customFormat="1">
      <c r="A20" s="68" t="s">
        <v>37</v>
      </c>
      <c r="B20" s="197" t="s">
        <v>38</v>
      </c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197"/>
      <c r="Q20" s="198"/>
      <c r="R20" s="69">
        <v>23</v>
      </c>
      <c r="S20" s="154">
        <v>4364</v>
      </c>
      <c r="T20" s="69">
        <v>24</v>
      </c>
      <c r="U20" s="154">
        <v>114627</v>
      </c>
      <c r="V20" s="62">
        <v>25</v>
      </c>
      <c r="W20" s="154">
        <v>118991</v>
      </c>
      <c r="X20" s="26"/>
      <c r="Y20" s="26"/>
      <c r="Z20" s="26"/>
      <c r="AA20" s="26"/>
      <c r="AB20" s="26"/>
      <c r="AC20" s="26"/>
      <c r="AD20" s="26"/>
      <c r="AE20" s="26"/>
    </row>
    <row r="21" spans="1:31" s="26" customFormat="1">
      <c r="A21" s="68"/>
      <c r="B21" s="56" t="s">
        <v>39</v>
      </c>
      <c r="C21" s="189" t="s">
        <v>40</v>
      </c>
      <c r="D21" s="189"/>
      <c r="E21" s="189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90"/>
      <c r="R21" s="70">
        <v>26</v>
      </c>
      <c r="S21" s="152">
        <v>2781</v>
      </c>
      <c r="T21" s="70">
        <v>27</v>
      </c>
      <c r="U21" s="152">
        <v>50505</v>
      </c>
      <c r="V21" s="65">
        <v>28</v>
      </c>
      <c r="W21" s="152">
        <v>53286</v>
      </c>
    </row>
    <row r="22" spans="1:31" s="26" customFormat="1">
      <c r="A22" s="71"/>
      <c r="B22" s="56"/>
      <c r="C22" s="72" t="s">
        <v>41</v>
      </c>
      <c r="D22" s="191" t="s">
        <v>42</v>
      </c>
      <c r="E22" s="191"/>
      <c r="F22" s="191"/>
      <c r="G22" s="191"/>
      <c r="H22" s="191"/>
      <c r="I22" s="191"/>
      <c r="J22" s="191"/>
      <c r="K22" s="191"/>
      <c r="L22" s="191"/>
      <c r="M22" s="191"/>
      <c r="N22" s="191"/>
      <c r="O22" s="191"/>
      <c r="P22" s="191"/>
      <c r="Q22" s="192"/>
      <c r="R22" s="53">
        <v>29</v>
      </c>
      <c r="S22" s="48">
        <v>2419</v>
      </c>
      <c r="T22" s="53">
        <v>30</v>
      </c>
      <c r="U22" s="48">
        <v>47208</v>
      </c>
      <c r="V22" s="65">
        <v>31</v>
      </c>
      <c r="W22" s="155">
        <v>49627</v>
      </c>
    </row>
    <row r="23" spans="1:31" s="26" customFormat="1">
      <c r="A23" s="71"/>
      <c r="B23" s="56"/>
      <c r="C23" s="72" t="s">
        <v>43</v>
      </c>
      <c r="D23" s="191" t="s">
        <v>44</v>
      </c>
      <c r="E23" s="191"/>
      <c r="F23" s="191"/>
      <c r="G23" s="191"/>
      <c r="H23" s="191"/>
      <c r="I23" s="191"/>
      <c r="J23" s="191"/>
      <c r="K23" s="191"/>
      <c r="L23" s="191"/>
      <c r="M23" s="191"/>
      <c r="N23" s="191"/>
      <c r="O23" s="191"/>
      <c r="P23" s="191"/>
      <c r="Q23" s="192"/>
      <c r="R23" s="53">
        <v>32</v>
      </c>
      <c r="S23" s="48">
        <v>149</v>
      </c>
      <c r="T23" s="53">
        <v>33</v>
      </c>
      <c r="U23" s="48">
        <v>1865</v>
      </c>
      <c r="V23" s="65">
        <v>34</v>
      </c>
      <c r="W23" s="155">
        <v>2014</v>
      </c>
    </row>
    <row r="24" spans="1:31" s="26" customFormat="1">
      <c r="A24" s="71"/>
      <c r="B24" s="56"/>
      <c r="C24" s="72" t="s">
        <v>45</v>
      </c>
      <c r="D24" s="191" t="s">
        <v>46</v>
      </c>
      <c r="E24" s="191"/>
      <c r="F24" s="191"/>
      <c r="G24" s="191"/>
      <c r="H24" s="191"/>
      <c r="I24" s="191"/>
      <c r="J24" s="191"/>
      <c r="K24" s="191"/>
      <c r="L24" s="191"/>
      <c r="M24" s="191"/>
      <c r="N24" s="191"/>
      <c r="O24" s="191"/>
      <c r="P24" s="191"/>
      <c r="Q24" s="192"/>
      <c r="R24" s="53">
        <v>35</v>
      </c>
      <c r="S24" s="48">
        <v>213</v>
      </c>
      <c r="T24" s="53">
        <v>36</v>
      </c>
      <c r="U24" s="48">
        <v>1432</v>
      </c>
      <c r="V24" s="65">
        <v>37</v>
      </c>
      <c r="W24" s="155">
        <v>1645</v>
      </c>
    </row>
    <row r="25" spans="1:31" s="26" customFormat="1">
      <c r="A25" s="68"/>
      <c r="B25" s="56" t="s">
        <v>47</v>
      </c>
      <c r="C25" s="193" t="s">
        <v>48</v>
      </c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3"/>
      <c r="Q25" s="194"/>
      <c r="R25" s="60">
        <v>38</v>
      </c>
      <c r="S25" s="48">
        <v>1583</v>
      </c>
      <c r="T25" s="60">
        <v>39</v>
      </c>
      <c r="U25" s="48">
        <v>64122</v>
      </c>
      <c r="V25" s="65">
        <v>40</v>
      </c>
      <c r="W25" s="155">
        <v>65705</v>
      </c>
    </row>
    <row r="26" spans="1:31" s="26" customFormat="1" ht="15.75">
      <c r="A26" s="176" t="s">
        <v>49</v>
      </c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8"/>
      <c r="R26" s="182" t="s">
        <v>22</v>
      </c>
      <c r="S26" s="183"/>
      <c r="T26" s="182" t="s">
        <v>23</v>
      </c>
      <c r="U26" s="183"/>
      <c r="V26" s="182" t="s">
        <v>24</v>
      </c>
      <c r="W26" s="183"/>
    </row>
    <row r="27" spans="1:31" s="26" customFormat="1">
      <c r="A27" s="68" t="s">
        <v>50</v>
      </c>
      <c r="B27" s="172" t="s">
        <v>51</v>
      </c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3"/>
      <c r="R27" s="47">
        <v>41</v>
      </c>
      <c r="S27" s="48">
        <v>228096</v>
      </c>
      <c r="T27" s="47">
        <v>42</v>
      </c>
      <c r="U27" s="48">
        <v>1564094</v>
      </c>
      <c r="V27" s="62">
        <v>43</v>
      </c>
      <c r="W27" s="153">
        <v>1792190</v>
      </c>
    </row>
    <row r="28" spans="1:31" s="26" customFormat="1">
      <c r="A28" s="68"/>
      <c r="B28" s="73" t="s">
        <v>39</v>
      </c>
      <c r="C28" s="172" t="s">
        <v>52</v>
      </c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3"/>
      <c r="R28" s="53">
        <v>44</v>
      </c>
      <c r="S28" s="48">
        <v>230191</v>
      </c>
      <c r="T28" s="53">
        <v>45</v>
      </c>
      <c r="U28" s="48">
        <v>1578750</v>
      </c>
      <c r="V28" s="65">
        <v>46</v>
      </c>
      <c r="W28" s="155">
        <v>1808941</v>
      </c>
    </row>
    <row r="29" spans="1:31" s="26" customFormat="1">
      <c r="A29" s="68"/>
      <c r="B29" s="73" t="s">
        <v>47</v>
      </c>
      <c r="C29" s="172" t="s">
        <v>53</v>
      </c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2"/>
      <c r="O29" s="172"/>
      <c r="P29" s="172"/>
      <c r="Q29" s="173"/>
      <c r="R29" s="70">
        <v>47</v>
      </c>
      <c r="S29" s="156">
        <v>-2095</v>
      </c>
      <c r="T29" s="70">
        <v>48</v>
      </c>
      <c r="U29" s="156">
        <v>-14656</v>
      </c>
      <c r="V29" s="65">
        <v>49</v>
      </c>
      <c r="W29" s="157">
        <v>-16751</v>
      </c>
    </row>
    <row r="30" spans="1:31" s="26" customFormat="1">
      <c r="A30" s="68" t="s">
        <v>54</v>
      </c>
      <c r="B30" s="172" t="s">
        <v>55</v>
      </c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3"/>
      <c r="R30" s="65">
        <v>50</v>
      </c>
      <c r="S30" s="158">
        <v>8895</v>
      </c>
      <c r="T30" s="65">
        <v>51</v>
      </c>
      <c r="U30" s="158">
        <v>141799</v>
      </c>
      <c r="V30" s="65">
        <v>52</v>
      </c>
      <c r="W30" s="155">
        <v>150694</v>
      </c>
    </row>
    <row r="31" spans="1:31" s="78" customFormat="1" ht="12.75" customHeight="1">
      <c r="A31" s="71"/>
      <c r="B31" s="73"/>
      <c r="C31" s="73"/>
      <c r="D31" s="73"/>
      <c r="E31" s="74"/>
      <c r="F31" s="180" t="s">
        <v>56</v>
      </c>
      <c r="G31" s="184"/>
      <c r="H31" s="184"/>
      <c r="I31" s="184"/>
      <c r="J31" s="184"/>
      <c r="K31" s="181"/>
      <c r="L31" s="180" t="s">
        <v>57</v>
      </c>
      <c r="M31" s="184"/>
      <c r="N31" s="184"/>
      <c r="O31" s="184"/>
      <c r="P31" s="184"/>
      <c r="Q31" s="181"/>
      <c r="R31" s="75"/>
      <c r="S31" s="76"/>
      <c r="T31" s="76"/>
      <c r="U31" s="76"/>
      <c r="V31" s="76"/>
      <c r="W31" s="77"/>
    </row>
    <row r="32" spans="1:31" s="26" customFormat="1">
      <c r="A32" s="71"/>
      <c r="B32" s="73"/>
      <c r="C32" s="73"/>
      <c r="D32" s="73"/>
      <c r="E32" s="56"/>
      <c r="F32" s="180" t="s">
        <v>58</v>
      </c>
      <c r="G32" s="181"/>
      <c r="H32" s="180" t="s">
        <v>59</v>
      </c>
      <c r="I32" s="181"/>
      <c r="J32" s="180" t="s">
        <v>60</v>
      </c>
      <c r="K32" s="181"/>
      <c r="L32" s="180" t="s">
        <v>58</v>
      </c>
      <c r="M32" s="181"/>
      <c r="N32" s="180" t="s">
        <v>59</v>
      </c>
      <c r="O32" s="181"/>
      <c r="P32" s="180" t="s">
        <v>60</v>
      </c>
      <c r="Q32" s="181"/>
      <c r="R32" s="79"/>
      <c r="S32" s="80"/>
      <c r="T32" s="80"/>
      <c r="U32" s="80"/>
      <c r="V32" s="80"/>
      <c r="W32" s="81"/>
    </row>
    <row r="33" spans="1:23" s="26" customFormat="1">
      <c r="A33" s="71"/>
      <c r="B33" s="73" t="s">
        <v>20</v>
      </c>
      <c r="C33" s="172" t="s">
        <v>61</v>
      </c>
      <c r="D33" s="172"/>
      <c r="E33" s="173"/>
      <c r="F33" s="82">
        <v>53</v>
      </c>
      <c r="G33" s="48">
        <v>5449</v>
      </c>
      <c r="H33" s="82">
        <v>54</v>
      </c>
      <c r="I33" s="48">
        <v>105</v>
      </c>
      <c r="J33" s="82">
        <v>55</v>
      </c>
      <c r="K33" s="48">
        <v>12</v>
      </c>
      <c r="L33" s="82">
        <v>56</v>
      </c>
      <c r="M33" s="48">
        <v>79733</v>
      </c>
      <c r="N33" s="82">
        <v>57</v>
      </c>
      <c r="O33" s="48">
        <v>932</v>
      </c>
      <c r="P33" s="82">
        <v>58</v>
      </c>
      <c r="Q33" s="48">
        <v>575</v>
      </c>
      <c r="R33" s="70">
        <v>59</v>
      </c>
      <c r="S33" s="159">
        <v>5566</v>
      </c>
      <c r="T33" s="83">
        <v>60</v>
      </c>
      <c r="U33" s="159">
        <v>81240</v>
      </c>
      <c r="V33" s="65">
        <v>61</v>
      </c>
      <c r="W33" s="155">
        <v>86806</v>
      </c>
    </row>
    <row r="34" spans="1:23" s="26" customFormat="1">
      <c r="A34" s="71"/>
      <c r="B34" s="73" t="s">
        <v>27</v>
      </c>
      <c r="C34" s="172" t="s">
        <v>62</v>
      </c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3"/>
      <c r="R34" s="53">
        <v>62</v>
      </c>
      <c r="S34" s="84">
        <v>-3998</v>
      </c>
      <c r="T34" s="85">
        <v>63</v>
      </c>
      <c r="U34" s="48">
        <v>3998</v>
      </c>
      <c r="V34" s="65">
        <v>64</v>
      </c>
      <c r="W34" s="155">
        <v>0</v>
      </c>
    </row>
    <row r="35" spans="1:23" s="26" customFormat="1">
      <c r="A35" s="71"/>
      <c r="B35" s="73" t="s">
        <v>63</v>
      </c>
      <c r="C35" s="172" t="s">
        <v>64</v>
      </c>
      <c r="D35" s="172"/>
      <c r="E35" s="172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3"/>
      <c r="R35" s="53">
        <v>65</v>
      </c>
      <c r="S35" s="48">
        <v>416</v>
      </c>
      <c r="T35" s="85">
        <v>66</v>
      </c>
      <c r="U35" s="48">
        <v>2273</v>
      </c>
      <c r="V35" s="65">
        <v>67</v>
      </c>
      <c r="W35" s="155">
        <v>2689</v>
      </c>
    </row>
    <row r="36" spans="1:23" s="26" customFormat="1">
      <c r="A36" s="71"/>
      <c r="B36" s="73" t="s">
        <v>65</v>
      </c>
      <c r="C36" s="172" t="s">
        <v>66</v>
      </c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3"/>
      <c r="R36" s="53">
        <v>68</v>
      </c>
      <c r="S36" s="48">
        <v>1035</v>
      </c>
      <c r="T36" s="85">
        <v>69</v>
      </c>
      <c r="U36" s="48">
        <v>14421</v>
      </c>
      <c r="V36" s="65">
        <v>70</v>
      </c>
      <c r="W36" s="155">
        <v>15456</v>
      </c>
    </row>
    <row r="37" spans="1:23" s="26" customFormat="1">
      <c r="A37" s="68"/>
      <c r="B37" s="73" t="s">
        <v>67</v>
      </c>
      <c r="C37" s="172" t="s">
        <v>68</v>
      </c>
      <c r="D37" s="172"/>
      <c r="E37" s="172"/>
      <c r="F37" s="172"/>
      <c r="G37" s="172"/>
      <c r="H37" s="172"/>
      <c r="I37" s="172"/>
      <c r="J37" s="172"/>
      <c r="K37" s="172"/>
      <c r="L37" s="172"/>
      <c r="M37" s="172"/>
      <c r="N37" s="172"/>
      <c r="O37" s="172"/>
      <c r="P37" s="172"/>
      <c r="Q37" s="173"/>
      <c r="R37" s="53">
        <v>71</v>
      </c>
      <c r="S37" s="48">
        <v>5876</v>
      </c>
      <c r="T37" s="85">
        <v>72</v>
      </c>
      <c r="U37" s="48">
        <v>39867</v>
      </c>
      <c r="V37" s="65">
        <v>73</v>
      </c>
      <c r="W37" s="155">
        <v>45743</v>
      </c>
    </row>
    <row r="38" spans="1:23" s="26" customFormat="1">
      <c r="A38" s="68" t="s">
        <v>69</v>
      </c>
      <c r="B38" s="172" t="s">
        <v>70</v>
      </c>
      <c r="C38" s="172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72"/>
      <c r="Q38" s="173"/>
      <c r="R38" s="86"/>
      <c r="S38" s="87"/>
      <c r="T38" s="87"/>
      <c r="U38" s="87"/>
      <c r="V38" s="87"/>
      <c r="W38" s="88"/>
    </row>
    <row r="39" spans="1:23" s="26" customFormat="1">
      <c r="A39" s="71"/>
      <c r="B39" s="172" t="s">
        <v>71</v>
      </c>
      <c r="C39" s="172"/>
      <c r="D39" s="172"/>
      <c r="E39" s="172"/>
      <c r="F39" s="172"/>
      <c r="G39" s="172"/>
      <c r="H39" s="172"/>
      <c r="I39" s="172"/>
      <c r="J39" s="172"/>
      <c r="K39" s="172"/>
      <c r="L39" s="172"/>
      <c r="M39" s="172"/>
      <c r="N39" s="172"/>
      <c r="O39" s="172"/>
      <c r="P39" s="172"/>
      <c r="Q39" s="173"/>
      <c r="R39" s="70">
        <v>74</v>
      </c>
      <c r="S39" s="159">
        <v>236991</v>
      </c>
      <c r="T39" s="83">
        <v>75</v>
      </c>
      <c r="U39" s="159">
        <v>1705893</v>
      </c>
      <c r="V39" s="65">
        <v>76</v>
      </c>
      <c r="W39" s="155">
        <v>1942884</v>
      </c>
    </row>
    <row r="40" spans="1:23" s="26" customFormat="1">
      <c r="A40" s="71"/>
      <c r="B40" s="73" t="s">
        <v>20</v>
      </c>
      <c r="C40" s="187" t="s">
        <v>72</v>
      </c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8"/>
      <c r="R40" s="89">
        <v>77</v>
      </c>
      <c r="S40" s="48">
        <v>232277</v>
      </c>
      <c r="T40" s="89">
        <v>78</v>
      </c>
      <c r="U40" s="48">
        <v>1677195</v>
      </c>
      <c r="V40" s="65">
        <v>79</v>
      </c>
      <c r="W40" s="155">
        <v>1909472</v>
      </c>
    </row>
    <row r="41" spans="1:23" s="26" customFormat="1">
      <c r="A41" s="71"/>
      <c r="B41" s="56"/>
      <c r="C41" s="90" t="s">
        <v>25</v>
      </c>
      <c r="D41" s="172" t="s">
        <v>73</v>
      </c>
      <c r="E41" s="172"/>
      <c r="F41" s="172"/>
      <c r="G41" s="172"/>
      <c r="H41" s="172"/>
      <c r="I41" s="172"/>
      <c r="J41" s="172"/>
      <c r="K41" s="173"/>
      <c r="L41" s="180" t="s">
        <v>74</v>
      </c>
      <c r="M41" s="181"/>
      <c r="N41" s="180" t="s">
        <v>75</v>
      </c>
      <c r="O41" s="184"/>
      <c r="P41" s="184"/>
      <c r="Q41" s="181"/>
      <c r="R41" s="75"/>
      <c r="S41" s="76"/>
      <c r="T41" s="76"/>
      <c r="U41" s="76"/>
      <c r="V41" s="76"/>
      <c r="W41" s="77"/>
    </row>
    <row r="42" spans="1:23" s="26" customFormat="1">
      <c r="A42" s="71"/>
      <c r="B42" s="56"/>
      <c r="C42" s="73"/>
      <c r="D42" s="172" t="s">
        <v>76</v>
      </c>
      <c r="E42" s="172"/>
      <c r="F42" s="172"/>
      <c r="G42" s="172"/>
      <c r="H42" s="172"/>
      <c r="I42" s="172"/>
      <c r="J42" s="172"/>
      <c r="K42" s="173"/>
      <c r="L42" s="91">
        <v>80</v>
      </c>
      <c r="M42" s="48">
        <v>3974070</v>
      </c>
      <c r="N42" s="180" t="s">
        <v>77</v>
      </c>
      <c r="O42" s="181"/>
      <c r="P42" s="180" t="s">
        <v>78</v>
      </c>
      <c r="Q42" s="181"/>
      <c r="R42" s="79"/>
      <c r="S42" s="80"/>
      <c r="T42" s="80"/>
      <c r="U42" s="80"/>
      <c r="V42" s="80"/>
      <c r="W42" s="81"/>
    </row>
    <row r="43" spans="1:23" s="26" customFormat="1">
      <c r="A43" s="71"/>
      <c r="B43" s="73" t="s">
        <v>27</v>
      </c>
      <c r="C43" s="172" t="s">
        <v>79</v>
      </c>
      <c r="D43" s="172"/>
      <c r="E43" s="172"/>
      <c r="F43" s="172"/>
      <c r="G43" s="172"/>
      <c r="H43" s="172"/>
      <c r="I43" s="172"/>
      <c r="J43" s="172"/>
      <c r="K43" s="172"/>
      <c r="L43" s="172"/>
      <c r="M43" s="173"/>
      <c r="N43" s="91">
        <v>81</v>
      </c>
      <c r="O43" s="48">
        <v>2442</v>
      </c>
      <c r="P43" s="91">
        <v>82</v>
      </c>
      <c r="Q43" s="48">
        <v>28707</v>
      </c>
      <c r="R43" s="53">
        <v>83</v>
      </c>
      <c r="S43" s="48">
        <v>4451</v>
      </c>
      <c r="T43" s="53">
        <v>84</v>
      </c>
      <c r="U43" s="48">
        <v>19145</v>
      </c>
      <c r="V43" s="70">
        <v>85</v>
      </c>
      <c r="W43" s="160">
        <v>23596</v>
      </c>
    </row>
    <row r="44" spans="1:23" s="26" customFormat="1">
      <c r="A44" s="71"/>
      <c r="B44" s="73" t="s">
        <v>34</v>
      </c>
      <c r="C44" s="172" t="s">
        <v>80</v>
      </c>
      <c r="D44" s="172"/>
      <c r="E44" s="172"/>
      <c r="F44" s="172"/>
      <c r="G44" s="172"/>
      <c r="H44" s="172"/>
      <c r="I44" s="172"/>
      <c r="J44" s="172"/>
      <c r="K44" s="172"/>
      <c r="L44" s="172"/>
      <c r="M44" s="173"/>
      <c r="N44" s="92">
        <v>86</v>
      </c>
      <c r="O44" s="48">
        <v>11886</v>
      </c>
      <c r="P44" s="92">
        <v>87</v>
      </c>
      <c r="Q44" s="48">
        <v>1042</v>
      </c>
      <c r="R44" s="53">
        <v>88</v>
      </c>
      <c r="S44" s="48">
        <v>263</v>
      </c>
      <c r="T44" s="53">
        <v>89</v>
      </c>
      <c r="U44" s="48">
        <v>9553</v>
      </c>
      <c r="V44" s="70">
        <v>90</v>
      </c>
      <c r="W44" s="160">
        <v>9816</v>
      </c>
    </row>
    <row r="45" spans="1:23" s="26" customFormat="1">
      <c r="A45" s="68" t="s">
        <v>81</v>
      </c>
      <c r="B45" s="172" t="s">
        <v>82</v>
      </c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3"/>
      <c r="R45" s="53">
        <v>91</v>
      </c>
      <c r="S45" s="48">
        <v>12776</v>
      </c>
      <c r="T45" s="53">
        <v>92</v>
      </c>
      <c r="U45" s="48">
        <v>138272</v>
      </c>
      <c r="V45" s="70">
        <v>93</v>
      </c>
      <c r="W45" s="160">
        <v>151048</v>
      </c>
    </row>
    <row r="46" spans="1:23" s="26" customFormat="1">
      <c r="A46" s="93"/>
      <c r="B46" s="94" t="s">
        <v>16</v>
      </c>
      <c r="C46" s="185" t="s">
        <v>83</v>
      </c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6"/>
      <c r="R46" s="53">
        <v>94</v>
      </c>
      <c r="S46" s="48">
        <v>90</v>
      </c>
      <c r="T46" s="53">
        <v>95</v>
      </c>
      <c r="U46" s="48">
        <v>787</v>
      </c>
      <c r="V46" s="70">
        <v>96</v>
      </c>
      <c r="W46" s="160">
        <v>877</v>
      </c>
    </row>
    <row r="47" spans="1:23" s="26" customFormat="1">
      <c r="A47" s="68" t="s">
        <v>84</v>
      </c>
      <c r="B47" s="172" t="s">
        <v>85</v>
      </c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3"/>
      <c r="R47" s="95">
        <v>97</v>
      </c>
      <c r="S47" s="161">
        <v>224215</v>
      </c>
      <c r="T47" s="95">
        <v>98</v>
      </c>
      <c r="U47" s="162">
        <v>1567621</v>
      </c>
      <c r="V47" s="65">
        <v>99</v>
      </c>
      <c r="W47" s="155">
        <v>1791836</v>
      </c>
    </row>
    <row r="48" spans="1:23" s="26" customFormat="1" ht="15.75">
      <c r="A48" s="176" t="s">
        <v>86</v>
      </c>
      <c r="B48" s="177"/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8"/>
      <c r="R48" s="182" t="s">
        <v>22</v>
      </c>
      <c r="S48" s="183"/>
      <c r="T48" s="182" t="s">
        <v>23</v>
      </c>
      <c r="U48" s="183"/>
      <c r="V48" s="182" t="s">
        <v>24</v>
      </c>
      <c r="W48" s="183"/>
    </row>
    <row r="49" spans="1:31" s="26" customFormat="1" ht="13.5" customHeight="1">
      <c r="A49" s="71" t="s">
        <v>87</v>
      </c>
      <c r="B49" s="172" t="s">
        <v>88</v>
      </c>
      <c r="C49" s="172"/>
      <c r="D49" s="172"/>
      <c r="E49" s="172"/>
      <c r="F49" s="172"/>
      <c r="G49" s="172"/>
      <c r="H49" s="172"/>
      <c r="I49" s="172"/>
      <c r="J49" s="172"/>
      <c r="K49" s="172"/>
      <c r="L49" s="172"/>
      <c r="M49" s="172"/>
      <c r="N49" s="172"/>
      <c r="O49" s="172"/>
      <c r="P49" s="172"/>
      <c r="Q49" s="173"/>
      <c r="R49" s="96">
        <v>100</v>
      </c>
      <c r="S49" s="163">
        <v>16323</v>
      </c>
      <c r="T49" s="96">
        <v>101</v>
      </c>
      <c r="U49" s="163">
        <v>75955</v>
      </c>
      <c r="V49" s="69">
        <v>102</v>
      </c>
      <c r="W49" s="164">
        <v>92278</v>
      </c>
    </row>
    <row r="50" spans="1:31" s="100" customFormat="1" ht="14.25" customHeight="1">
      <c r="A50" s="71"/>
      <c r="B50" s="73"/>
      <c r="C50" s="73"/>
      <c r="D50" s="73"/>
      <c r="E50" s="73"/>
      <c r="F50" s="180" t="s">
        <v>56</v>
      </c>
      <c r="G50" s="184"/>
      <c r="H50" s="184"/>
      <c r="I50" s="184"/>
      <c r="J50" s="184"/>
      <c r="K50" s="181"/>
      <c r="L50" s="180" t="s">
        <v>57</v>
      </c>
      <c r="M50" s="184"/>
      <c r="N50" s="184"/>
      <c r="O50" s="184"/>
      <c r="P50" s="184"/>
      <c r="Q50" s="181"/>
      <c r="R50" s="97"/>
      <c r="S50" s="98"/>
      <c r="T50" s="98"/>
      <c r="U50" s="98"/>
      <c r="V50" s="98"/>
      <c r="W50" s="99"/>
    </row>
    <row r="51" spans="1:31" s="104" customFormat="1" ht="15" customHeight="1">
      <c r="A51" s="71"/>
      <c r="B51" s="73"/>
      <c r="C51" s="73"/>
      <c r="D51" s="73"/>
      <c r="E51" s="73"/>
      <c r="F51" s="180" t="s">
        <v>58</v>
      </c>
      <c r="G51" s="181"/>
      <c r="H51" s="180" t="s">
        <v>59</v>
      </c>
      <c r="I51" s="181"/>
      <c r="J51" s="180" t="s">
        <v>60</v>
      </c>
      <c r="K51" s="181"/>
      <c r="L51" s="180" t="s">
        <v>58</v>
      </c>
      <c r="M51" s="181"/>
      <c r="N51" s="180" t="s">
        <v>59</v>
      </c>
      <c r="O51" s="181"/>
      <c r="P51" s="180" t="s">
        <v>60</v>
      </c>
      <c r="Q51" s="181"/>
      <c r="R51" s="101"/>
      <c r="S51" s="102"/>
      <c r="T51" s="102"/>
      <c r="U51" s="102"/>
      <c r="V51" s="102"/>
      <c r="W51" s="103"/>
    </row>
    <row r="52" spans="1:31" s="106" customFormat="1" ht="15.75" customHeight="1">
      <c r="A52" s="71"/>
      <c r="B52" s="73" t="s">
        <v>20</v>
      </c>
      <c r="C52" s="172" t="s">
        <v>89</v>
      </c>
      <c r="D52" s="172"/>
      <c r="E52" s="173"/>
      <c r="F52" s="82">
        <v>103</v>
      </c>
      <c r="G52" s="48">
        <v>15666</v>
      </c>
      <c r="H52" s="82">
        <v>104</v>
      </c>
      <c r="I52" s="48">
        <v>302</v>
      </c>
      <c r="J52" s="82">
        <v>105</v>
      </c>
      <c r="K52" s="48">
        <v>5</v>
      </c>
      <c r="L52" s="82">
        <v>106</v>
      </c>
      <c r="M52" s="48">
        <v>70243</v>
      </c>
      <c r="N52" s="82">
        <v>107</v>
      </c>
      <c r="O52" s="48">
        <v>1041</v>
      </c>
      <c r="P52" s="82">
        <v>108</v>
      </c>
      <c r="Q52" s="48">
        <v>235</v>
      </c>
      <c r="R52" s="105">
        <v>109</v>
      </c>
      <c r="S52" s="165">
        <v>15973</v>
      </c>
      <c r="T52" s="105">
        <v>110</v>
      </c>
      <c r="U52" s="165">
        <v>71519</v>
      </c>
      <c r="V52" s="70">
        <v>111</v>
      </c>
      <c r="W52" s="160">
        <v>87492</v>
      </c>
    </row>
    <row r="53" spans="1:31" s="107" customFormat="1" ht="13.5" customHeight="1">
      <c r="A53" s="71"/>
      <c r="B53" s="73" t="s">
        <v>27</v>
      </c>
      <c r="C53" s="172" t="s">
        <v>90</v>
      </c>
      <c r="D53" s="172"/>
      <c r="E53" s="173"/>
      <c r="F53" s="82">
        <v>112</v>
      </c>
      <c r="G53" s="48">
        <v>346</v>
      </c>
      <c r="H53" s="82">
        <v>113</v>
      </c>
      <c r="I53" s="48">
        <v>4</v>
      </c>
      <c r="J53" s="82">
        <v>114</v>
      </c>
      <c r="K53" s="48">
        <v>0</v>
      </c>
      <c r="L53" s="82">
        <v>115</v>
      </c>
      <c r="M53" s="48">
        <v>4321</v>
      </c>
      <c r="N53" s="82">
        <v>116</v>
      </c>
      <c r="O53" s="48">
        <v>92</v>
      </c>
      <c r="P53" s="82">
        <v>117</v>
      </c>
      <c r="Q53" s="48">
        <v>23</v>
      </c>
      <c r="R53" s="105">
        <v>118</v>
      </c>
      <c r="S53" s="165">
        <v>350</v>
      </c>
      <c r="T53" s="105">
        <v>119</v>
      </c>
      <c r="U53" s="165">
        <v>4436</v>
      </c>
      <c r="V53" s="70">
        <v>120</v>
      </c>
      <c r="W53" s="160">
        <v>4786</v>
      </c>
      <c r="X53" s="26"/>
      <c r="Y53" s="26"/>
      <c r="Z53" s="26"/>
      <c r="AA53" s="26"/>
      <c r="AB53" s="26"/>
      <c r="AC53" s="26"/>
      <c r="AD53" s="26"/>
      <c r="AE53" s="26"/>
    </row>
    <row r="54" spans="1:31" s="110" customFormat="1" ht="13.5" customHeight="1">
      <c r="A54" s="108" t="s">
        <v>91</v>
      </c>
      <c r="B54" s="174" t="s">
        <v>92</v>
      </c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5"/>
      <c r="R54" s="109">
        <v>121</v>
      </c>
      <c r="S54" s="48">
        <v>2</v>
      </c>
      <c r="T54" s="109">
        <v>122</v>
      </c>
      <c r="U54" s="48">
        <v>15</v>
      </c>
      <c r="V54" s="70">
        <v>123</v>
      </c>
      <c r="W54" s="160">
        <v>17</v>
      </c>
    </row>
    <row r="55" spans="1:31" s="26" customFormat="1" ht="15.75">
      <c r="A55" s="176" t="s">
        <v>4</v>
      </c>
      <c r="B55" s="177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8"/>
      <c r="X55" s="21"/>
      <c r="Y55" s="22"/>
      <c r="Z55" s="22"/>
      <c r="AA55" s="22"/>
      <c r="AB55" s="23"/>
      <c r="AC55" s="150"/>
      <c r="AD55" s="23"/>
      <c r="AE55" s="151"/>
    </row>
    <row r="56" spans="1:31" s="26" customFormat="1" ht="63" customHeight="1">
      <c r="A56" s="179" t="s">
        <v>5</v>
      </c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  <c r="U56" s="179"/>
      <c r="V56" s="179"/>
      <c r="W56" s="179"/>
      <c r="X56" s="21"/>
      <c r="Y56" s="22"/>
      <c r="Z56" s="22"/>
      <c r="AA56" s="22"/>
      <c r="AB56" s="23"/>
      <c r="AD56" s="23"/>
      <c r="AE56" s="151"/>
    </row>
    <row r="57" spans="1:31" s="26" customFormat="1">
      <c r="A57" s="111"/>
      <c r="B57" s="31"/>
      <c r="C57" s="22"/>
      <c r="D57" s="22"/>
      <c r="E57" s="21"/>
      <c r="F57" s="22"/>
      <c r="G57" s="22"/>
      <c r="H57" s="22"/>
      <c r="I57" s="23"/>
      <c r="J57" s="21"/>
      <c r="K57" s="22"/>
      <c r="L57" s="22"/>
      <c r="M57" s="21"/>
      <c r="N57" s="23"/>
      <c r="O57" s="22"/>
      <c r="P57" s="21"/>
      <c r="Q57" s="21"/>
      <c r="R57" s="22"/>
      <c r="S57" s="23"/>
      <c r="T57" s="22"/>
      <c r="U57" s="112"/>
      <c r="V57" s="113" t="s">
        <v>93</v>
      </c>
      <c r="W57" s="114">
        <v>25160069</v>
      </c>
      <c r="X57" s="21"/>
      <c r="Y57" s="22"/>
      <c r="Z57" s="22"/>
      <c r="AA57" s="22"/>
      <c r="AB57" s="23"/>
      <c r="AC57" s="150"/>
      <c r="AD57" s="23"/>
      <c r="AE57" s="151"/>
    </row>
  </sheetData>
  <mergeCells count="82">
    <mergeCell ref="A2:O2"/>
    <mergeCell ref="A6:K6"/>
    <mergeCell ref="L6:W6"/>
    <mergeCell ref="A7:Q7"/>
    <mergeCell ref="R7:U7"/>
    <mergeCell ref="V7:W7"/>
    <mergeCell ref="B8:Q8"/>
    <mergeCell ref="C9:Q9"/>
    <mergeCell ref="B10:Q10"/>
    <mergeCell ref="C11:Q11"/>
    <mergeCell ref="R12:S12"/>
    <mergeCell ref="B20:Q20"/>
    <mergeCell ref="V12:W12"/>
    <mergeCell ref="D13:Q13"/>
    <mergeCell ref="C14:Q14"/>
    <mergeCell ref="D15:Q15"/>
    <mergeCell ref="D16:Q16"/>
    <mergeCell ref="D17:Q17"/>
    <mergeCell ref="T12:U12"/>
    <mergeCell ref="C18:Q18"/>
    <mergeCell ref="A19:Q19"/>
    <mergeCell ref="R19:S19"/>
    <mergeCell ref="T19:U19"/>
    <mergeCell ref="V19:W19"/>
    <mergeCell ref="C29:Q29"/>
    <mergeCell ref="C21:Q21"/>
    <mergeCell ref="D22:Q22"/>
    <mergeCell ref="D23:Q23"/>
    <mergeCell ref="D24:Q24"/>
    <mergeCell ref="C25:Q25"/>
    <mergeCell ref="A26:Q26"/>
    <mergeCell ref="R26:S26"/>
    <mergeCell ref="T26:U26"/>
    <mergeCell ref="V26:W26"/>
    <mergeCell ref="B27:Q27"/>
    <mergeCell ref="C28:Q28"/>
    <mergeCell ref="B30:Q30"/>
    <mergeCell ref="F31:K31"/>
    <mergeCell ref="L31:Q31"/>
    <mergeCell ref="F32:G32"/>
    <mergeCell ref="H32:I32"/>
    <mergeCell ref="J32:K32"/>
    <mergeCell ref="L32:M32"/>
    <mergeCell ref="N32:O32"/>
    <mergeCell ref="P32:Q32"/>
    <mergeCell ref="D42:K42"/>
    <mergeCell ref="N42:O42"/>
    <mergeCell ref="P42:Q42"/>
    <mergeCell ref="C33:E33"/>
    <mergeCell ref="C34:Q34"/>
    <mergeCell ref="C35:Q35"/>
    <mergeCell ref="C36:Q36"/>
    <mergeCell ref="C37:Q37"/>
    <mergeCell ref="B38:Q38"/>
    <mergeCell ref="B39:Q39"/>
    <mergeCell ref="C40:Q40"/>
    <mergeCell ref="D41:K41"/>
    <mergeCell ref="L41:M41"/>
    <mergeCell ref="N41:Q41"/>
    <mergeCell ref="C43:M43"/>
    <mergeCell ref="C44:M44"/>
    <mergeCell ref="B45:Q45"/>
    <mergeCell ref="C46:Q46"/>
    <mergeCell ref="B47:Q47"/>
    <mergeCell ref="P51:Q51"/>
    <mergeCell ref="R48:S48"/>
    <mergeCell ref="T48:U48"/>
    <mergeCell ref="V48:W48"/>
    <mergeCell ref="B49:Q49"/>
    <mergeCell ref="F50:K50"/>
    <mergeCell ref="L50:Q50"/>
    <mergeCell ref="A48:Q48"/>
    <mergeCell ref="F51:G51"/>
    <mergeCell ref="H51:I51"/>
    <mergeCell ref="J51:K51"/>
    <mergeCell ref="L51:M51"/>
    <mergeCell ref="N51:O51"/>
    <mergeCell ref="C52:E52"/>
    <mergeCell ref="C53:E53"/>
    <mergeCell ref="B54:Q54"/>
    <mergeCell ref="A55:W55"/>
    <mergeCell ref="A56:W56"/>
  </mergeCells>
  <dataValidations count="25">
    <dataValidation type="custom" sqref="Q43:Q44 O43:O44 Q52:Q53 O52:O53 U43:U46 S43:S46">
      <formula1>AND(ISNUMBER(O43),O43&gt;=0,IF(SUM(X41,X44)=0,O43=0,O43&gt;=SUM(X41,X44)))</formula1>
    </dataValidation>
    <dataValidation allowBlank="1" sqref="U48 V52:V54 R7:R41 V7:V37 S31:S32 G54 S48 W31:W32 R43:R50 V39:V40 Q54 Q45:Q51 W48 V43:V49 R52:R54 T52:T54 O54 M43:M51 N26:N54 M54 O45:O51 L26:L54 K54 K34:K51 J26:J54 I54 I34:I51 H26:H54 G26:G32 G34:G51 D26:F54 I26:I32 U31:U32 S8:S12 T8:T37 U8:U12 S19 U19 W19 W26 U26 S26 T39:T40 K26:K32 M26:M32 O26:O32 Q26:Q32 P26:P54 M34:M41 O34:O42 Q34:Q42 T43:T49 D22:D24 C21:C54 E12:Q12 E22:Q23 D12:D13 D15:D17 C11:C19 D19:Q19 C7:Q7 C9 A7:A55 B7:B54"/>
    <dataValidation type="custom" sqref="W13 S13 U13">
      <formula1>AND(ISNUMBER(S13),S13&gt;=0,S13&lt;=S33)</formula1>
    </dataValidation>
    <dataValidation type="custom" sqref="W16">
      <formula1>AND(ISNUMBER(W16),W16&gt;=0,W16&lt;=W$17)</formula1>
    </dataValidation>
    <dataValidation type="custom" sqref="W20">
      <formula1>AND(ISNUMBER(W20),W20&gt;=0,W20&lt;=W8, W20=SUM(W21,W25))</formula1>
    </dataValidation>
    <dataValidation type="custom" sqref="W29">
      <formula1>AND(ISNUMBER(W29),W29=SUM(W27,-W28))</formula1>
    </dataValidation>
    <dataValidation type="custom" sqref="S30 U30">
      <formula1>AND(ISNUMBER(S30))</formula1>
    </dataValidation>
    <dataValidation type="custom" sqref="W34">
      <formula1>AND(ISNUMBER(W34),W34=0)</formula1>
    </dataValidation>
    <dataValidation type="custom" sqref="S39 U39">
      <formula1>AND(ISNUMBER(S39),S39&gt;=0,S39=SUM(S30,S27))</formula1>
    </dataValidation>
    <dataValidation type="custom" sqref="W46 W9">
      <formula1>AND(ISNUMBER(W9),W9&gt;=0,W9&lt;=W8)</formula1>
    </dataValidation>
    <dataValidation type="custom" sqref="W47">
      <formula1>AND(ISNUMBER(W47),W47&gt;=0,W47=W39-W45)</formula1>
    </dataValidation>
    <dataValidation type="custom" sqref="W49">
      <formula1>AND(ISNUMBER(W49),W49&gt;=0,W49=SUM(W52,W53))</formula1>
    </dataValidation>
    <dataValidation type="custom" sqref="W54">
      <formula1>AND(ISNUMBER(W54),W54&gt;=0,W54&lt;=W49)</formula1>
    </dataValidation>
    <dataValidation type="custom" sqref="W39">
      <formula1>AND(ISNUMBER(W39),W39&gt;=0,W39=SUM(W40,W43,W44),W39=SUM(W27,W30))</formula1>
    </dataValidation>
    <dataValidation type="custom" sqref="W30">
      <formula1>AND(ISNUMBER(W30),W30&gt;=0, W30=SUM(W33,W34,W35,W36,W37))</formula1>
    </dataValidation>
    <dataValidation type="custom" sqref="W21">
      <formula1>AND(ISNUMBER(W21),W21&gt;=0,W21=SUM(W22,W23,W24))</formula1>
    </dataValidation>
    <dataValidation type="custom" sqref="W14">
      <formula1>AND(ISNUMBER(W14),W14&gt;=0,W14=SUM(W15,W16))</formula1>
    </dataValidation>
    <dataValidation type="custom" sqref="W11">
      <formula1>AND(ISNUMBER(W11),W11&gt;=0,W11=W33)</formula1>
    </dataValidation>
    <dataValidation type="custom" sqref="W17">
      <formula1>AND(ISNUMBER(W17),W17&gt;=0,W17&lt;=W14)</formula1>
    </dataValidation>
    <dataValidation type="custom" sqref="M42 G52:G53 I52:I53 K52:K53 M52:M53">
      <formula1>AND(ISNUMBER(G42),G42&gt;=0,IF(SUM(Q40,Q43)=0,G42=0,G42&gt;=SUM(Q40,Q43)))</formula1>
    </dataValidation>
    <dataValidation type="custom" sqref="W45 U49 U47 S52:S53 O33 W8 S14:S18 Q33 U40 S49 W27:W28 U20:U25 W15 W18 U14:U18 U33:U37 W33 W52:W53 S33:S37 W35:W37 S27:S28 U52:U53 U27:U28 G33 I33 K33 M33 W40 S20:S25 W22:W25 S40 W10 S47">
      <formula1>AND(ISNUMBER(G8),G8&gt;=0)</formula1>
    </dataValidation>
    <dataValidation type="custom" sqref="W43">
      <formula1>AND(ISNUMBER(W43),W43&gt;=0,IF(SUM(#REF!,#REF!)=0,SUM($Q$46,$S$46)=0,SUM($Q$46,$S$46)&gt;=SUM(#REF!,#REF!)))</formula1>
    </dataValidation>
    <dataValidation type="custom" sqref="W44">
      <formula1>AND(ISNUMBER(W44),W44&gt;=0,IF(SUM($Q$47,$S$47)=0,#REF!=0,SUM($Q$47,$S$47)&gt;=#REF!))</formula1>
    </dataValidation>
    <dataValidation type="custom" sqref="S29 U29">
      <formula1>AND(ISNUMBER(S29),(IF(S29&lt;&gt;0,#REF!&lt;&gt;"",#REF!="")))</formula1>
    </dataValidation>
    <dataValidation type="custom" sqref="S54 U54">
      <formula1>AND(ISNUMBER(S54),S54&gt;=0,IF(SUM(AB52,#REF!)=0,S54=0,S54&gt;=SUM(AB52,#REF!)))</formula1>
    </dataValidation>
  </dataValidations>
  <printOptions horizontalCentered="1" verticalCentered="1"/>
  <pageMargins left="0.25" right="0.25" top="0.5" bottom="0.5" header="0.25" footer="0.25"/>
  <pageSetup scale="70" orientation="portrait" r:id="rId1"/>
  <headerFooter alignWithMargins="0">
    <oddHeader>&amp;L&amp;"Arial,Regular"STATE OF CALIFORNIA
HEALTH AND HUMAN SERVICES AGENCY&amp;R&amp;"Arial,Regular"CALIFORNIA DEPARTMENT OF SOCIAL SERVICES
DATA SYSTEMS AND SURVEY DESIGN BUREAU</oddHeader>
    <oddFooter>&amp;L&amp;"Arial"&amp;11&amp;R&amp;"Arial"&amp;11&amp;C&amp;"Arial"&amp;11&amp;P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>
    <pageSetUpPr fitToPage="1"/>
  </sheetPr>
  <dimension ref="A1:DY64"/>
  <sheetViews>
    <sheetView showGridLines="0" zoomScaleNormal="100" workbookViewId="0"/>
  </sheetViews>
  <sheetFormatPr defaultColWidth="16.5703125" defaultRowHeight="15"/>
  <cols>
    <col min="1" max="1" width="26.42578125" style="145" customWidth="1"/>
    <col min="2" max="124" width="20.7109375" style="136" customWidth="1"/>
    <col min="125" max="125" width="1.7109375" style="116" customWidth="1"/>
    <col min="126" max="126" width="18" style="136" bestFit="1" customWidth="1"/>
    <col min="127" max="127" width="16.5703125" style="137"/>
    <col min="128" max="16384" width="16.5703125" style="136"/>
  </cols>
  <sheetData>
    <row r="1" spans="1:129" s="117" customFormat="1" ht="15.75">
      <c r="A1" s="115" t="s">
        <v>336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116"/>
      <c r="CC1" s="116"/>
      <c r="CD1" s="116"/>
      <c r="CE1" s="116"/>
      <c r="CF1" s="116"/>
      <c r="CG1" s="116"/>
      <c r="CH1" s="116"/>
      <c r="CI1" s="116"/>
      <c r="CJ1" s="116"/>
      <c r="CK1" s="116"/>
      <c r="CL1" s="116"/>
      <c r="CM1" s="116"/>
      <c r="CN1" s="116"/>
      <c r="CO1" s="116"/>
      <c r="CP1" s="116"/>
      <c r="CQ1" s="116"/>
      <c r="CR1" s="116"/>
      <c r="CS1" s="116"/>
      <c r="CT1" s="116"/>
      <c r="CU1" s="116"/>
      <c r="CV1" s="116"/>
      <c r="CW1" s="116"/>
      <c r="CX1" s="116"/>
      <c r="CY1" s="116"/>
      <c r="CZ1" s="116"/>
      <c r="DA1" s="116"/>
      <c r="DB1" s="116"/>
      <c r="DC1" s="116"/>
      <c r="DD1" s="116"/>
      <c r="DE1" s="116"/>
      <c r="DF1" s="116"/>
      <c r="DG1" s="116"/>
      <c r="DH1" s="116"/>
      <c r="DI1" s="116"/>
      <c r="DJ1" s="116"/>
      <c r="DK1" s="116"/>
      <c r="DL1" s="116"/>
      <c r="DM1" s="116"/>
      <c r="DN1" s="116"/>
      <c r="DO1" s="116"/>
      <c r="DP1" s="116"/>
      <c r="DQ1" s="116"/>
      <c r="DR1" s="116"/>
      <c r="DS1" s="116"/>
      <c r="DT1" s="116"/>
      <c r="DU1" s="116"/>
      <c r="DW1" s="118"/>
    </row>
    <row r="2" spans="1:129" s="116" customFormat="1" ht="15.75">
      <c r="A2" s="119"/>
      <c r="B2" s="120" t="s">
        <v>95</v>
      </c>
      <c r="C2" s="120" t="s">
        <v>95</v>
      </c>
      <c r="D2" s="120" t="s">
        <v>95</v>
      </c>
      <c r="E2" s="120" t="s">
        <v>95</v>
      </c>
      <c r="F2" s="120" t="s">
        <v>95</v>
      </c>
      <c r="G2" s="120" t="s">
        <v>95</v>
      </c>
      <c r="H2" s="120" t="s">
        <v>95</v>
      </c>
      <c r="I2" s="120" t="s">
        <v>95</v>
      </c>
      <c r="J2" s="120" t="s">
        <v>95</v>
      </c>
      <c r="K2" s="120" t="s">
        <v>95</v>
      </c>
      <c r="L2" s="120" t="s">
        <v>95</v>
      </c>
      <c r="M2" s="120" t="s">
        <v>95</v>
      </c>
      <c r="N2" s="120" t="s">
        <v>95</v>
      </c>
      <c r="O2" s="120" t="s">
        <v>95</v>
      </c>
      <c r="P2" s="120" t="s">
        <v>95</v>
      </c>
      <c r="Q2" s="120" t="s">
        <v>95</v>
      </c>
      <c r="R2" s="120" t="s">
        <v>95</v>
      </c>
      <c r="S2" s="120" t="s">
        <v>95</v>
      </c>
      <c r="T2" s="120" t="s">
        <v>95</v>
      </c>
      <c r="U2" s="120" t="s">
        <v>95</v>
      </c>
      <c r="V2" s="120" t="s">
        <v>95</v>
      </c>
      <c r="W2" s="120" t="s">
        <v>95</v>
      </c>
      <c r="X2" s="120" t="s">
        <v>96</v>
      </c>
      <c r="Y2" s="120" t="s">
        <v>96</v>
      </c>
      <c r="Z2" s="120" t="s">
        <v>96</v>
      </c>
      <c r="AA2" s="120" t="s">
        <v>96</v>
      </c>
      <c r="AB2" s="120" t="s">
        <v>96</v>
      </c>
      <c r="AC2" s="120" t="s">
        <v>96</v>
      </c>
      <c r="AD2" s="120" t="s">
        <v>96</v>
      </c>
      <c r="AE2" s="120" t="s">
        <v>96</v>
      </c>
      <c r="AF2" s="120" t="s">
        <v>96</v>
      </c>
      <c r="AG2" s="120" t="s">
        <v>96</v>
      </c>
      <c r="AH2" s="120" t="s">
        <v>96</v>
      </c>
      <c r="AI2" s="120" t="s">
        <v>96</v>
      </c>
      <c r="AJ2" s="120" t="s">
        <v>96</v>
      </c>
      <c r="AK2" s="120" t="s">
        <v>96</v>
      </c>
      <c r="AL2" s="120" t="s">
        <v>96</v>
      </c>
      <c r="AM2" s="120" t="s">
        <v>96</v>
      </c>
      <c r="AN2" s="120" t="s">
        <v>96</v>
      </c>
      <c r="AO2" s="120" t="s">
        <v>96</v>
      </c>
      <c r="AP2" s="120" t="s">
        <v>97</v>
      </c>
      <c r="AQ2" s="120" t="s">
        <v>97</v>
      </c>
      <c r="AR2" s="120" t="s">
        <v>97</v>
      </c>
      <c r="AS2" s="120" t="s">
        <v>97</v>
      </c>
      <c r="AT2" s="120" t="s">
        <v>97</v>
      </c>
      <c r="AU2" s="120" t="s">
        <v>97</v>
      </c>
      <c r="AV2" s="120" t="s">
        <v>97</v>
      </c>
      <c r="AW2" s="120" t="s">
        <v>97</v>
      </c>
      <c r="AX2" s="120" t="s">
        <v>97</v>
      </c>
      <c r="AY2" s="120" t="s">
        <v>97</v>
      </c>
      <c r="AZ2" s="120" t="s">
        <v>97</v>
      </c>
      <c r="BA2" s="120" t="s">
        <v>97</v>
      </c>
      <c r="BB2" s="120" t="s">
        <v>97</v>
      </c>
      <c r="BC2" s="120" t="s">
        <v>97</v>
      </c>
      <c r="BD2" s="120" t="s">
        <v>97</v>
      </c>
      <c r="BE2" s="120" t="s">
        <v>97</v>
      </c>
      <c r="BF2" s="120" t="s">
        <v>97</v>
      </c>
      <c r="BG2" s="120" t="s">
        <v>97</v>
      </c>
      <c r="BH2" s="120" t="s">
        <v>97</v>
      </c>
      <c r="BI2" s="120" t="s">
        <v>97</v>
      </c>
      <c r="BJ2" s="120" t="s">
        <v>97</v>
      </c>
      <c r="BK2" s="120" t="s">
        <v>97</v>
      </c>
      <c r="BL2" s="120" t="s">
        <v>97</v>
      </c>
      <c r="BM2" s="120" t="s">
        <v>97</v>
      </c>
      <c r="BN2" s="120" t="s">
        <v>97</v>
      </c>
      <c r="BO2" s="120" t="s">
        <v>97</v>
      </c>
      <c r="BP2" s="120" t="s">
        <v>97</v>
      </c>
      <c r="BQ2" s="120" t="s">
        <v>97</v>
      </c>
      <c r="BR2" s="120" t="s">
        <v>97</v>
      </c>
      <c r="BS2" s="120" t="s">
        <v>97</v>
      </c>
      <c r="BT2" s="120" t="s">
        <v>97</v>
      </c>
      <c r="BU2" s="120" t="s">
        <v>97</v>
      </c>
      <c r="BV2" s="120" t="s">
        <v>97</v>
      </c>
      <c r="BW2" s="120" t="s">
        <v>97</v>
      </c>
      <c r="BX2" s="120" t="s">
        <v>97</v>
      </c>
      <c r="BY2" s="120" t="s">
        <v>97</v>
      </c>
      <c r="BZ2" s="120" t="s">
        <v>97</v>
      </c>
      <c r="CA2" s="120" t="s">
        <v>97</v>
      </c>
      <c r="CB2" s="120" t="s">
        <v>97</v>
      </c>
      <c r="CC2" s="120" t="s">
        <v>97</v>
      </c>
      <c r="CD2" s="120" t="s">
        <v>97</v>
      </c>
      <c r="CE2" s="120" t="s">
        <v>97</v>
      </c>
      <c r="CF2" s="120" t="s">
        <v>97</v>
      </c>
      <c r="CG2" s="120" t="s">
        <v>97</v>
      </c>
      <c r="CH2" s="120" t="s">
        <v>97</v>
      </c>
      <c r="CI2" s="120" t="s">
        <v>97</v>
      </c>
      <c r="CJ2" s="120" t="s">
        <v>97</v>
      </c>
      <c r="CK2" s="120" t="s">
        <v>97</v>
      </c>
      <c r="CL2" s="120" t="s">
        <v>97</v>
      </c>
      <c r="CM2" s="120" t="s">
        <v>97</v>
      </c>
      <c r="CN2" s="120" t="s">
        <v>97</v>
      </c>
      <c r="CO2" s="120" t="s">
        <v>97</v>
      </c>
      <c r="CP2" s="120" t="s">
        <v>97</v>
      </c>
      <c r="CQ2" s="120" t="s">
        <v>97</v>
      </c>
      <c r="CR2" s="120" t="s">
        <v>97</v>
      </c>
      <c r="CS2" s="120" t="s">
        <v>97</v>
      </c>
      <c r="CT2" s="120" t="s">
        <v>97</v>
      </c>
      <c r="CU2" s="120" t="s">
        <v>97</v>
      </c>
      <c r="CV2" s="120" t="s">
        <v>97</v>
      </c>
      <c r="CW2" s="120" t="s">
        <v>98</v>
      </c>
      <c r="CX2" s="120" t="s">
        <v>98</v>
      </c>
      <c r="CY2" s="120" t="s">
        <v>98</v>
      </c>
      <c r="CZ2" s="120" t="s">
        <v>98</v>
      </c>
      <c r="DA2" s="120" t="s">
        <v>98</v>
      </c>
      <c r="DB2" s="120" t="s">
        <v>98</v>
      </c>
      <c r="DC2" s="120" t="s">
        <v>98</v>
      </c>
      <c r="DD2" s="120" t="s">
        <v>98</v>
      </c>
      <c r="DE2" s="120" t="s">
        <v>98</v>
      </c>
      <c r="DF2" s="120" t="s">
        <v>98</v>
      </c>
      <c r="DG2" s="120" t="s">
        <v>98</v>
      </c>
      <c r="DH2" s="120" t="s">
        <v>98</v>
      </c>
      <c r="DI2" s="120" t="s">
        <v>98</v>
      </c>
      <c r="DJ2" s="120" t="s">
        <v>98</v>
      </c>
      <c r="DK2" s="120" t="s">
        <v>98</v>
      </c>
      <c r="DL2" s="120" t="s">
        <v>98</v>
      </c>
      <c r="DM2" s="120" t="s">
        <v>98</v>
      </c>
      <c r="DN2" s="120" t="s">
        <v>98</v>
      </c>
      <c r="DO2" s="120" t="s">
        <v>98</v>
      </c>
      <c r="DP2" s="120" t="s">
        <v>98</v>
      </c>
      <c r="DQ2" s="120" t="s">
        <v>98</v>
      </c>
      <c r="DR2" s="120" t="s">
        <v>98</v>
      </c>
      <c r="DS2" s="120" t="s">
        <v>98</v>
      </c>
      <c r="DT2" s="120" t="s">
        <v>98</v>
      </c>
    </row>
    <row r="3" spans="1:129" s="116" customFormat="1" ht="31.5">
      <c r="A3" s="119"/>
      <c r="B3" s="121"/>
      <c r="C3" s="122"/>
      <c r="D3" s="122"/>
      <c r="E3" s="123"/>
      <c r="F3" s="124" t="s">
        <v>22</v>
      </c>
      <c r="G3" s="124" t="s">
        <v>23</v>
      </c>
      <c r="H3" s="124" t="s">
        <v>99</v>
      </c>
      <c r="I3" s="125" t="s">
        <v>22</v>
      </c>
      <c r="J3" s="125" t="s">
        <v>23</v>
      </c>
      <c r="K3" s="125" t="s">
        <v>99</v>
      </c>
      <c r="L3" s="125" t="s">
        <v>22</v>
      </c>
      <c r="M3" s="125" t="s">
        <v>23</v>
      </c>
      <c r="N3" s="125" t="s">
        <v>99</v>
      </c>
      <c r="O3" s="125" t="s">
        <v>22</v>
      </c>
      <c r="P3" s="125" t="s">
        <v>23</v>
      </c>
      <c r="Q3" s="125" t="s">
        <v>99</v>
      </c>
      <c r="R3" s="125" t="s">
        <v>22</v>
      </c>
      <c r="S3" s="125" t="s">
        <v>23</v>
      </c>
      <c r="T3" s="125" t="s">
        <v>99</v>
      </c>
      <c r="U3" s="125" t="s">
        <v>22</v>
      </c>
      <c r="V3" s="125" t="s">
        <v>23</v>
      </c>
      <c r="W3" s="125" t="s">
        <v>99</v>
      </c>
      <c r="X3" s="125" t="s">
        <v>22</v>
      </c>
      <c r="Y3" s="125" t="s">
        <v>23</v>
      </c>
      <c r="Z3" s="126" t="s">
        <v>99</v>
      </c>
      <c r="AA3" s="126" t="s">
        <v>22</v>
      </c>
      <c r="AB3" s="126" t="s">
        <v>23</v>
      </c>
      <c r="AC3" s="126" t="s">
        <v>99</v>
      </c>
      <c r="AD3" s="126" t="s">
        <v>22</v>
      </c>
      <c r="AE3" s="126" t="s">
        <v>23</v>
      </c>
      <c r="AF3" s="125" t="s">
        <v>99</v>
      </c>
      <c r="AG3" s="125" t="s">
        <v>22</v>
      </c>
      <c r="AH3" s="125" t="s">
        <v>23</v>
      </c>
      <c r="AI3" s="125" t="s">
        <v>99</v>
      </c>
      <c r="AJ3" s="125" t="s">
        <v>22</v>
      </c>
      <c r="AK3" s="125" t="s">
        <v>23</v>
      </c>
      <c r="AL3" s="125" t="s">
        <v>99</v>
      </c>
      <c r="AM3" s="125" t="s">
        <v>22</v>
      </c>
      <c r="AN3" s="125" t="s">
        <v>23</v>
      </c>
      <c r="AO3" s="125" t="s">
        <v>99</v>
      </c>
      <c r="AP3" s="125" t="s">
        <v>22</v>
      </c>
      <c r="AQ3" s="125" t="s">
        <v>23</v>
      </c>
      <c r="AR3" s="125" t="s">
        <v>99</v>
      </c>
      <c r="AS3" s="125" t="s">
        <v>22</v>
      </c>
      <c r="AT3" s="125" t="s">
        <v>23</v>
      </c>
      <c r="AU3" s="125" t="s">
        <v>99</v>
      </c>
      <c r="AV3" s="125" t="s">
        <v>22</v>
      </c>
      <c r="AW3" s="125" t="s">
        <v>23</v>
      </c>
      <c r="AX3" s="125" t="s">
        <v>99</v>
      </c>
      <c r="AY3" s="125" t="s">
        <v>22</v>
      </c>
      <c r="AZ3" s="125" t="s">
        <v>23</v>
      </c>
      <c r="BA3" s="125" t="s">
        <v>99</v>
      </c>
      <c r="BB3" s="125" t="s">
        <v>100</v>
      </c>
      <c r="BC3" s="125" t="s">
        <v>101</v>
      </c>
      <c r="BD3" s="125" t="s">
        <v>102</v>
      </c>
      <c r="BE3" s="125" t="s">
        <v>103</v>
      </c>
      <c r="BF3" s="125" t="s">
        <v>104</v>
      </c>
      <c r="BG3" s="125" t="s">
        <v>105</v>
      </c>
      <c r="BH3" s="125" t="s">
        <v>22</v>
      </c>
      <c r="BI3" s="126" t="s">
        <v>23</v>
      </c>
      <c r="BJ3" s="126" t="s">
        <v>99</v>
      </c>
      <c r="BK3" s="126" t="s">
        <v>22</v>
      </c>
      <c r="BL3" s="126" t="s">
        <v>23</v>
      </c>
      <c r="BM3" s="126" t="s">
        <v>99</v>
      </c>
      <c r="BN3" s="126" t="s">
        <v>22</v>
      </c>
      <c r="BO3" s="126" t="s">
        <v>23</v>
      </c>
      <c r="BP3" s="126" t="s">
        <v>99</v>
      </c>
      <c r="BQ3" s="126" t="s">
        <v>22</v>
      </c>
      <c r="BR3" s="126" t="s">
        <v>23</v>
      </c>
      <c r="BS3" s="126" t="s">
        <v>99</v>
      </c>
      <c r="BT3" s="126" t="s">
        <v>22</v>
      </c>
      <c r="BU3" s="126" t="s">
        <v>23</v>
      </c>
      <c r="BV3" s="126" t="s">
        <v>99</v>
      </c>
      <c r="BW3" s="125" t="s">
        <v>22</v>
      </c>
      <c r="BX3" s="125" t="s">
        <v>23</v>
      </c>
      <c r="BY3" s="125" t="s">
        <v>99</v>
      </c>
      <c r="BZ3" s="125" t="s">
        <v>22</v>
      </c>
      <c r="CA3" s="125" t="s">
        <v>23</v>
      </c>
      <c r="CB3" s="126" t="s">
        <v>99</v>
      </c>
      <c r="CC3" s="126" t="s">
        <v>74</v>
      </c>
      <c r="CD3" s="126" t="s">
        <v>106</v>
      </c>
      <c r="CE3" s="126" t="s">
        <v>107</v>
      </c>
      <c r="CF3" s="126" t="s">
        <v>22</v>
      </c>
      <c r="CG3" s="126" t="s">
        <v>23</v>
      </c>
      <c r="CH3" s="126" t="s">
        <v>99</v>
      </c>
      <c r="CI3" s="126" t="s">
        <v>106</v>
      </c>
      <c r="CJ3" s="126" t="s">
        <v>107</v>
      </c>
      <c r="CK3" s="126" t="s">
        <v>22</v>
      </c>
      <c r="CL3" s="126" t="s">
        <v>23</v>
      </c>
      <c r="CM3" s="126" t="s">
        <v>99</v>
      </c>
      <c r="CN3" s="126" t="s">
        <v>22</v>
      </c>
      <c r="CO3" s="126" t="s">
        <v>23</v>
      </c>
      <c r="CP3" s="126" t="s">
        <v>99</v>
      </c>
      <c r="CQ3" s="126" t="s">
        <v>22</v>
      </c>
      <c r="CR3" s="126" t="s">
        <v>23</v>
      </c>
      <c r="CS3" s="126" t="s">
        <v>99</v>
      </c>
      <c r="CT3" s="126" t="s">
        <v>22</v>
      </c>
      <c r="CU3" s="126" t="s">
        <v>23</v>
      </c>
      <c r="CV3" s="126" t="s">
        <v>99</v>
      </c>
      <c r="CW3" s="125" t="s">
        <v>22</v>
      </c>
      <c r="CX3" s="125" t="s">
        <v>23</v>
      </c>
      <c r="CY3" s="125" t="s">
        <v>99</v>
      </c>
      <c r="CZ3" s="125" t="s">
        <v>108</v>
      </c>
      <c r="DA3" s="125" t="s">
        <v>109</v>
      </c>
      <c r="DB3" s="126" t="s">
        <v>110</v>
      </c>
      <c r="DC3" s="126" t="s">
        <v>111</v>
      </c>
      <c r="DD3" s="125" t="s">
        <v>112</v>
      </c>
      <c r="DE3" s="125" t="s">
        <v>113</v>
      </c>
      <c r="DF3" s="125" t="s">
        <v>22</v>
      </c>
      <c r="DG3" s="125" t="s">
        <v>23</v>
      </c>
      <c r="DH3" s="125" t="s">
        <v>99</v>
      </c>
      <c r="DI3" s="125" t="s">
        <v>108</v>
      </c>
      <c r="DJ3" s="125" t="s">
        <v>109</v>
      </c>
      <c r="DK3" s="126" t="s">
        <v>110</v>
      </c>
      <c r="DL3" s="126" t="s">
        <v>111</v>
      </c>
      <c r="DM3" s="125" t="s">
        <v>112</v>
      </c>
      <c r="DN3" s="125" t="s">
        <v>113</v>
      </c>
      <c r="DO3" s="125" t="s">
        <v>22</v>
      </c>
      <c r="DP3" s="125" t="s">
        <v>23</v>
      </c>
      <c r="DQ3" s="125" t="s">
        <v>99</v>
      </c>
      <c r="DR3" s="125" t="s">
        <v>22</v>
      </c>
      <c r="DS3" s="125" t="s">
        <v>23</v>
      </c>
      <c r="DT3" s="125" t="s">
        <v>99</v>
      </c>
    </row>
    <row r="4" spans="1:129" s="116" customFormat="1" ht="141.75">
      <c r="A4" s="127" t="s">
        <v>11</v>
      </c>
      <c r="B4" s="128" t="s">
        <v>114</v>
      </c>
      <c r="C4" s="128" t="s">
        <v>115</v>
      </c>
      <c r="D4" s="128" t="s">
        <v>116</v>
      </c>
      <c r="E4" s="128" t="s">
        <v>117</v>
      </c>
      <c r="F4" s="128" t="s">
        <v>118</v>
      </c>
      <c r="G4" s="128" t="s">
        <v>118</v>
      </c>
      <c r="H4" s="128" t="s">
        <v>118</v>
      </c>
      <c r="I4" s="128" t="s">
        <v>119</v>
      </c>
      <c r="J4" s="128" t="s">
        <v>119</v>
      </c>
      <c r="K4" s="128" t="s">
        <v>119</v>
      </c>
      <c r="L4" s="128" t="s">
        <v>120</v>
      </c>
      <c r="M4" s="128" t="s">
        <v>120</v>
      </c>
      <c r="N4" s="128" t="s">
        <v>120</v>
      </c>
      <c r="O4" s="128" t="s">
        <v>121</v>
      </c>
      <c r="P4" s="128" t="s">
        <v>121</v>
      </c>
      <c r="Q4" s="128" t="s">
        <v>121</v>
      </c>
      <c r="R4" s="128" t="s">
        <v>122</v>
      </c>
      <c r="S4" s="128" t="s">
        <v>122</v>
      </c>
      <c r="T4" s="128" t="s">
        <v>122</v>
      </c>
      <c r="U4" s="128" t="s">
        <v>123</v>
      </c>
      <c r="V4" s="128" t="s">
        <v>123</v>
      </c>
      <c r="W4" s="128" t="s">
        <v>123</v>
      </c>
      <c r="X4" s="128" t="s">
        <v>124</v>
      </c>
      <c r="Y4" s="128" t="s">
        <v>124</v>
      </c>
      <c r="Z4" s="128" t="s">
        <v>124</v>
      </c>
      <c r="AA4" s="128" t="s">
        <v>125</v>
      </c>
      <c r="AB4" s="128" t="s">
        <v>125</v>
      </c>
      <c r="AC4" s="128" t="s">
        <v>125</v>
      </c>
      <c r="AD4" s="128" t="s">
        <v>126</v>
      </c>
      <c r="AE4" s="128" t="s">
        <v>126</v>
      </c>
      <c r="AF4" s="128" t="s">
        <v>126</v>
      </c>
      <c r="AG4" s="128" t="s">
        <v>127</v>
      </c>
      <c r="AH4" s="128" t="s">
        <v>127</v>
      </c>
      <c r="AI4" s="128" t="s">
        <v>127</v>
      </c>
      <c r="AJ4" s="128" t="s">
        <v>128</v>
      </c>
      <c r="AK4" s="128" t="s">
        <v>128</v>
      </c>
      <c r="AL4" s="128" t="s">
        <v>128</v>
      </c>
      <c r="AM4" s="128" t="s">
        <v>129</v>
      </c>
      <c r="AN4" s="128" t="s">
        <v>129</v>
      </c>
      <c r="AO4" s="128" t="s">
        <v>129</v>
      </c>
      <c r="AP4" s="128" t="s">
        <v>130</v>
      </c>
      <c r="AQ4" s="128" t="s">
        <v>130</v>
      </c>
      <c r="AR4" s="128" t="s">
        <v>130</v>
      </c>
      <c r="AS4" s="128" t="s">
        <v>131</v>
      </c>
      <c r="AT4" s="128" t="s">
        <v>131</v>
      </c>
      <c r="AU4" s="128" t="s">
        <v>131</v>
      </c>
      <c r="AV4" s="128" t="s">
        <v>132</v>
      </c>
      <c r="AW4" s="128" t="s">
        <v>132</v>
      </c>
      <c r="AX4" s="128" t="s">
        <v>132</v>
      </c>
      <c r="AY4" s="128" t="s">
        <v>133</v>
      </c>
      <c r="AZ4" s="128" t="s">
        <v>133</v>
      </c>
      <c r="BA4" s="128" t="s">
        <v>133</v>
      </c>
      <c r="BB4" s="128" t="s">
        <v>134</v>
      </c>
      <c r="BC4" s="128" t="s">
        <v>134</v>
      </c>
      <c r="BD4" s="128" t="s">
        <v>134</v>
      </c>
      <c r="BE4" s="128" t="s">
        <v>134</v>
      </c>
      <c r="BF4" s="128" t="s">
        <v>134</v>
      </c>
      <c r="BG4" s="128" t="s">
        <v>134</v>
      </c>
      <c r="BH4" s="128" t="s">
        <v>134</v>
      </c>
      <c r="BI4" s="128" t="s">
        <v>134</v>
      </c>
      <c r="BJ4" s="128" t="s">
        <v>134</v>
      </c>
      <c r="BK4" s="128" t="s">
        <v>135</v>
      </c>
      <c r="BL4" s="128" t="s">
        <v>135</v>
      </c>
      <c r="BM4" s="128" t="s">
        <v>135</v>
      </c>
      <c r="BN4" s="128" t="s">
        <v>136</v>
      </c>
      <c r="BO4" s="128" t="s">
        <v>136</v>
      </c>
      <c r="BP4" s="128" t="s">
        <v>136</v>
      </c>
      <c r="BQ4" s="128" t="s">
        <v>137</v>
      </c>
      <c r="BR4" s="128" t="s">
        <v>137</v>
      </c>
      <c r="BS4" s="128" t="s">
        <v>137</v>
      </c>
      <c r="BT4" s="128" t="s">
        <v>138</v>
      </c>
      <c r="BU4" s="128" t="s">
        <v>138</v>
      </c>
      <c r="BV4" s="128" t="s">
        <v>138</v>
      </c>
      <c r="BW4" s="128" t="s">
        <v>139</v>
      </c>
      <c r="BX4" s="128" t="s">
        <v>139</v>
      </c>
      <c r="BY4" s="128" t="s">
        <v>139</v>
      </c>
      <c r="BZ4" s="128" t="s">
        <v>140</v>
      </c>
      <c r="CA4" s="128" t="s">
        <v>140</v>
      </c>
      <c r="CB4" s="128" t="s">
        <v>140</v>
      </c>
      <c r="CC4" s="128" t="s">
        <v>141</v>
      </c>
      <c r="CD4" s="128" t="s">
        <v>142</v>
      </c>
      <c r="CE4" s="128" t="s">
        <v>142</v>
      </c>
      <c r="CF4" s="128" t="s">
        <v>142</v>
      </c>
      <c r="CG4" s="128" t="s">
        <v>142</v>
      </c>
      <c r="CH4" s="128" t="s">
        <v>142</v>
      </c>
      <c r="CI4" s="128" t="s">
        <v>143</v>
      </c>
      <c r="CJ4" s="128" t="s">
        <v>143</v>
      </c>
      <c r="CK4" s="128" t="s">
        <v>143</v>
      </c>
      <c r="CL4" s="128" t="s">
        <v>143</v>
      </c>
      <c r="CM4" s="128" t="s">
        <v>143</v>
      </c>
      <c r="CN4" s="128" t="s">
        <v>144</v>
      </c>
      <c r="CO4" s="128" t="s">
        <v>144</v>
      </c>
      <c r="CP4" s="128" t="s">
        <v>144</v>
      </c>
      <c r="CQ4" s="128" t="s">
        <v>145</v>
      </c>
      <c r="CR4" s="128" t="s">
        <v>145</v>
      </c>
      <c r="CS4" s="128" t="s">
        <v>145</v>
      </c>
      <c r="CT4" s="128" t="s">
        <v>146</v>
      </c>
      <c r="CU4" s="128" t="s">
        <v>146</v>
      </c>
      <c r="CV4" s="128" t="s">
        <v>146</v>
      </c>
      <c r="CW4" s="128" t="s">
        <v>147</v>
      </c>
      <c r="CX4" s="128" t="s">
        <v>147</v>
      </c>
      <c r="CY4" s="128" t="s">
        <v>147</v>
      </c>
      <c r="CZ4" s="128" t="s">
        <v>148</v>
      </c>
      <c r="DA4" s="128" t="s">
        <v>148</v>
      </c>
      <c r="DB4" s="128" t="s">
        <v>148</v>
      </c>
      <c r="DC4" s="128" t="s">
        <v>148</v>
      </c>
      <c r="DD4" s="128" t="s">
        <v>148</v>
      </c>
      <c r="DE4" s="128" t="s">
        <v>148</v>
      </c>
      <c r="DF4" s="128" t="s">
        <v>148</v>
      </c>
      <c r="DG4" s="128" t="s">
        <v>148</v>
      </c>
      <c r="DH4" s="128" t="s">
        <v>148</v>
      </c>
      <c r="DI4" s="128" t="s">
        <v>149</v>
      </c>
      <c r="DJ4" s="128" t="s">
        <v>149</v>
      </c>
      <c r="DK4" s="128" t="s">
        <v>149</v>
      </c>
      <c r="DL4" s="128" t="s">
        <v>149</v>
      </c>
      <c r="DM4" s="128" t="s">
        <v>149</v>
      </c>
      <c r="DN4" s="128" t="s">
        <v>149</v>
      </c>
      <c r="DO4" s="128" t="s">
        <v>149</v>
      </c>
      <c r="DP4" s="128" t="s">
        <v>149</v>
      </c>
      <c r="DQ4" s="128" t="s">
        <v>149</v>
      </c>
      <c r="DR4" s="128" t="s">
        <v>150</v>
      </c>
      <c r="DS4" s="128" t="s">
        <v>150</v>
      </c>
      <c r="DT4" s="128" t="s">
        <v>150</v>
      </c>
    </row>
    <row r="5" spans="1:129" s="131" customFormat="1">
      <c r="A5" s="129" t="s">
        <v>151</v>
      </c>
      <c r="B5" s="130" t="s">
        <v>152</v>
      </c>
      <c r="C5" s="130" t="s">
        <v>153</v>
      </c>
      <c r="D5" s="130" t="s">
        <v>154</v>
      </c>
      <c r="E5" s="130" t="s">
        <v>155</v>
      </c>
      <c r="F5" s="130" t="s">
        <v>156</v>
      </c>
      <c r="G5" s="130" t="s">
        <v>157</v>
      </c>
      <c r="H5" s="130" t="s">
        <v>158</v>
      </c>
      <c r="I5" s="130" t="s">
        <v>159</v>
      </c>
      <c r="J5" s="130" t="s">
        <v>160</v>
      </c>
      <c r="K5" s="130" t="s">
        <v>161</v>
      </c>
      <c r="L5" s="130" t="s">
        <v>162</v>
      </c>
      <c r="M5" s="130" t="s">
        <v>163</v>
      </c>
      <c r="N5" s="130" t="s">
        <v>164</v>
      </c>
      <c r="O5" s="130" t="s">
        <v>165</v>
      </c>
      <c r="P5" s="130" t="s">
        <v>166</v>
      </c>
      <c r="Q5" s="130" t="s">
        <v>167</v>
      </c>
      <c r="R5" s="130" t="s">
        <v>168</v>
      </c>
      <c r="S5" s="130" t="s">
        <v>169</v>
      </c>
      <c r="T5" s="130" t="s">
        <v>170</v>
      </c>
      <c r="U5" s="130" t="s">
        <v>171</v>
      </c>
      <c r="V5" s="130" t="s">
        <v>172</v>
      </c>
      <c r="W5" s="130" t="s">
        <v>173</v>
      </c>
      <c r="X5" s="130" t="s">
        <v>174</v>
      </c>
      <c r="Y5" s="130" t="s">
        <v>175</v>
      </c>
      <c r="Z5" s="130" t="s">
        <v>176</v>
      </c>
      <c r="AA5" s="130" t="s">
        <v>177</v>
      </c>
      <c r="AB5" s="130" t="s">
        <v>178</v>
      </c>
      <c r="AC5" s="130" t="s">
        <v>179</v>
      </c>
      <c r="AD5" s="130" t="s">
        <v>180</v>
      </c>
      <c r="AE5" s="130" t="s">
        <v>181</v>
      </c>
      <c r="AF5" s="130" t="s">
        <v>182</v>
      </c>
      <c r="AG5" s="130" t="s">
        <v>183</v>
      </c>
      <c r="AH5" s="130" t="s">
        <v>184</v>
      </c>
      <c r="AI5" s="130" t="s">
        <v>185</v>
      </c>
      <c r="AJ5" s="130" t="s">
        <v>186</v>
      </c>
      <c r="AK5" s="130" t="s">
        <v>187</v>
      </c>
      <c r="AL5" s="130" t="s">
        <v>188</v>
      </c>
      <c r="AM5" s="130" t="s">
        <v>189</v>
      </c>
      <c r="AN5" s="130" t="s">
        <v>190</v>
      </c>
      <c r="AO5" s="130" t="s">
        <v>191</v>
      </c>
      <c r="AP5" s="130" t="s">
        <v>192</v>
      </c>
      <c r="AQ5" s="130" t="s">
        <v>193</v>
      </c>
      <c r="AR5" s="130" t="s">
        <v>194</v>
      </c>
      <c r="AS5" s="130" t="s">
        <v>195</v>
      </c>
      <c r="AT5" s="130" t="s">
        <v>196</v>
      </c>
      <c r="AU5" s="130" t="s">
        <v>197</v>
      </c>
      <c r="AV5" s="130" t="s">
        <v>198</v>
      </c>
      <c r="AW5" s="130" t="s">
        <v>199</v>
      </c>
      <c r="AX5" s="130" t="s">
        <v>200</v>
      </c>
      <c r="AY5" s="130" t="s">
        <v>201</v>
      </c>
      <c r="AZ5" s="130" t="s">
        <v>202</v>
      </c>
      <c r="BA5" s="130" t="s">
        <v>203</v>
      </c>
      <c r="BB5" s="130" t="s">
        <v>204</v>
      </c>
      <c r="BC5" s="130" t="s">
        <v>205</v>
      </c>
      <c r="BD5" s="130" t="s">
        <v>206</v>
      </c>
      <c r="BE5" s="130" t="s">
        <v>207</v>
      </c>
      <c r="BF5" s="130" t="s">
        <v>208</v>
      </c>
      <c r="BG5" s="130" t="s">
        <v>209</v>
      </c>
      <c r="BH5" s="130" t="s">
        <v>210</v>
      </c>
      <c r="BI5" s="130" t="s">
        <v>211</v>
      </c>
      <c r="BJ5" s="130" t="s">
        <v>212</v>
      </c>
      <c r="BK5" s="130" t="s">
        <v>213</v>
      </c>
      <c r="BL5" s="130" t="s">
        <v>214</v>
      </c>
      <c r="BM5" s="130" t="s">
        <v>215</v>
      </c>
      <c r="BN5" s="130" t="s">
        <v>216</v>
      </c>
      <c r="BO5" s="130" t="s">
        <v>217</v>
      </c>
      <c r="BP5" s="130" t="s">
        <v>218</v>
      </c>
      <c r="BQ5" s="130" t="s">
        <v>219</v>
      </c>
      <c r="BR5" s="130" t="s">
        <v>220</v>
      </c>
      <c r="BS5" s="130" t="s">
        <v>221</v>
      </c>
      <c r="BT5" s="130" t="s">
        <v>222</v>
      </c>
      <c r="BU5" s="130" t="s">
        <v>223</v>
      </c>
      <c r="BV5" s="130" t="s">
        <v>224</v>
      </c>
      <c r="BW5" s="130" t="s">
        <v>225</v>
      </c>
      <c r="BX5" s="130" t="s">
        <v>226</v>
      </c>
      <c r="BY5" s="130" t="s">
        <v>227</v>
      </c>
      <c r="BZ5" s="130" t="s">
        <v>228</v>
      </c>
      <c r="CA5" s="130" t="s">
        <v>229</v>
      </c>
      <c r="CB5" s="130" t="s">
        <v>230</v>
      </c>
      <c r="CC5" s="130" t="s">
        <v>231</v>
      </c>
      <c r="CD5" s="130" t="s">
        <v>232</v>
      </c>
      <c r="CE5" s="130" t="s">
        <v>233</v>
      </c>
      <c r="CF5" s="130" t="s">
        <v>234</v>
      </c>
      <c r="CG5" s="130" t="s">
        <v>235</v>
      </c>
      <c r="CH5" s="130" t="s">
        <v>236</v>
      </c>
      <c r="CI5" s="130" t="s">
        <v>237</v>
      </c>
      <c r="CJ5" s="130" t="s">
        <v>238</v>
      </c>
      <c r="CK5" s="130" t="s">
        <v>239</v>
      </c>
      <c r="CL5" s="130" t="s">
        <v>240</v>
      </c>
      <c r="CM5" s="130" t="s">
        <v>241</v>
      </c>
      <c r="CN5" s="130" t="s">
        <v>242</v>
      </c>
      <c r="CO5" s="130" t="s">
        <v>243</v>
      </c>
      <c r="CP5" s="130" t="s">
        <v>244</v>
      </c>
      <c r="CQ5" s="130" t="s">
        <v>245</v>
      </c>
      <c r="CR5" s="130" t="s">
        <v>246</v>
      </c>
      <c r="CS5" s="130" t="s">
        <v>247</v>
      </c>
      <c r="CT5" s="130" t="s">
        <v>248</v>
      </c>
      <c r="CU5" s="130" t="s">
        <v>249</v>
      </c>
      <c r="CV5" s="130" t="s">
        <v>250</v>
      </c>
      <c r="CW5" s="130" t="s">
        <v>251</v>
      </c>
      <c r="CX5" s="130" t="s">
        <v>252</v>
      </c>
      <c r="CY5" s="130" t="s">
        <v>253</v>
      </c>
      <c r="CZ5" s="130" t="s">
        <v>254</v>
      </c>
      <c r="DA5" s="130" t="s">
        <v>255</v>
      </c>
      <c r="DB5" s="130" t="s">
        <v>256</v>
      </c>
      <c r="DC5" s="130" t="s">
        <v>257</v>
      </c>
      <c r="DD5" s="130" t="s">
        <v>258</v>
      </c>
      <c r="DE5" s="130" t="s">
        <v>259</v>
      </c>
      <c r="DF5" s="130" t="s">
        <v>260</v>
      </c>
      <c r="DG5" s="130" t="s">
        <v>261</v>
      </c>
      <c r="DH5" s="130" t="s">
        <v>262</v>
      </c>
      <c r="DI5" s="130" t="s">
        <v>263</v>
      </c>
      <c r="DJ5" s="130" t="s">
        <v>264</v>
      </c>
      <c r="DK5" s="130" t="s">
        <v>265</v>
      </c>
      <c r="DL5" s="130" t="s">
        <v>266</v>
      </c>
      <c r="DM5" s="130" t="s">
        <v>267</v>
      </c>
      <c r="DN5" s="130" t="s">
        <v>268</v>
      </c>
      <c r="DO5" s="130" t="s">
        <v>269</v>
      </c>
      <c r="DP5" s="130" t="s">
        <v>270</v>
      </c>
      <c r="DQ5" s="130" t="s">
        <v>271</v>
      </c>
      <c r="DR5" s="130" t="s">
        <v>272</v>
      </c>
      <c r="DS5" s="130" t="s">
        <v>273</v>
      </c>
      <c r="DT5" s="130" t="s">
        <v>274</v>
      </c>
      <c r="DU5" s="116"/>
      <c r="DW5" s="132"/>
    </row>
    <row r="6" spans="1:129" ht="15.75">
      <c r="A6" s="133" t="s">
        <v>275</v>
      </c>
      <c r="B6" s="134" t="s">
        <v>335</v>
      </c>
      <c r="C6" s="134" t="s">
        <v>335</v>
      </c>
      <c r="D6" s="134" t="s">
        <v>335</v>
      </c>
      <c r="E6" s="134" t="s">
        <v>335</v>
      </c>
      <c r="F6" s="134" t="s">
        <v>335</v>
      </c>
      <c r="G6" s="134" t="s">
        <v>335</v>
      </c>
      <c r="H6" s="134" t="s">
        <v>335</v>
      </c>
      <c r="I6" s="134" t="s">
        <v>335</v>
      </c>
      <c r="J6" s="134" t="s">
        <v>335</v>
      </c>
      <c r="K6" s="134" t="s">
        <v>335</v>
      </c>
      <c r="L6" s="134" t="s">
        <v>335</v>
      </c>
      <c r="M6" s="134" t="s">
        <v>335</v>
      </c>
      <c r="N6" s="134" t="s">
        <v>335</v>
      </c>
      <c r="O6" s="134" t="s">
        <v>335</v>
      </c>
      <c r="P6" s="134" t="s">
        <v>335</v>
      </c>
      <c r="Q6" s="134" t="s">
        <v>335</v>
      </c>
      <c r="R6" s="134" t="s">
        <v>335</v>
      </c>
      <c r="S6" s="134" t="s">
        <v>335</v>
      </c>
      <c r="T6" s="134" t="s">
        <v>335</v>
      </c>
      <c r="U6" s="134" t="s">
        <v>335</v>
      </c>
      <c r="V6" s="134" t="s">
        <v>335</v>
      </c>
      <c r="W6" s="134" t="s">
        <v>335</v>
      </c>
      <c r="X6" s="134" t="s">
        <v>335</v>
      </c>
      <c r="Y6" s="134" t="s">
        <v>335</v>
      </c>
      <c r="Z6" s="134" t="s">
        <v>335</v>
      </c>
      <c r="AA6" s="134" t="s">
        <v>335</v>
      </c>
      <c r="AB6" s="134" t="s">
        <v>335</v>
      </c>
      <c r="AC6" s="134" t="s">
        <v>335</v>
      </c>
      <c r="AD6" s="134" t="s">
        <v>335</v>
      </c>
      <c r="AE6" s="134" t="s">
        <v>335</v>
      </c>
      <c r="AF6" s="134" t="s">
        <v>335</v>
      </c>
      <c r="AG6" s="134" t="s">
        <v>335</v>
      </c>
      <c r="AH6" s="134" t="s">
        <v>335</v>
      </c>
      <c r="AI6" s="134" t="s">
        <v>335</v>
      </c>
      <c r="AJ6" s="134" t="s">
        <v>335</v>
      </c>
      <c r="AK6" s="134" t="s">
        <v>335</v>
      </c>
      <c r="AL6" s="134" t="s">
        <v>335</v>
      </c>
      <c r="AM6" s="134" t="s">
        <v>335</v>
      </c>
      <c r="AN6" s="134" t="s">
        <v>335</v>
      </c>
      <c r="AO6" s="134" t="s">
        <v>335</v>
      </c>
      <c r="AP6" s="134" t="s">
        <v>335</v>
      </c>
      <c r="AQ6" s="134" t="s">
        <v>335</v>
      </c>
      <c r="AR6" s="134" t="s">
        <v>335</v>
      </c>
      <c r="AS6" s="134" t="s">
        <v>335</v>
      </c>
      <c r="AT6" s="134" t="s">
        <v>335</v>
      </c>
      <c r="AU6" s="134" t="s">
        <v>335</v>
      </c>
      <c r="AV6" s="134" t="s">
        <v>335</v>
      </c>
      <c r="AW6" s="134" t="s">
        <v>335</v>
      </c>
      <c r="AX6" s="134" t="s">
        <v>335</v>
      </c>
      <c r="AY6" s="134" t="s">
        <v>335</v>
      </c>
      <c r="AZ6" s="134" t="s">
        <v>335</v>
      </c>
      <c r="BA6" s="134" t="s">
        <v>335</v>
      </c>
      <c r="BB6" s="134" t="s">
        <v>335</v>
      </c>
      <c r="BC6" s="134" t="s">
        <v>335</v>
      </c>
      <c r="BD6" s="134" t="s">
        <v>335</v>
      </c>
      <c r="BE6" s="134" t="s">
        <v>335</v>
      </c>
      <c r="BF6" s="134" t="s">
        <v>335</v>
      </c>
      <c r="BG6" s="134" t="s">
        <v>335</v>
      </c>
      <c r="BH6" s="134" t="s">
        <v>335</v>
      </c>
      <c r="BI6" s="134" t="s">
        <v>335</v>
      </c>
      <c r="BJ6" s="134" t="s">
        <v>335</v>
      </c>
      <c r="BK6" s="134" t="s">
        <v>335</v>
      </c>
      <c r="BL6" s="134" t="s">
        <v>335</v>
      </c>
      <c r="BM6" s="134" t="s">
        <v>335</v>
      </c>
      <c r="BN6" s="134" t="s">
        <v>335</v>
      </c>
      <c r="BO6" s="134" t="s">
        <v>335</v>
      </c>
      <c r="BP6" s="134" t="s">
        <v>335</v>
      </c>
      <c r="BQ6" s="134" t="s">
        <v>335</v>
      </c>
      <c r="BR6" s="134" t="s">
        <v>335</v>
      </c>
      <c r="BS6" s="134" t="s">
        <v>335</v>
      </c>
      <c r="BT6" s="134" t="s">
        <v>335</v>
      </c>
      <c r="BU6" s="134" t="s">
        <v>335</v>
      </c>
      <c r="BV6" s="134" t="s">
        <v>335</v>
      </c>
      <c r="BW6" s="134" t="s">
        <v>335</v>
      </c>
      <c r="BX6" s="134" t="s">
        <v>335</v>
      </c>
      <c r="BY6" s="134" t="s">
        <v>335</v>
      </c>
      <c r="BZ6" s="134" t="s">
        <v>335</v>
      </c>
      <c r="CA6" s="134" t="s">
        <v>335</v>
      </c>
      <c r="CB6" s="134" t="s">
        <v>335</v>
      </c>
      <c r="CC6" s="134" t="s">
        <v>335</v>
      </c>
      <c r="CD6" s="134" t="s">
        <v>335</v>
      </c>
      <c r="CE6" s="134" t="s">
        <v>335</v>
      </c>
      <c r="CF6" s="134" t="s">
        <v>335</v>
      </c>
      <c r="CG6" s="134" t="s">
        <v>335</v>
      </c>
      <c r="CH6" s="134" t="s">
        <v>335</v>
      </c>
      <c r="CI6" s="134" t="s">
        <v>335</v>
      </c>
      <c r="CJ6" s="134" t="s">
        <v>335</v>
      </c>
      <c r="CK6" s="134" t="s">
        <v>335</v>
      </c>
      <c r="CL6" s="134" t="s">
        <v>335</v>
      </c>
      <c r="CM6" s="134" t="s">
        <v>335</v>
      </c>
      <c r="CN6" s="134" t="s">
        <v>335</v>
      </c>
      <c r="CO6" s="134" t="s">
        <v>335</v>
      </c>
      <c r="CP6" s="134" t="s">
        <v>335</v>
      </c>
      <c r="CQ6" s="134" t="s">
        <v>335</v>
      </c>
      <c r="CR6" s="134" t="s">
        <v>335</v>
      </c>
      <c r="CS6" s="134" t="s">
        <v>335</v>
      </c>
      <c r="CT6" s="134" t="s">
        <v>335</v>
      </c>
      <c r="CU6" s="134" t="s">
        <v>335</v>
      </c>
      <c r="CV6" s="134" t="s">
        <v>335</v>
      </c>
      <c r="CW6" s="134" t="s">
        <v>335</v>
      </c>
      <c r="CX6" s="134" t="s">
        <v>335</v>
      </c>
      <c r="CY6" s="134" t="s">
        <v>335</v>
      </c>
      <c r="CZ6" s="134" t="s">
        <v>335</v>
      </c>
      <c r="DA6" s="134" t="s">
        <v>335</v>
      </c>
      <c r="DB6" s="134" t="s">
        <v>335</v>
      </c>
      <c r="DC6" s="134" t="s">
        <v>335</v>
      </c>
      <c r="DD6" s="134" t="s">
        <v>335</v>
      </c>
      <c r="DE6" s="134" t="s">
        <v>335</v>
      </c>
      <c r="DF6" s="134" t="s">
        <v>335</v>
      </c>
      <c r="DG6" s="134" t="s">
        <v>335</v>
      </c>
      <c r="DH6" s="134" t="s">
        <v>335</v>
      </c>
      <c r="DI6" s="134" t="s">
        <v>335</v>
      </c>
      <c r="DJ6" s="134" t="s">
        <v>335</v>
      </c>
      <c r="DK6" s="134" t="s">
        <v>335</v>
      </c>
      <c r="DL6" s="134" t="s">
        <v>335</v>
      </c>
      <c r="DM6" s="134" t="s">
        <v>335</v>
      </c>
      <c r="DN6" s="134" t="s">
        <v>335</v>
      </c>
      <c r="DO6" s="134" t="s">
        <v>335</v>
      </c>
      <c r="DP6" s="134" t="s">
        <v>335</v>
      </c>
      <c r="DQ6" s="134" t="s">
        <v>335</v>
      </c>
      <c r="DR6" s="134" t="s">
        <v>335</v>
      </c>
      <c r="DS6" s="134" t="s">
        <v>335</v>
      </c>
      <c r="DT6" s="135" t="s">
        <v>335</v>
      </c>
    </row>
    <row r="7" spans="1:129">
      <c r="A7" s="133" t="s">
        <v>276</v>
      </c>
      <c r="B7" s="134">
        <v>2</v>
      </c>
      <c r="C7" s="134">
        <v>0</v>
      </c>
      <c r="D7" s="134">
        <v>3</v>
      </c>
      <c r="E7" s="134">
        <v>3</v>
      </c>
      <c r="F7" s="134">
        <v>0</v>
      </c>
      <c r="G7" s="134">
        <v>0</v>
      </c>
      <c r="H7" s="134">
        <v>0</v>
      </c>
      <c r="I7" s="134">
        <v>0</v>
      </c>
      <c r="J7" s="134">
        <v>0</v>
      </c>
      <c r="K7" s="134">
        <v>0</v>
      </c>
      <c r="L7" s="134">
        <v>0</v>
      </c>
      <c r="M7" s="134">
        <v>0</v>
      </c>
      <c r="N7" s="134">
        <v>0</v>
      </c>
      <c r="O7" s="134">
        <v>0</v>
      </c>
      <c r="P7" s="134">
        <v>0</v>
      </c>
      <c r="Q7" s="134">
        <v>0</v>
      </c>
      <c r="R7" s="134">
        <v>0</v>
      </c>
      <c r="S7" s="134">
        <v>0</v>
      </c>
      <c r="T7" s="134">
        <v>0</v>
      </c>
      <c r="U7" s="134">
        <v>0</v>
      </c>
      <c r="V7" s="134">
        <v>0</v>
      </c>
      <c r="W7" s="134">
        <v>0</v>
      </c>
      <c r="X7" s="134">
        <v>0</v>
      </c>
      <c r="Y7" s="134">
        <v>3</v>
      </c>
      <c r="Z7" s="134">
        <v>3</v>
      </c>
      <c r="AA7" s="134">
        <v>0</v>
      </c>
      <c r="AB7" s="134">
        <v>3</v>
      </c>
      <c r="AC7" s="134">
        <v>3</v>
      </c>
      <c r="AD7" s="134">
        <v>0</v>
      </c>
      <c r="AE7" s="134">
        <v>3</v>
      </c>
      <c r="AF7" s="134">
        <v>3</v>
      </c>
      <c r="AG7" s="134">
        <v>0</v>
      </c>
      <c r="AH7" s="134">
        <v>0</v>
      </c>
      <c r="AI7" s="134">
        <v>0</v>
      </c>
      <c r="AJ7" s="134">
        <v>0</v>
      </c>
      <c r="AK7" s="134">
        <v>0</v>
      </c>
      <c r="AL7" s="134">
        <v>0</v>
      </c>
      <c r="AM7" s="134">
        <v>0</v>
      </c>
      <c r="AN7" s="134">
        <v>0</v>
      </c>
      <c r="AO7" s="134">
        <v>0</v>
      </c>
      <c r="AP7" s="134">
        <v>1</v>
      </c>
      <c r="AQ7" s="134">
        <v>72</v>
      </c>
      <c r="AR7" s="134">
        <v>73</v>
      </c>
      <c r="AS7" s="134">
        <v>1</v>
      </c>
      <c r="AT7" s="134">
        <v>72</v>
      </c>
      <c r="AU7" s="134">
        <v>73</v>
      </c>
      <c r="AV7" s="134">
        <v>0</v>
      </c>
      <c r="AW7" s="134">
        <v>0</v>
      </c>
      <c r="AX7" s="134">
        <v>0</v>
      </c>
      <c r="AY7" s="134">
        <v>0</v>
      </c>
      <c r="AZ7" s="134">
        <v>4</v>
      </c>
      <c r="BA7" s="134">
        <v>4</v>
      </c>
      <c r="BB7" s="134">
        <v>0</v>
      </c>
      <c r="BC7" s="134">
        <v>0</v>
      </c>
      <c r="BD7" s="134">
        <v>0</v>
      </c>
      <c r="BE7" s="134">
        <v>3</v>
      </c>
      <c r="BF7" s="134">
        <v>0</v>
      </c>
      <c r="BG7" s="134">
        <v>0</v>
      </c>
      <c r="BH7" s="134">
        <v>0</v>
      </c>
      <c r="BI7" s="134">
        <v>3</v>
      </c>
      <c r="BJ7" s="134">
        <v>3</v>
      </c>
      <c r="BK7" s="134">
        <v>0</v>
      </c>
      <c r="BL7" s="134">
        <v>0</v>
      </c>
      <c r="BM7" s="134">
        <v>0</v>
      </c>
      <c r="BN7" s="134">
        <v>0</v>
      </c>
      <c r="BO7" s="134">
        <v>0</v>
      </c>
      <c r="BP7" s="134">
        <v>0</v>
      </c>
      <c r="BQ7" s="134">
        <v>0</v>
      </c>
      <c r="BR7" s="134">
        <v>1</v>
      </c>
      <c r="BS7" s="134">
        <v>1</v>
      </c>
      <c r="BT7" s="134">
        <v>0</v>
      </c>
      <c r="BU7" s="134">
        <v>0</v>
      </c>
      <c r="BV7" s="134">
        <v>0</v>
      </c>
      <c r="BW7" s="134">
        <v>1</v>
      </c>
      <c r="BX7" s="134">
        <v>76</v>
      </c>
      <c r="BY7" s="134">
        <v>77</v>
      </c>
      <c r="BZ7" s="134">
        <v>1</v>
      </c>
      <c r="CA7" s="134">
        <v>76</v>
      </c>
      <c r="CB7" s="134">
        <v>77</v>
      </c>
      <c r="CC7" s="134">
        <v>139</v>
      </c>
      <c r="CD7" s="134">
        <v>0</v>
      </c>
      <c r="CE7" s="134">
        <v>0</v>
      </c>
      <c r="CF7" s="134">
        <v>0</v>
      </c>
      <c r="CG7" s="134">
        <v>0</v>
      </c>
      <c r="CH7" s="134">
        <v>0</v>
      </c>
      <c r="CI7" s="134">
        <v>0</v>
      </c>
      <c r="CJ7" s="134">
        <v>0</v>
      </c>
      <c r="CK7" s="134">
        <v>0</v>
      </c>
      <c r="CL7" s="134">
        <v>0</v>
      </c>
      <c r="CM7" s="134">
        <v>0</v>
      </c>
      <c r="CN7" s="134">
        <v>0</v>
      </c>
      <c r="CO7" s="134">
        <v>6</v>
      </c>
      <c r="CP7" s="134">
        <v>6</v>
      </c>
      <c r="CQ7" s="134">
        <v>0</v>
      </c>
      <c r="CR7" s="134">
        <v>0</v>
      </c>
      <c r="CS7" s="134">
        <v>0</v>
      </c>
      <c r="CT7" s="134">
        <v>1</v>
      </c>
      <c r="CU7" s="134">
        <v>70</v>
      </c>
      <c r="CV7" s="134">
        <v>71</v>
      </c>
      <c r="CW7" s="134">
        <v>0</v>
      </c>
      <c r="CX7" s="134">
        <v>2</v>
      </c>
      <c r="CY7" s="134">
        <v>2</v>
      </c>
      <c r="CZ7" s="134">
        <v>0</v>
      </c>
      <c r="DA7" s="134">
        <v>0</v>
      </c>
      <c r="DB7" s="134">
        <v>0</v>
      </c>
      <c r="DC7" s="134">
        <v>2</v>
      </c>
      <c r="DD7" s="134">
        <v>0</v>
      </c>
      <c r="DE7" s="134">
        <v>0</v>
      </c>
      <c r="DF7" s="134">
        <v>0</v>
      </c>
      <c r="DG7" s="134">
        <v>2</v>
      </c>
      <c r="DH7" s="134">
        <v>2</v>
      </c>
      <c r="DI7" s="134">
        <v>0</v>
      </c>
      <c r="DJ7" s="134">
        <v>0</v>
      </c>
      <c r="DK7" s="134">
        <v>0</v>
      </c>
      <c r="DL7" s="134">
        <v>0</v>
      </c>
      <c r="DM7" s="134">
        <v>0</v>
      </c>
      <c r="DN7" s="134">
        <v>0</v>
      </c>
      <c r="DO7" s="134">
        <v>0</v>
      </c>
      <c r="DP7" s="134">
        <v>0</v>
      </c>
      <c r="DQ7" s="134">
        <v>0</v>
      </c>
      <c r="DR7" s="134">
        <v>0</v>
      </c>
      <c r="DS7" s="134">
        <v>0</v>
      </c>
      <c r="DT7" s="135">
        <v>0</v>
      </c>
    </row>
    <row r="8" spans="1:129">
      <c r="A8" s="133" t="s">
        <v>277</v>
      </c>
      <c r="B8" s="134">
        <v>122</v>
      </c>
      <c r="C8" s="134">
        <v>25</v>
      </c>
      <c r="D8" s="134">
        <v>135</v>
      </c>
      <c r="E8" s="134">
        <v>89</v>
      </c>
      <c r="F8" s="134">
        <v>0</v>
      </c>
      <c r="G8" s="134">
        <v>5</v>
      </c>
      <c r="H8" s="134">
        <v>5</v>
      </c>
      <c r="I8" s="134">
        <v>0</v>
      </c>
      <c r="J8" s="134">
        <v>38</v>
      </c>
      <c r="K8" s="134">
        <v>38</v>
      </c>
      <c r="L8" s="134">
        <v>0</v>
      </c>
      <c r="M8" s="134">
        <v>22</v>
      </c>
      <c r="N8" s="134">
        <v>22</v>
      </c>
      <c r="O8" s="134">
        <v>0</v>
      </c>
      <c r="P8" s="134">
        <v>16</v>
      </c>
      <c r="Q8" s="134">
        <v>16</v>
      </c>
      <c r="R8" s="134">
        <v>0</v>
      </c>
      <c r="S8" s="134">
        <v>1</v>
      </c>
      <c r="T8" s="134">
        <v>1</v>
      </c>
      <c r="U8" s="134">
        <v>0</v>
      </c>
      <c r="V8" s="134">
        <v>8</v>
      </c>
      <c r="W8" s="134">
        <v>8</v>
      </c>
      <c r="X8" s="134">
        <v>5</v>
      </c>
      <c r="Y8" s="134">
        <v>130</v>
      </c>
      <c r="Z8" s="134">
        <v>135</v>
      </c>
      <c r="AA8" s="134">
        <v>3</v>
      </c>
      <c r="AB8" s="134">
        <v>52</v>
      </c>
      <c r="AC8" s="134">
        <v>55</v>
      </c>
      <c r="AD8" s="134">
        <v>3</v>
      </c>
      <c r="AE8" s="134">
        <v>51</v>
      </c>
      <c r="AF8" s="134">
        <v>54</v>
      </c>
      <c r="AG8" s="134">
        <v>0</v>
      </c>
      <c r="AH8" s="134">
        <v>1</v>
      </c>
      <c r="AI8" s="134">
        <v>1</v>
      </c>
      <c r="AJ8" s="134">
        <v>0</v>
      </c>
      <c r="AK8" s="134">
        <v>0</v>
      </c>
      <c r="AL8" s="134">
        <v>0</v>
      </c>
      <c r="AM8" s="134">
        <v>2</v>
      </c>
      <c r="AN8" s="134">
        <v>78</v>
      </c>
      <c r="AO8" s="134">
        <v>80</v>
      </c>
      <c r="AP8" s="134">
        <v>108</v>
      </c>
      <c r="AQ8" s="134">
        <v>1440</v>
      </c>
      <c r="AR8" s="134">
        <v>1548</v>
      </c>
      <c r="AS8" s="134">
        <v>108</v>
      </c>
      <c r="AT8" s="134">
        <v>1440</v>
      </c>
      <c r="AU8" s="134">
        <v>1548</v>
      </c>
      <c r="AV8" s="134">
        <v>0</v>
      </c>
      <c r="AW8" s="134">
        <v>0</v>
      </c>
      <c r="AX8" s="134">
        <v>0</v>
      </c>
      <c r="AY8" s="134">
        <v>11</v>
      </c>
      <c r="AZ8" s="134">
        <v>120</v>
      </c>
      <c r="BA8" s="134">
        <v>131</v>
      </c>
      <c r="BB8" s="134">
        <v>4</v>
      </c>
      <c r="BC8" s="134">
        <v>0</v>
      </c>
      <c r="BD8" s="134">
        <v>0</v>
      </c>
      <c r="BE8" s="134">
        <v>85</v>
      </c>
      <c r="BF8" s="134">
        <v>0</v>
      </c>
      <c r="BG8" s="134">
        <v>0</v>
      </c>
      <c r="BH8" s="134">
        <v>4</v>
      </c>
      <c r="BI8" s="134">
        <v>85</v>
      </c>
      <c r="BJ8" s="134">
        <v>89</v>
      </c>
      <c r="BK8" s="134">
        <v>2</v>
      </c>
      <c r="BL8" s="134">
        <v>-2</v>
      </c>
      <c r="BM8" s="134">
        <v>0</v>
      </c>
      <c r="BN8" s="134">
        <v>0</v>
      </c>
      <c r="BO8" s="134">
        <v>9</v>
      </c>
      <c r="BP8" s="134">
        <v>9</v>
      </c>
      <c r="BQ8" s="134">
        <v>2</v>
      </c>
      <c r="BR8" s="134">
        <v>18</v>
      </c>
      <c r="BS8" s="134">
        <v>20</v>
      </c>
      <c r="BT8" s="134">
        <v>3</v>
      </c>
      <c r="BU8" s="134">
        <v>10</v>
      </c>
      <c r="BV8" s="134">
        <v>13</v>
      </c>
      <c r="BW8" s="134">
        <v>119</v>
      </c>
      <c r="BX8" s="134">
        <v>1560</v>
      </c>
      <c r="BY8" s="134">
        <v>1679</v>
      </c>
      <c r="BZ8" s="134">
        <v>119</v>
      </c>
      <c r="CA8" s="134">
        <v>1558</v>
      </c>
      <c r="CB8" s="134">
        <v>1677</v>
      </c>
      <c r="CC8" s="134">
        <v>3050</v>
      </c>
      <c r="CD8" s="134">
        <v>0</v>
      </c>
      <c r="CE8" s="134">
        <v>2</v>
      </c>
      <c r="CF8" s="134">
        <v>0</v>
      </c>
      <c r="CG8" s="134">
        <v>2</v>
      </c>
      <c r="CH8" s="134">
        <v>2</v>
      </c>
      <c r="CI8" s="134">
        <v>0</v>
      </c>
      <c r="CJ8" s="134">
        <v>0</v>
      </c>
      <c r="CK8" s="134">
        <v>0</v>
      </c>
      <c r="CL8" s="134">
        <v>0</v>
      </c>
      <c r="CM8" s="134">
        <v>0</v>
      </c>
      <c r="CN8" s="134">
        <v>11</v>
      </c>
      <c r="CO8" s="134">
        <v>116</v>
      </c>
      <c r="CP8" s="134">
        <v>127</v>
      </c>
      <c r="CQ8" s="134">
        <v>0</v>
      </c>
      <c r="CR8" s="134">
        <v>0</v>
      </c>
      <c r="CS8" s="134">
        <v>0</v>
      </c>
      <c r="CT8" s="134">
        <v>108</v>
      </c>
      <c r="CU8" s="134">
        <v>1444</v>
      </c>
      <c r="CV8" s="134">
        <v>1552</v>
      </c>
      <c r="CW8" s="134">
        <v>2</v>
      </c>
      <c r="CX8" s="134">
        <v>60</v>
      </c>
      <c r="CY8" s="134">
        <v>62</v>
      </c>
      <c r="CZ8" s="134">
        <v>2</v>
      </c>
      <c r="DA8" s="134">
        <v>0</v>
      </c>
      <c r="DB8" s="134">
        <v>0</v>
      </c>
      <c r="DC8" s="134">
        <v>60</v>
      </c>
      <c r="DD8" s="134">
        <v>0</v>
      </c>
      <c r="DE8" s="134">
        <v>0</v>
      </c>
      <c r="DF8" s="134">
        <v>2</v>
      </c>
      <c r="DG8" s="134">
        <v>60</v>
      </c>
      <c r="DH8" s="134">
        <v>62</v>
      </c>
      <c r="DI8" s="134">
        <v>0</v>
      </c>
      <c r="DJ8" s="134">
        <v>0</v>
      </c>
      <c r="DK8" s="134">
        <v>0</v>
      </c>
      <c r="DL8" s="134">
        <v>0</v>
      </c>
      <c r="DM8" s="134">
        <v>0</v>
      </c>
      <c r="DN8" s="134">
        <v>0</v>
      </c>
      <c r="DO8" s="134">
        <v>0</v>
      </c>
      <c r="DP8" s="134">
        <v>0</v>
      </c>
      <c r="DQ8" s="134">
        <v>0</v>
      </c>
      <c r="DR8" s="134">
        <v>0</v>
      </c>
      <c r="DS8" s="134">
        <v>0</v>
      </c>
      <c r="DT8" s="135">
        <v>0</v>
      </c>
    </row>
    <row r="9" spans="1:129">
      <c r="A9" s="133" t="s">
        <v>278</v>
      </c>
      <c r="B9" s="134">
        <v>1345</v>
      </c>
      <c r="C9" s="134">
        <v>486</v>
      </c>
      <c r="D9" s="134">
        <v>1252</v>
      </c>
      <c r="E9" s="134">
        <v>728</v>
      </c>
      <c r="F9" s="134">
        <v>2</v>
      </c>
      <c r="G9" s="134">
        <v>55</v>
      </c>
      <c r="H9" s="134">
        <v>57</v>
      </c>
      <c r="I9" s="134">
        <v>1</v>
      </c>
      <c r="J9" s="134">
        <v>449</v>
      </c>
      <c r="K9" s="134">
        <v>450</v>
      </c>
      <c r="L9" s="134">
        <v>1</v>
      </c>
      <c r="M9" s="134">
        <v>165</v>
      </c>
      <c r="N9" s="134">
        <v>166</v>
      </c>
      <c r="O9" s="134">
        <v>0</v>
      </c>
      <c r="P9" s="134">
        <v>284</v>
      </c>
      <c r="Q9" s="134">
        <v>284</v>
      </c>
      <c r="R9" s="134">
        <v>0</v>
      </c>
      <c r="S9" s="134">
        <v>20</v>
      </c>
      <c r="T9" s="134">
        <v>20</v>
      </c>
      <c r="U9" s="134">
        <v>0</v>
      </c>
      <c r="V9" s="134">
        <v>74</v>
      </c>
      <c r="W9" s="134">
        <v>74</v>
      </c>
      <c r="X9" s="134">
        <v>32</v>
      </c>
      <c r="Y9" s="134">
        <v>1220</v>
      </c>
      <c r="Z9" s="134">
        <v>1252</v>
      </c>
      <c r="AA9" s="134">
        <v>17</v>
      </c>
      <c r="AB9" s="134">
        <v>504</v>
      </c>
      <c r="AC9" s="134">
        <v>521</v>
      </c>
      <c r="AD9" s="134">
        <v>17</v>
      </c>
      <c r="AE9" s="134">
        <v>482</v>
      </c>
      <c r="AF9" s="134">
        <v>499</v>
      </c>
      <c r="AG9" s="134">
        <v>0</v>
      </c>
      <c r="AH9" s="134">
        <v>17</v>
      </c>
      <c r="AI9" s="134">
        <v>17</v>
      </c>
      <c r="AJ9" s="134">
        <v>0</v>
      </c>
      <c r="AK9" s="134">
        <v>5</v>
      </c>
      <c r="AL9" s="134">
        <v>5</v>
      </c>
      <c r="AM9" s="134">
        <v>15</v>
      </c>
      <c r="AN9" s="134">
        <v>716</v>
      </c>
      <c r="AO9" s="134">
        <v>731</v>
      </c>
      <c r="AP9" s="134">
        <v>1517</v>
      </c>
      <c r="AQ9" s="134">
        <v>14167</v>
      </c>
      <c r="AR9" s="134">
        <v>15684</v>
      </c>
      <c r="AS9" s="134">
        <v>1517</v>
      </c>
      <c r="AT9" s="134">
        <v>14168</v>
      </c>
      <c r="AU9" s="134">
        <v>15685</v>
      </c>
      <c r="AV9" s="134">
        <v>0</v>
      </c>
      <c r="AW9" s="134">
        <v>-1</v>
      </c>
      <c r="AX9" s="134">
        <v>-1</v>
      </c>
      <c r="AY9" s="134">
        <v>39</v>
      </c>
      <c r="AZ9" s="134">
        <v>1213</v>
      </c>
      <c r="BA9" s="134">
        <v>1252</v>
      </c>
      <c r="BB9" s="134">
        <v>32</v>
      </c>
      <c r="BC9" s="134">
        <v>1</v>
      </c>
      <c r="BD9" s="134">
        <v>0</v>
      </c>
      <c r="BE9" s="134">
        <v>691</v>
      </c>
      <c r="BF9" s="134">
        <v>1</v>
      </c>
      <c r="BG9" s="134">
        <v>3</v>
      </c>
      <c r="BH9" s="134">
        <v>33</v>
      </c>
      <c r="BI9" s="134">
        <v>695</v>
      </c>
      <c r="BJ9" s="134">
        <v>728</v>
      </c>
      <c r="BK9" s="134">
        <v>-49</v>
      </c>
      <c r="BL9" s="134">
        <v>49</v>
      </c>
      <c r="BM9" s="134">
        <v>0</v>
      </c>
      <c r="BN9" s="134">
        <v>10</v>
      </c>
      <c r="BO9" s="134">
        <v>51</v>
      </c>
      <c r="BP9" s="134">
        <v>61</v>
      </c>
      <c r="BQ9" s="134">
        <v>8</v>
      </c>
      <c r="BR9" s="134">
        <v>160</v>
      </c>
      <c r="BS9" s="134">
        <v>168</v>
      </c>
      <c r="BT9" s="134">
        <v>37</v>
      </c>
      <c r="BU9" s="134">
        <v>258</v>
      </c>
      <c r="BV9" s="134">
        <v>295</v>
      </c>
      <c r="BW9" s="134">
        <v>1556</v>
      </c>
      <c r="BX9" s="134">
        <v>15380</v>
      </c>
      <c r="BY9" s="134">
        <v>16936</v>
      </c>
      <c r="BZ9" s="134">
        <v>1548</v>
      </c>
      <c r="CA9" s="134">
        <v>15312</v>
      </c>
      <c r="CB9" s="134">
        <v>16860</v>
      </c>
      <c r="CC9" s="134">
        <v>31270</v>
      </c>
      <c r="CD9" s="134">
        <v>6</v>
      </c>
      <c r="CE9" s="134">
        <v>49</v>
      </c>
      <c r="CF9" s="134">
        <v>8</v>
      </c>
      <c r="CG9" s="134">
        <v>43</v>
      </c>
      <c r="CH9" s="134">
        <v>51</v>
      </c>
      <c r="CI9" s="134">
        <v>25</v>
      </c>
      <c r="CJ9" s="134">
        <v>4</v>
      </c>
      <c r="CK9" s="134">
        <v>0</v>
      </c>
      <c r="CL9" s="134">
        <v>25</v>
      </c>
      <c r="CM9" s="134">
        <v>25</v>
      </c>
      <c r="CN9" s="134">
        <v>101</v>
      </c>
      <c r="CO9" s="134">
        <v>1626</v>
      </c>
      <c r="CP9" s="134">
        <v>1727</v>
      </c>
      <c r="CQ9" s="134">
        <v>0</v>
      </c>
      <c r="CR9" s="134">
        <v>13</v>
      </c>
      <c r="CS9" s="134">
        <v>13</v>
      </c>
      <c r="CT9" s="134">
        <v>1455</v>
      </c>
      <c r="CU9" s="134">
        <v>13754</v>
      </c>
      <c r="CV9" s="134">
        <v>15209</v>
      </c>
      <c r="CW9" s="134">
        <v>93</v>
      </c>
      <c r="CX9" s="134">
        <v>597</v>
      </c>
      <c r="CY9" s="134">
        <v>690</v>
      </c>
      <c r="CZ9" s="134">
        <v>93</v>
      </c>
      <c r="DA9" s="134">
        <v>0</v>
      </c>
      <c r="DB9" s="134">
        <v>0</v>
      </c>
      <c r="DC9" s="134">
        <v>587</v>
      </c>
      <c r="DD9" s="134">
        <v>3</v>
      </c>
      <c r="DE9" s="134">
        <v>1</v>
      </c>
      <c r="DF9" s="134">
        <v>93</v>
      </c>
      <c r="DG9" s="134">
        <v>591</v>
      </c>
      <c r="DH9" s="134">
        <v>684</v>
      </c>
      <c r="DI9" s="134">
        <v>0</v>
      </c>
      <c r="DJ9" s="134">
        <v>0</v>
      </c>
      <c r="DK9" s="134">
        <v>0</v>
      </c>
      <c r="DL9" s="134">
        <v>6</v>
      </c>
      <c r="DM9" s="134">
        <v>0</v>
      </c>
      <c r="DN9" s="134">
        <v>0</v>
      </c>
      <c r="DO9" s="134">
        <v>0</v>
      </c>
      <c r="DP9" s="134">
        <v>6</v>
      </c>
      <c r="DQ9" s="134">
        <v>6</v>
      </c>
      <c r="DR9" s="134">
        <v>0</v>
      </c>
      <c r="DS9" s="134">
        <v>0</v>
      </c>
      <c r="DT9" s="135">
        <v>0</v>
      </c>
    </row>
    <row r="10" spans="1:129">
      <c r="A10" s="133" t="s">
        <v>279</v>
      </c>
      <c r="B10" s="134">
        <v>181</v>
      </c>
      <c r="C10" s="134">
        <v>30</v>
      </c>
      <c r="D10" s="134">
        <v>185</v>
      </c>
      <c r="E10" s="134">
        <v>131</v>
      </c>
      <c r="F10" s="134">
        <v>0</v>
      </c>
      <c r="G10" s="134">
        <v>4</v>
      </c>
      <c r="H10" s="134">
        <v>4</v>
      </c>
      <c r="I10" s="134">
        <v>0</v>
      </c>
      <c r="J10" s="134">
        <v>49</v>
      </c>
      <c r="K10" s="134">
        <v>49</v>
      </c>
      <c r="L10" s="134">
        <v>0</v>
      </c>
      <c r="M10" s="134">
        <v>26</v>
      </c>
      <c r="N10" s="134">
        <v>26</v>
      </c>
      <c r="O10" s="134">
        <v>0</v>
      </c>
      <c r="P10" s="134">
        <v>23</v>
      </c>
      <c r="Q10" s="134">
        <v>23</v>
      </c>
      <c r="R10" s="134">
        <v>0</v>
      </c>
      <c r="S10" s="134">
        <v>4</v>
      </c>
      <c r="T10" s="134">
        <v>4</v>
      </c>
      <c r="U10" s="134">
        <v>0</v>
      </c>
      <c r="V10" s="134">
        <v>5</v>
      </c>
      <c r="W10" s="134">
        <v>5</v>
      </c>
      <c r="X10" s="134">
        <v>4</v>
      </c>
      <c r="Y10" s="134">
        <v>181</v>
      </c>
      <c r="Z10" s="134">
        <v>185</v>
      </c>
      <c r="AA10" s="134">
        <v>1</v>
      </c>
      <c r="AB10" s="134">
        <v>83</v>
      </c>
      <c r="AC10" s="134">
        <v>84</v>
      </c>
      <c r="AD10" s="134">
        <v>1</v>
      </c>
      <c r="AE10" s="134">
        <v>78</v>
      </c>
      <c r="AF10" s="134">
        <v>79</v>
      </c>
      <c r="AG10" s="134">
        <v>0</v>
      </c>
      <c r="AH10" s="134">
        <v>4</v>
      </c>
      <c r="AI10" s="134">
        <v>4</v>
      </c>
      <c r="AJ10" s="134">
        <v>0</v>
      </c>
      <c r="AK10" s="134">
        <v>1</v>
      </c>
      <c r="AL10" s="134">
        <v>1</v>
      </c>
      <c r="AM10" s="134">
        <v>3</v>
      </c>
      <c r="AN10" s="134">
        <v>98</v>
      </c>
      <c r="AO10" s="134">
        <v>101</v>
      </c>
      <c r="AP10" s="134">
        <v>183</v>
      </c>
      <c r="AQ10" s="134">
        <v>2415</v>
      </c>
      <c r="AR10" s="134">
        <v>2598</v>
      </c>
      <c r="AS10" s="134">
        <v>183</v>
      </c>
      <c r="AT10" s="134">
        <v>2415</v>
      </c>
      <c r="AU10" s="134">
        <v>2598</v>
      </c>
      <c r="AV10" s="134">
        <v>0</v>
      </c>
      <c r="AW10" s="134">
        <v>0</v>
      </c>
      <c r="AX10" s="134">
        <v>0</v>
      </c>
      <c r="AY10" s="134">
        <v>14</v>
      </c>
      <c r="AZ10" s="134">
        <v>212</v>
      </c>
      <c r="BA10" s="134">
        <v>226</v>
      </c>
      <c r="BB10" s="134">
        <v>4</v>
      </c>
      <c r="BC10" s="134">
        <v>0</v>
      </c>
      <c r="BD10" s="134">
        <v>0</v>
      </c>
      <c r="BE10" s="134">
        <v>127</v>
      </c>
      <c r="BF10" s="134">
        <v>0</v>
      </c>
      <c r="BG10" s="134">
        <v>0</v>
      </c>
      <c r="BH10" s="134">
        <v>4</v>
      </c>
      <c r="BI10" s="134">
        <v>127</v>
      </c>
      <c r="BJ10" s="134">
        <v>131</v>
      </c>
      <c r="BK10" s="134">
        <v>5</v>
      </c>
      <c r="BL10" s="134">
        <v>-5</v>
      </c>
      <c r="BM10" s="134">
        <v>0</v>
      </c>
      <c r="BN10" s="134">
        <v>0</v>
      </c>
      <c r="BO10" s="134">
        <v>9</v>
      </c>
      <c r="BP10" s="134">
        <v>9</v>
      </c>
      <c r="BQ10" s="134">
        <v>0</v>
      </c>
      <c r="BR10" s="134">
        <v>36</v>
      </c>
      <c r="BS10" s="134">
        <v>36</v>
      </c>
      <c r="BT10" s="134">
        <v>5</v>
      </c>
      <c r="BU10" s="134">
        <v>45</v>
      </c>
      <c r="BV10" s="134">
        <v>50</v>
      </c>
      <c r="BW10" s="134">
        <v>197</v>
      </c>
      <c r="BX10" s="134">
        <v>2627</v>
      </c>
      <c r="BY10" s="134">
        <v>2824</v>
      </c>
      <c r="BZ10" s="134">
        <v>197</v>
      </c>
      <c r="CA10" s="134">
        <v>2619</v>
      </c>
      <c r="CB10" s="134">
        <v>2816</v>
      </c>
      <c r="CC10" s="134">
        <v>5406</v>
      </c>
      <c r="CD10" s="134">
        <v>1</v>
      </c>
      <c r="CE10" s="134">
        <v>4</v>
      </c>
      <c r="CF10" s="134">
        <v>0</v>
      </c>
      <c r="CG10" s="134">
        <v>4</v>
      </c>
      <c r="CH10" s="134">
        <v>4</v>
      </c>
      <c r="CI10" s="134">
        <v>5</v>
      </c>
      <c r="CJ10" s="134">
        <v>0</v>
      </c>
      <c r="CK10" s="134">
        <v>0</v>
      </c>
      <c r="CL10" s="134">
        <v>4</v>
      </c>
      <c r="CM10" s="134">
        <v>4</v>
      </c>
      <c r="CN10" s="134">
        <v>9</v>
      </c>
      <c r="CO10" s="134">
        <v>222</v>
      </c>
      <c r="CP10" s="134">
        <v>231</v>
      </c>
      <c r="CQ10" s="134">
        <v>0</v>
      </c>
      <c r="CR10" s="134">
        <v>0</v>
      </c>
      <c r="CS10" s="134">
        <v>0</v>
      </c>
      <c r="CT10" s="134">
        <v>188</v>
      </c>
      <c r="CU10" s="134">
        <v>2405</v>
      </c>
      <c r="CV10" s="134">
        <v>2593</v>
      </c>
      <c r="CW10" s="134">
        <v>8</v>
      </c>
      <c r="CX10" s="134">
        <v>98</v>
      </c>
      <c r="CY10" s="134">
        <v>106</v>
      </c>
      <c r="CZ10" s="134">
        <v>8</v>
      </c>
      <c r="DA10" s="134">
        <v>0</v>
      </c>
      <c r="DB10" s="134">
        <v>0</v>
      </c>
      <c r="DC10" s="134">
        <v>95</v>
      </c>
      <c r="DD10" s="134">
        <v>0</v>
      </c>
      <c r="DE10" s="134">
        <v>0</v>
      </c>
      <c r="DF10" s="134">
        <v>8</v>
      </c>
      <c r="DG10" s="134">
        <v>95</v>
      </c>
      <c r="DH10" s="134">
        <v>103</v>
      </c>
      <c r="DI10" s="134">
        <v>0</v>
      </c>
      <c r="DJ10" s="134">
        <v>0</v>
      </c>
      <c r="DK10" s="134">
        <v>0</v>
      </c>
      <c r="DL10" s="134">
        <v>3</v>
      </c>
      <c r="DM10" s="134">
        <v>0</v>
      </c>
      <c r="DN10" s="134">
        <v>0</v>
      </c>
      <c r="DO10" s="134">
        <v>0</v>
      </c>
      <c r="DP10" s="134">
        <v>3</v>
      </c>
      <c r="DQ10" s="134">
        <v>3</v>
      </c>
      <c r="DR10" s="134">
        <v>0</v>
      </c>
      <c r="DS10" s="134">
        <v>0</v>
      </c>
      <c r="DT10" s="135">
        <v>0</v>
      </c>
    </row>
    <row r="11" spans="1:129">
      <c r="A11" s="133" t="s">
        <v>280</v>
      </c>
      <c r="B11" s="134">
        <v>60</v>
      </c>
      <c r="C11" s="134">
        <v>10</v>
      </c>
      <c r="D11" s="134">
        <v>51</v>
      </c>
      <c r="E11" s="134">
        <v>23</v>
      </c>
      <c r="F11" s="134">
        <v>0</v>
      </c>
      <c r="G11" s="134">
        <v>0</v>
      </c>
      <c r="H11" s="134">
        <v>0</v>
      </c>
      <c r="I11" s="134">
        <v>0</v>
      </c>
      <c r="J11" s="134">
        <v>24</v>
      </c>
      <c r="K11" s="134">
        <v>24</v>
      </c>
      <c r="L11" s="134">
        <v>0</v>
      </c>
      <c r="M11" s="134">
        <v>8</v>
      </c>
      <c r="N11" s="134">
        <v>8</v>
      </c>
      <c r="O11" s="134">
        <v>0</v>
      </c>
      <c r="P11" s="134">
        <v>16</v>
      </c>
      <c r="Q11" s="134">
        <v>16</v>
      </c>
      <c r="R11" s="134">
        <v>0</v>
      </c>
      <c r="S11" s="134">
        <v>0</v>
      </c>
      <c r="T11" s="134">
        <v>0</v>
      </c>
      <c r="U11" s="134">
        <v>0</v>
      </c>
      <c r="V11" s="134">
        <v>4</v>
      </c>
      <c r="W11" s="134">
        <v>4</v>
      </c>
      <c r="X11" s="134">
        <v>2</v>
      </c>
      <c r="Y11" s="134">
        <v>49</v>
      </c>
      <c r="Z11" s="134">
        <v>51</v>
      </c>
      <c r="AA11" s="134">
        <v>2</v>
      </c>
      <c r="AB11" s="134">
        <v>14</v>
      </c>
      <c r="AC11" s="134">
        <v>16</v>
      </c>
      <c r="AD11" s="134">
        <v>2</v>
      </c>
      <c r="AE11" s="134">
        <v>14</v>
      </c>
      <c r="AF11" s="134">
        <v>16</v>
      </c>
      <c r="AG11" s="134">
        <v>0</v>
      </c>
      <c r="AH11" s="134">
        <v>0</v>
      </c>
      <c r="AI11" s="134">
        <v>0</v>
      </c>
      <c r="AJ11" s="134">
        <v>0</v>
      </c>
      <c r="AK11" s="134">
        <v>0</v>
      </c>
      <c r="AL11" s="134">
        <v>0</v>
      </c>
      <c r="AM11" s="134">
        <v>0</v>
      </c>
      <c r="AN11" s="134">
        <v>35</v>
      </c>
      <c r="AO11" s="134">
        <v>35</v>
      </c>
      <c r="AP11" s="134">
        <v>79</v>
      </c>
      <c r="AQ11" s="134">
        <v>567</v>
      </c>
      <c r="AR11" s="134">
        <v>646</v>
      </c>
      <c r="AS11" s="134">
        <v>79</v>
      </c>
      <c r="AT11" s="134">
        <v>567</v>
      </c>
      <c r="AU11" s="134">
        <v>646</v>
      </c>
      <c r="AV11" s="134">
        <v>0</v>
      </c>
      <c r="AW11" s="134">
        <v>0</v>
      </c>
      <c r="AX11" s="134">
        <v>0</v>
      </c>
      <c r="AY11" s="134">
        <v>4</v>
      </c>
      <c r="AZ11" s="134">
        <v>52</v>
      </c>
      <c r="BA11" s="134">
        <v>56</v>
      </c>
      <c r="BB11" s="134">
        <v>2</v>
      </c>
      <c r="BC11" s="134">
        <v>0</v>
      </c>
      <c r="BD11" s="134">
        <v>0</v>
      </c>
      <c r="BE11" s="134">
        <v>21</v>
      </c>
      <c r="BF11" s="134">
        <v>0</v>
      </c>
      <c r="BG11" s="134">
        <v>0</v>
      </c>
      <c r="BH11" s="134">
        <v>2</v>
      </c>
      <c r="BI11" s="134">
        <v>21</v>
      </c>
      <c r="BJ11" s="134">
        <v>23</v>
      </c>
      <c r="BK11" s="134">
        <v>-5</v>
      </c>
      <c r="BL11" s="134">
        <v>5</v>
      </c>
      <c r="BM11" s="134">
        <v>0</v>
      </c>
      <c r="BN11" s="134">
        <v>0</v>
      </c>
      <c r="BO11" s="134">
        <v>4</v>
      </c>
      <c r="BP11" s="134">
        <v>4</v>
      </c>
      <c r="BQ11" s="134">
        <v>1</v>
      </c>
      <c r="BR11" s="134">
        <v>7</v>
      </c>
      <c r="BS11" s="134">
        <v>8</v>
      </c>
      <c r="BT11" s="134">
        <v>6</v>
      </c>
      <c r="BU11" s="134">
        <v>15</v>
      </c>
      <c r="BV11" s="134">
        <v>21</v>
      </c>
      <c r="BW11" s="134">
        <v>83</v>
      </c>
      <c r="BX11" s="134">
        <v>619</v>
      </c>
      <c r="BY11" s="134">
        <v>702</v>
      </c>
      <c r="BZ11" s="134">
        <v>81</v>
      </c>
      <c r="CA11" s="134">
        <v>616</v>
      </c>
      <c r="CB11" s="134">
        <v>697</v>
      </c>
      <c r="CC11" s="134">
        <v>1543</v>
      </c>
      <c r="CD11" s="134">
        <v>0</v>
      </c>
      <c r="CE11" s="134">
        <v>4</v>
      </c>
      <c r="CF11" s="134">
        <v>2</v>
      </c>
      <c r="CG11" s="134">
        <v>2</v>
      </c>
      <c r="CH11" s="134">
        <v>4</v>
      </c>
      <c r="CI11" s="134">
        <v>1</v>
      </c>
      <c r="CJ11" s="134">
        <v>0</v>
      </c>
      <c r="CK11" s="134">
        <v>0</v>
      </c>
      <c r="CL11" s="134">
        <v>1</v>
      </c>
      <c r="CM11" s="134">
        <v>1</v>
      </c>
      <c r="CN11" s="134">
        <v>7</v>
      </c>
      <c r="CO11" s="134">
        <v>69</v>
      </c>
      <c r="CP11" s="134">
        <v>76</v>
      </c>
      <c r="CQ11" s="134">
        <v>0</v>
      </c>
      <c r="CR11" s="134">
        <v>0</v>
      </c>
      <c r="CS11" s="134">
        <v>0</v>
      </c>
      <c r="CT11" s="134">
        <v>76</v>
      </c>
      <c r="CU11" s="134">
        <v>550</v>
      </c>
      <c r="CV11" s="134">
        <v>626</v>
      </c>
      <c r="CW11" s="134">
        <v>9</v>
      </c>
      <c r="CX11" s="134">
        <v>23</v>
      </c>
      <c r="CY11" s="134">
        <v>32</v>
      </c>
      <c r="CZ11" s="134">
        <v>9</v>
      </c>
      <c r="DA11" s="134">
        <v>0</v>
      </c>
      <c r="DB11" s="134">
        <v>0</v>
      </c>
      <c r="DC11" s="134">
        <v>23</v>
      </c>
      <c r="DD11" s="134">
        <v>0</v>
      </c>
      <c r="DE11" s="134">
        <v>0</v>
      </c>
      <c r="DF11" s="134">
        <v>9</v>
      </c>
      <c r="DG11" s="134">
        <v>23</v>
      </c>
      <c r="DH11" s="134">
        <v>32</v>
      </c>
      <c r="DI11" s="134">
        <v>0</v>
      </c>
      <c r="DJ11" s="134">
        <v>0</v>
      </c>
      <c r="DK11" s="134">
        <v>0</v>
      </c>
      <c r="DL11" s="134">
        <v>0</v>
      </c>
      <c r="DM11" s="134">
        <v>0</v>
      </c>
      <c r="DN11" s="134">
        <v>0</v>
      </c>
      <c r="DO11" s="134">
        <v>0</v>
      </c>
      <c r="DP11" s="134">
        <v>0</v>
      </c>
      <c r="DQ11" s="134">
        <v>0</v>
      </c>
      <c r="DR11" s="134">
        <v>0</v>
      </c>
      <c r="DS11" s="134">
        <v>0</v>
      </c>
      <c r="DT11" s="135">
        <v>0</v>
      </c>
    </row>
    <row r="12" spans="1:129">
      <c r="A12" s="133" t="s">
        <v>281</v>
      </c>
      <c r="B12" s="134">
        <v>2284</v>
      </c>
      <c r="C12" s="134">
        <v>614</v>
      </c>
      <c r="D12" s="134">
        <v>1763</v>
      </c>
      <c r="E12" s="134">
        <v>959</v>
      </c>
      <c r="F12" s="134">
        <v>2</v>
      </c>
      <c r="G12" s="134">
        <v>21</v>
      </c>
      <c r="H12" s="134">
        <v>23</v>
      </c>
      <c r="I12" s="134">
        <v>0</v>
      </c>
      <c r="J12" s="134">
        <v>724</v>
      </c>
      <c r="K12" s="134">
        <v>724</v>
      </c>
      <c r="L12" s="134">
        <v>0</v>
      </c>
      <c r="M12" s="134">
        <v>178</v>
      </c>
      <c r="N12" s="134">
        <v>178</v>
      </c>
      <c r="O12" s="134">
        <v>0</v>
      </c>
      <c r="P12" s="134">
        <v>546</v>
      </c>
      <c r="Q12" s="134">
        <v>546</v>
      </c>
      <c r="R12" s="134">
        <v>0</v>
      </c>
      <c r="S12" s="134">
        <v>50</v>
      </c>
      <c r="T12" s="134">
        <v>50</v>
      </c>
      <c r="U12" s="134">
        <v>0</v>
      </c>
      <c r="V12" s="134">
        <v>80</v>
      </c>
      <c r="W12" s="134">
        <v>80</v>
      </c>
      <c r="X12" s="134">
        <v>18</v>
      </c>
      <c r="Y12" s="134">
        <v>487</v>
      </c>
      <c r="Z12" s="134">
        <v>505</v>
      </c>
      <c r="AA12" s="134">
        <v>11</v>
      </c>
      <c r="AB12" s="134">
        <v>401</v>
      </c>
      <c r="AC12" s="134">
        <v>412</v>
      </c>
      <c r="AD12" s="134">
        <v>10</v>
      </c>
      <c r="AE12" s="134">
        <v>393</v>
      </c>
      <c r="AF12" s="134">
        <v>403</v>
      </c>
      <c r="AG12" s="134">
        <v>1</v>
      </c>
      <c r="AH12" s="134">
        <v>8</v>
      </c>
      <c r="AI12" s="134">
        <v>9</v>
      </c>
      <c r="AJ12" s="134">
        <v>0</v>
      </c>
      <c r="AK12" s="134">
        <v>0</v>
      </c>
      <c r="AL12" s="134">
        <v>0</v>
      </c>
      <c r="AM12" s="134">
        <v>7</v>
      </c>
      <c r="AN12" s="134">
        <v>86</v>
      </c>
      <c r="AO12" s="134">
        <v>93</v>
      </c>
      <c r="AP12" s="134">
        <v>3531</v>
      </c>
      <c r="AQ12" s="134">
        <v>25317</v>
      </c>
      <c r="AR12" s="134">
        <v>28848</v>
      </c>
      <c r="AS12" s="134">
        <v>3507</v>
      </c>
      <c r="AT12" s="134">
        <v>25074</v>
      </c>
      <c r="AU12" s="134">
        <v>28581</v>
      </c>
      <c r="AV12" s="134">
        <v>24</v>
      </c>
      <c r="AW12" s="134">
        <v>243</v>
      </c>
      <c r="AX12" s="134">
        <v>267</v>
      </c>
      <c r="AY12" s="134">
        <v>67</v>
      </c>
      <c r="AZ12" s="134">
        <v>2416</v>
      </c>
      <c r="BA12" s="134">
        <v>2483</v>
      </c>
      <c r="BB12" s="134">
        <v>75</v>
      </c>
      <c r="BC12" s="134">
        <v>3</v>
      </c>
      <c r="BD12" s="134">
        <v>0</v>
      </c>
      <c r="BE12" s="134">
        <v>863</v>
      </c>
      <c r="BF12" s="134">
        <v>14</v>
      </c>
      <c r="BG12" s="134">
        <v>4</v>
      </c>
      <c r="BH12" s="134">
        <v>78</v>
      </c>
      <c r="BI12" s="134">
        <v>881</v>
      </c>
      <c r="BJ12" s="134">
        <v>959</v>
      </c>
      <c r="BK12" s="134">
        <v>-144</v>
      </c>
      <c r="BL12" s="134">
        <v>144</v>
      </c>
      <c r="BM12" s="134">
        <v>0</v>
      </c>
      <c r="BN12" s="134">
        <v>12</v>
      </c>
      <c r="BO12" s="134">
        <v>56</v>
      </c>
      <c r="BP12" s="134">
        <v>68</v>
      </c>
      <c r="BQ12" s="134">
        <v>11</v>
      </c>
      <c r="BR12" s="134">
        <v>36</v>
      </c>
      <c r="BS12" s="134">
        <v>47</v>
      </c>
      <c r="BT12" s="134">
        <v>110</v>
      </c>
      <c r="BU12" s="134">
        <v>1299</v>
      </c>
      <c r="BV12" s="134">
        <v>1409</v>
      </c>
      <c r="BW12" s="134">
        <v>3598</v>
      </c>
      <c r="BX12" s="134">
        <v>27733</v>
      </c>
      <c r="BY12" s="134">
        <v>31331</v>
      </c>
      <c r="BZ12" s="134">
        <v>3496</v>
      </c>
      <c r="CA12" s="134">
        <v>27213</v>
      </c>
      <c r="CB12" s="134">
        <v>30709</v>
      </c>
      <c r="CC12" s="134">
        <v>62814</v>
      </c>
      <c r="CD12" s="134">
        <v>30</v>
      </c>
      <c r="CE12" s="134">
        <v>674</v>
      </c>
      <c r="CF12" s="134">
        <v>101</v>
      </c>
      <c r="CG12" s="134">
        <v>397</v>
      </c>
      <c r="CH12" s="134">
        <v>498</v>
      </c>
      <c r="CI12" s="134">
        <v>146</v>
      </c>
      <c r="CJ12" s="134">
        <v>19</v>
      </c>
      <c r="CK12" s="134">
        <v>1</v>
      </c>
      <c r="CL12" s="134">
        <v>123</v>
      </c>
      <c r="CM12" s="134">
        <v>124</v>
      </c>
      <c r="CN12" s="134">
        <v>190</v>
      </c>
      <c r="CO12" s="134">
        <v>2671</v>
      </c>
      <c r="CP12" s="134">
        <v>2861</v>
      </c>
      <c r="CQ12" s="134">
        <v>0</v>
      </c>
      <c r="CR12" s="134">
        <v>0</v>
      </c>
      <c r="CS12" s="134">
        <v>0</v>
      </c>
      <c r="CT12" s="134">
        <v>3408</v>
      </c>
      <c r="CU12" s="134">
        <v>25062</v>
      </c>
      <c r="CV12" s="134">
        <v>28470</v>
      </c>
      <c r="CW12" s="134">
        <v>282</v>
      </c>
      <c r="CX12" s="134">
        <v>1334</v>
      </c>
      <c r="CY12" s="134">
        <v>1616</v>
      </c>
      <c r="CZ12" s="134">
        <v>276</v>
      </c>
      <c r="DA12" s="134">
        <v>3</v>
      </c>
      <c r="DB12" s="134">
        <v>0</v>
      </c>
      <c r="DC12" s="134">
        <v>1278</v>
      </c>
      <c r="DD12" s="134">
        <v>21</v>
      </c>
      <c r="DE12" s="134">
        <v>2</v>
      </c>
      <c r="DF12" s="134">
        <v>279</v>
      </c>
      <c r="DG12" s="134">
        <v>1301</v>
      </c>
      <c r="DH12" s="134">
        <v>1580</v>
      </c>
      <c r="DI12" s="134">
        <v>2</v>
      </c>
      <c r="DJ12" s="134">
        <v>1</v>
      </c>
      <c r="DK12" s="134">
        <v>0</v>
      </c>
      <c r="DL12" s="134">
        <v>32</v>
      </c>
      <c r="DM12" s="134">
        <v>1</v>
      </c>
      <c r="DN12" s="134">
        <v>0</v>
      </c>
      <c r="DO12" s="134">
        <v>3</v>
      </c>
      <c r="DP12" s="134">
        <v>33</v>
      </c>
      <c r="DQ12" s="134">
        <v>36</v>
      </c>
      <c r="DR12" s="134">
        <v>0</v>
      </c>
      <c r="DS12" s="134">
        <v>6</v>
      </c>
      <c r="DT12" s="135">
        <v>6</v>
      </c>
    </row>
    <row r="13" spans="1:129">
      <c r="A13" s="133" t="s">
        <v>282</v>
      </c>
      <c r="B13" s="134">
        <v>167</v>
      </c>
      <c r="C13" s="134">
        <v>12</v>
      </c>
      <c r="D13" s="134">
        <v>161</v>
      </c>
      <c r="E13" s="134">
        <v>88</v>
      </c>
      <c r="F13" s="134">
        <v>0</v>
      </c>
      <c r="G13" s="134">
        <v>1</v>
      </c>
      <c r="H13" s="134">
        <v>1</v>
      </c>
      <c r="I13" s="134">
        <v>0</v>
      </c>
      <c r="J13" s="134">
        <v>66</v>
      </c>
      <c r="K13" s="134">
        <v>66</v>
      </c>
      <c r="L13" s="134">
        <v>0</v>
      </c>
      <c r="M13" s="134">
        <v>20</v>
      </c>
      <c r="N13" s="134">
        <v>20</v>
      </c>
      <c r="O13" s="134">
        <v>0</v>
      </c>
      <c r="P13" s="134">
        <v>46</v>
      </c>
      <c r="Q13" s="134">
        <v>46</v>
      </c>
      <c r="R13" s="134">
        <v>0</v>
      </c>
      <c r="S13" s="134">
        <v>3</v>
      </c>
      <c r="T13" s="134">
        <v>3</v>
      </c>
      <c r="U13" s="134">
        <v>0</v>
      </c>
      <c r="V13" s="134">
        <v>7</v>
      </c>
      <c r="W13" s="134">
        <v>7</v>
      </c>
      <c r="X13" s="134">
        <v>4</v>
      </c>
      <c r="Y13" s="134">
        <v>157</v>
      </c>
      <c r="Z13" s="134">
        <v>161</v>
      </c>
      <c r="AA13" s="134">
        <v>3</v>
      </c>
      <c r="AB13" s="134">
        <v>64</v>
      </c>
      <c r="AC13" s="134">
        <v>67</v>
      </c>
      <c r="AD13" s="134">
        <v>2</v>
      </c>
      <c r="AE13" s="134">
        <v>60</v>
      </c>
      <c r="AF13" s="134">
        <v>62</v>
      </c>
      <c r="AG13" s="134">
        <v>1</v>
      </c>
      <c r="AH13" s="134">
        <v>3</v>
      </c>
      <c r="AI13" s="134">
        <v>4</v>
      </c>
      <c r="AJ13" s="134">
        <v>0</v>
      </c>
      <c r="AK13" s="134">
        <v>1</v>
      </c>
      <c r="AL13" s="134">
        <v>1</v>
      </c>
      <c r="AM13" s="134">
        <v>1</v>
      </c>
      <c r="AN13" s="134">
        <v>93</v>
      </c>
      <c r="AO13" s="134">
        <v>94</v>
      </c>
      <c r="AP13" s="134">
        <v>350</v>
      </c>
      <c r="AQ13" s="134">
        <v>2044</v>
      </c>
      <c r="AR13" s="134">
        <v>2394</v>
      </c>
      <c r="AS13" s="134">
        <v>350</v>
      </c>
      <c r="AT13" s="134">
        <v>2044</v>
      </c>
      <c r="AU13" s="134">
        <v>2394</v>
      </c>
      <c r="AV13" s="134">
        <v>0</v>
      </c>
      <c r="AW13" s="134">
        <v>0</v>
      </c>
      <c r="AX13" s="134">
        <v>0</v>
      </c>
      <c r="AY13" s="134">
        <v>14</v>
      </c>
      <c r="AZ13" s="134">
        <v>193</v>
      </c>
      <c r="BA13" s="134">
        <v>207</v>
      </c>
      <c r="BB13" s="134">
        <v>4</v>
      </c>
      <c r="BC13" s="134">
        <v>0</v>
      </c>
      <c r="BD13" s="134">
        <v>0</v>
      </c>
      <c r="BE13" s="134">
        <v>84</v>
      </c>
      <c r="BF13" s="134">
        <v>0</v>
      </c>
      <c r="BG13" s="134">
        <v>0</v>
      </c>
      <c r="BH13" s="134">
        <v>4</v>
      </c>
      <c r="BI13" s="134">
        <v>84</v>
      </c>
      <c r="BJ13" s="134">
        <v>88</v>
      </c>
      <c r="BK13" s="134">
        <v>-5</v>
      </c>
      <c r="BL13" s="134">
        <v>5</v>
      </c>
      <c r="BM13" s="134">
        <v>0</v>
      </c>
      <c r="BN13" s="134">
        <v>0</v>
      </c>
      <c r="BO13" s="134">
        <v>5</v>
      </c>
      <c r="BP13" s="134">
        <v>5</v>
      </c>
      <c r="BQ13" s="134">
        <v>0</v>
      </c>
      <c r="BR13" s="134">
        <v>28</v>
      </c>
      <c r="BS13" s="134">
        <v>28</v>
      </c>
      <c r="BT13" s="134">
        <v>15</v>
      </c>
      <c r="BU13" s="134">
        <v>71</v>
      </c>
      <c r="BV13" s="134">
        <v>86</v>
      </c>
      <c r="BW13" s="134">
        <v>364</v>
      </c>
      <c r="BX13" s="134">
        <v>2237</v>
      </c>
      <c r="BY13" s="134">
        <v>2601</v>
      </c>
      <c r="BZ13" s="134">
        <v>364</v>
      </c>
      <c r="CA13" s="134">
        <v>2234</v>
      </c>
      <c r="CB13" s="134">
        <v>2598</v>
      </c>
      <c r="CC13" s="134">
        <v>5300</v>
      </c>
      <c r="CD13" s="134">
        <v>0</v>
      </c>
      <c r="CE13" s="134">
        <v>1</v>
      </c>
      <c r="CF13" s="134">
        <v>0</v>
      </c>
      <c r="CG13" s="134">
        <v>1</v>
      </c>
      <c r="CH13" s="134">
        <v>1</v>
      </c>
      <c r="CI13" s="134">
        <v>2</v>
      </c>
      <c r="CJ13" s="134">
        <v>3</v>
      </c>
      <c r="CK13" s="134">
        <v>0</v>
      </c>
      <c r="CL13" s="134">
        <v>2</v>
      </c>
      <c r="CM13" s="134">
        <v>2</v>
      </c>
      <c r="CN13" s="134">
        <v>20</v>
      </c>
      <c r="CO13" s="134">
        <v>209</v>
      </c>
      <c r="CP13" s="134">
        <v>229</v>
      </c>
      <c r="CQ13" s="134">
        <v>0</v>
      </c>
      <c r="CR13" s="134">
        <v>0</v>
      </c>
      <c r="CS13" s="134">
        <v>0</v>
      </c>
      <c r="CT13" s="134">
        <v>344</v>
      </c>
      <c r="CU13" s="134">
        <v>2028</v>
      </c>
      <c r="CV13" s="134">
        <v>2372</v>
      </c>
      <c r="CW13" s="134">
        <v>27</v>
      </c>
      <c r="CX13" s="134">
        <v>81</v>
      </c>
      <c r="CY13" s="134">
        <v>108</v>
      </c>
      <c r="CZ13" s="134">
        <v>27</v>
      </c>
      <c r="DA13" s="134">
        <v>0</v>
      </c>
      <c r="DB13" s="134">
        <v>0</v>
      </c>
      <c r="DC13" s="134">
        <v>80</v>
      </c>
      <c r="DD13" s="134">
        <v>0</v>
      </c>
      <c r="DE13" s="134">
        <v>0</v>
      </c>
      <c r="DF13" s="134">
        <v>27</v>
      </c>
      <c r="DG13" s="134">
        <v>80</v>
      </c>
      <c r="DH13" s="134">
        <v>107</v>
      </c>
      <c r="DI13" s="134">
        <v>0</v>
      </c>
      <c r="DJ13" s="134">
        <v>0</v>
      </c>
      <c r="DK13" s="134">
        <v>0</v>
      </c>
      <c r="DL13" s="134">
        <v>1</v>
      </c>
      <c r="DM13" s="134">
        <v>0</v>
      </c>
      <c r="DN13" s="134">
        <v>0</v>
      </c>
      <c r="DO13" s="134">
        <v>0</v>
      </c>
      <c r="DP13" s="134">
        <v>1</v>
      </c>
      <c r="DQ13" s="134">
        <v>1</v>
      </c>
      <c r="DR13" s="134">
        <v>0</v>
      </c>
      <c r="DS13" s="134">
        <v>0</v>
      </c>
      <c r="DT13" s="135">
        <v>0</v>
      </c>
    </row>
    <row r="14" spans="1:129">
      <c r="A14" s="133" t="s">
        <v>283</v>
      </c>
      <c r="B14" s="134">
        <v>522</v>
      </c>
      <c r="C14" s="134">
        <v>95</v>
      </c>
      <c r="D14" s="134">
        <v>528</v>
      </c>
      <c r="E14" s="134">
        <v>313</v>
      </c>
      <c r="F14" s="134">
        <v>0</v>
      </c>
      <c r="G14" s="134">
        <v>1</v>
      </c>
      <c r="H14" s="134">
        <v>1</v>
      </c>
      <c r="I14" s="134">
        <v>0</v>
      </c>
      <c r="J14" s="134">
        <v>204</v>
      </c>
      <c r="K14" s="134">
        <v>204</v>
      </c>
      <c r="L14" s="134">
        <v>0</v>
      </c>
      <c r="M14" s="134">
        <v>83</v>
      </c>
      <c r="N14" s="134">
        <v>83</v>
      </c>
      <c r="O14" s="134">
        <v>0</v>
      </c>
      <c r="P14" s="134">
        <v>121</v>
      </c>
      <c r="Q14" s="134">
        <v>121</v>
      </c>
      <c r="R14" s="134">
        <v>0</v>
      </c>
      <c r="S14" s="134">
        <v>1</v>
      </c>
      <c r="T14" s="134">
        <v>1</v>
      </c>
      <c r="U14" s="134">
        <v>0</v>
      </c>
      <c r="V14" s="134">
        <v>11</v>
      </c>
      <c r="W14" s="134">
        <v>11</v>
      </c>
      <c r="X14" s="134">
        <v>10</v>
      </c>
      <c r="Y14" s="134">
        <v>518</v>
      </c>
      <c r="Z14" s="134">
        <v>528</v>
      </c>
      <c r="AA14" s="134">
        <v>6</v>
      </c>
      <c r="AB14" s="134">
        <v>226</v>
      </c>
      <c r="AC14" s="134">
        <v>232</v>
      </c>
      <c r="AD14" s="134">
        <v>6</v>
      </c>
      <c r="AE14" s="134">
        <v>223</v>
      </c>
      <c r="AF14" s="134">
        <v>229</v>
      </c>
      <c r="AG14" s="134">
        <v>0</v>
      </c>
      <c r="AH14" s="134">
        <v>2</v>
      </c>
      <c r="AI14" s="134">
        <v>2</v>
      </c>
      <c r="AJ14" s="134">
        <v>0</v>
      </c>
      <c r="AK14" s="134">
        <v>1</v>
      </c>
      <c r="AL14" s="134">
        <v>1</v>
      </c>
      <c r="AM14" s="134">
        <v>4</v>
      </c>
      <c r="AN14" s="134">
        <v>292</v>
      </c>
      <c r="AO14" s="134">
        <v>296</v>
      </c>
      <c r="AP14" s="134">
        <v>491</v>
      </c>
      <c r="AQ14" s="134">
        <v>5933</v>
      </c>
      <c r="AR14" s="134">
        <v>6424</v>
      </c>
      <c r="AS14" s="134">
        <v>491</v>
      </c>
      <c r="AT14" s="134">
        <v>5933</v>
      </c>
      <c r="AU14" s="134">
        <v>6424</v>
      </c>
      <c r="AV14" s="134">
        <v>0</v>
      </c>
      <c r="AW14" s="134">
        <v>0</v>
      </c>
      <c r="AX14" s="134">
        <v>0</v>
      </c>
      <c r="AY14" s="134">
        <v>16</v>
      </c>
      <c r="AZ14" s="134">
        <v>542</v>
      </c>
      <c r="BA14" s="134">
        <v>558</v>
      </c>
      <c r="BB14" s="134">
        <v>11</v>
      </c>
      <c r="BC14" s="134">
        <v>0</v>
      </c>
      <c r="BD14" s="134">
        <v>0</v>
      </c>
      <c r="BE14" s="134">
        <v>302</v>
      </c>
      <c r="BF14" s="134">
        <v>0</v>
      </c>
      <c r="BG14" s="134">
        <v>0</v>
      </c>
      <c r="BH14" s="134">
        <v>11</v>
      </c>
      <c r="BI14" s="134">
        <v>302</v>
      </c>
      <c r="BJ14" s="134">
        <v>313</v>
      </c>
      <c r="BK14" s="134">
        <v>-16</v>
      </c>
      <c r="BL14" s="134">
        <v>16</v>
      </c>
      <c r="BM14" s="134">
        <v>0</v>
      </c>
      <c r="BN14" s="134">
        <v>1</v>
      </c>
      <c r="BO14" s="134">
        <v>25</v>
      </c>
      <c r="BP14" s="134">
        <v>26</v>
      </c>
      <c r="BQ14" s="134">
        <v>1</v>
      </c>
      <c r="BR14" s="134">
        <v>74</v>
      </c>
      <c r="BS14" s="134">
        <v>75</v>
      </c>
      <c r="BT14" s="134">
        <v>19</v>
      </c>
      <c r="BU14" s="134">
        <v>125</v>
      </c>
      <c r="BV14" s="134">
        <v>144</v>
      </c>
      <c r="BW14" s="134">
        <v>507</v>
      </c>
      <c r="BX14" s="134">
        <v>6475</v>
      </c>
      <c r="BY14" s="134">
        <v>6982</v>
      </c>
      <c r="BZ14" s="134">
        <v>505</v>
      </c>
      <c r="CA14" s="134">
        <v>6443</v>
      </c>
      <c r="CB14" s="134">
        <v>6948</v>
      </c>
      <c r="CC14" s="134">
        <v>12260</v>
      </c>
      <c r="CD14" s="134">
        <v>2</v>
      </c>
      <c r="CE14" s="134">
        <v>32</v>
      </c>
      <c r="CF14" s="134">
        <v>2</v>
      </c>
      <c r="CG14" s="134">
        <v>25</v>
      </c>
      <c r="CH14" s="134">
        <v>27</v>
      </c>
      <c r="CI14" s="134">
        <v>7</v>
      </c>
      <c r="CJ14" s="134">
        <v>0</v>
      </c>
      <c r="CK14" s="134">
        <v>0</v>
      </c>
      <c r="CL14" s="134">
        <v>7</v>
      </c>
      <c r="CM14" s="134">
        <v>7</v>
      </c>
      <c r="CN14" s="134">
        <v>27</v>
      </c>
      <c r="CO14" s="134">
        <v>602</v>
      </c>
      <c r="CP14" s="134">
        <v>629</v>
      </c>
      <c r="CQ14" s="134">
        <v>0</v>
      </c>
      <c r="CR14" s="134">
        <v>2</v>
      </c>
      <c r="CS14" s="134">
        <v>2</v>
      </c>
      <c r="CT14" s="134">
        <v>480</v>
      </c>
      <c r="CU14" s="134">
        <v>5873</v>
      </c>
      <c r="CV14" s="134">
        <v>6353</v>
      </c>
      <c r="CW14" s="134">
        <v>44</v>
      </c>
      <c r="CX14" s="134">
        <v>205</v>
      </c>
      <c r="CY14" s="134">
        <v>249</v>
      </c>
      <c r="CZ14" s="134">
        <v>44</v>
      </c>
      <c r="DA14" s="134">
        <v>0</v>
      </c>
      <c r="DB14" s="134">
        <v>0</v>
      </c>
      <c r="DC14" s="134">
        <v>202</v>
      </c>
      <c r="DD14" s="134">
        <v>1</v>
      </c>
      <c r="DE14" s="134">
        <v>0</v>
      </c>
      <c r="DF14" s="134">
        <v>44</v>
      </c>
      <c r="DG14" s="134">
        <v>203</v>
      </c>
      <c r="DH14" s="134">
        <v>247</v>
      </c>
      <c r="DI14" s="134">
        <v>0</v>
      </c>
      <c r="DJ14" s="134">
        <v>0</v>
      </c>
      <c r="DK14" s="134">
        <v>0</v>
      </c>
      <c r="DL14" s="134">
        <v>2</v>
      </c>
      <c r="DM14" s="134">
        <v>0</v>
      </c>
      <c r="DN14" s="134">
        <v>0</v>
      </c>
      <c r="DO14" s="134">
        <v>0</v>
      </c>
      <c r="DP14" s="134">
        <v>2</v>
      </c>
      <c r="DQ14" s="134">
        <v>2</v>
      </c>
      <c r="DR14" s="134">
        <v>0</v>
      </c>
      <c r="DS14" s="134">
        <v>0</v>
      </c>
      <c r="DT14" s="135">
        <v>0</v>
      </c>
    </row>
    <row r="15" spans="1:129">
      <c r="A15" s="133" t="s">
        <v>284</v>
      </c>
      <c r="B15" s="134">
        <v>4886</v>
      </c>
      <c r="C15" s="134">
        <v>1702</v>
      </c>
      <c r="D15" s="134">
        <v>4344</v>
      </c>
      <c r="E15" s="134">
        <v>3126</v>
      </c>
      <c r="F15" s="134">
        <v>9</v>
      </c>
      <c r="G15" s="134">
        <v>72</v>
      </c>
      <c r="H15" s="134">
        <v>81</v>
      </c>
      <c r="I15" s="134">
        <v>0</v>
      </c>
      <c r="J15" s="134">
        <v>1152</v>
      </c>
      <c r="K15" s="134">
        <v>1152</v>
      </c>
      <c r="L15" s="134">
        <v>0</v>
      </c>
      <c r="M15" s="134">
        <v>1151</v>
      </c>
      <c r="N15" s="134">
        <v>1151</v>
      </c>
      <c r="O15" s="134">
        <v>0</v>
      </c>
      <c r="P15" s="134">
        <v>1</v>
      </c>
      <c r="Q15" s="134">
        <v>1</v>
      </c>
      <c r="R15" s="134">
        <v>0</v>
      </c>
      <c r="S15" s="134">
        <v>226</v>
      </c>
      <c r="T15" s="134">
        <v>226</v>
      </c>
      <c r="U15" s="134">
        <v>0</v>
      </c>
      <c r="V15" s="134">
        <v>66</v>
      </c>
      <c r="W15" s="134">
        <v>66</v>
      </c>
      <c r="X15" s="134">
        <v>53</v>
      </c>
      <c r="Y15" s="134">
        <v>3740</v>
      </c>
      <c r="Z15" s="134">
        <v>3793</v>
      </c>
      <c r="AA15" s="134">
        <v>22</v>
      </c>
      <c r="AB15" s="134">
        <v>1667</v>
      </c>
      <c r="AC15" s="134">
        <v>1689</v>
      </c>
      <c r="AD15" s="134">
        <v>20</v>
      </c>
      <c r="AE15" s="134">
        <v>1582</v>
      </c>
      <c r="AF15" s="134">
        <v>1602</v>
      </c>
      <c r="AG15" s="134">
        <v>2</v>
      </c>
      <c r="AH15" s="134">
        <v>68</v>
      </c>
      <c r="AI15" s="134">
        <v>70</v>
      </c>
      <c r="AJ15" s="134">
        <v>0</v>
      </c>
      <c r="AK15" s="134">
        <v>17</v>
      </c>
      <c r="AL15" s="134">
        <v>17</v>
      </c>
      <c r="AM15" s="134">
        <v>31</v>
      </c>
      <c r="AN15" s="134">
        <v>2073</v>
      </c>
      <c r="AO15" s="134">
        <v>2104</v>
      </c>
      <c r="AP15" s="134">
        <v>11243</v>
      </c>
      <c r="AQ15" s="134">
        <v>73489</v>
      </c>
      <c r="AR15" s="134">
        <v>84732</v>
      </c>
      <c r="AS15" s="134">
        <v>11676</v>
      </c>
      <c r="AT15" s="134">
        <v>75225</v>
      </c>
      <c r="AU15" s="134">
        <v>86901</v>
      </c>
      <c r="AV15" s="134">
        <v>-433</v>
      </c>
      <c r="AW15" s="134">
        <v>-1736</v>
      </c>
      <c r="AX15" s="134">
        <v>-2169</v>
      </c>
      <c r="AY15" s="134">
        <v>94</v>
      </c>
      <c r="AZ15" s="134">
        <v>3160</v>
      </c>
      <c r="BA15" s="134">
        <v>3254</v>
      </c>
      <c r="BB15" s="134">
        <v>215</v>
      </c>
      <c r="BC15" s="134">
        <v>10</v>
      </c>
      <c r="BD15" s="134">
        <v>1</v>
      </c>
      <c r="BE15" s="134">
        <v>2844</v>
      </c>
      <c r="BF15" s="134">
        <v>25</v>
      </c>
      <c r="BG15" s="134">
        <v>31</v>
      </c>
      <c r="BH15" s="134">
        <v>226</v>
      </c>
      <c r="BI15" s="134">
        <v>2900</v>
      </c>
      <c r="BJ15" s="134">
        <v>3126</v>
      </c>
      <c r="BK15" s="134">
        <v>-150</v>
      </c>
      <c r="BL15" s="134">
        <v>150</v>
      </c>
      <c r="BM15" s="134">
        <v>0</v>
      </c>
      <c r="BN15" s="134">
        <v>12</v>
      </c>
      <c r="BO15" s="134">
        <v>55</v>
      </c>
      <c r="BP15" s="134">
        <v>67</v>
      </c>
      <c r="BQ15" s="134">
        <v>3</v>
      </c>
      <c r="BR15" s="134">
        <v>13</v>
      </c>
      <c r="BS15" s="134">
        <v>16</v>
      </c>
      <c r="BT15" s="134">
        <v>3</v>
      </c>
      <c r="BU15" s="134">
        <v>42</v>
      </c>
      <c r="BV15" s="134">
        <v>45</v>
      </c>
      <c r="BW15" s="134">
        <v>11337</v>
      </c>
      <c r="BX15" s="134">
        <v>76649</v>
      </c>
      <c r="BY15" s="134">
        <v>87986</v>
      </c>
      <c r="BZ15" s="134">
        <v>11166</v>
      </c>
      <c r="CA15" s="134">
        <v>75766</v>
      </c>
      <c r="CB15" s="134">
        <v>86932</v>
      </c>
      <c r="CC15" s="134">
        <v>202719</v>
      </c>
      <c r="CD15" s="134">
        <v>74</v>
      </c>
      <c r="CE15" s="134">
        <v>886</v>
      </c>
      <c r="CF15" s="134">
        <v>162</v>
      </c>
      <c r="CG15" s="134">
        <v>657</v>
      </c>
      <c r="CH15" s="134">
        <v>819</v>
      </c>
      <c r="CI15" s="134">
        <v>266</v>
      </c>
      <c r="CJ15" s="134">
        <v>33</v>
      </c>
      <c r="CK15" s="134">
        <v>9</v>
      </c>
      <c r="CL15" s="134">
        <v>226</v>
      </c>
      <c r="CM15" s="134">
        <v>235</v>
      </c>
      <c r="CN15" s="134">
        <v>703</v>
      </c>
      <c r="CO15" s="134">
        <v>6361</v>
      </c>
      <c r="CP15" s="134">
        <v>7064</v>
      </c>
      <c r="CQ15" s="134">
        <v>0</v>
      </c>
      <c r="CR15" s="134">
        <v>0</v>
      </c>
      <c r="CS15" s="134">
        <v>0</v>
      </c>
      <c r="CT15" s="134">
        <v>10634</v>
      </c>
      <c r="CU15" s="134">
        <v>70288</v>
      </c>
      <c r="CV15" s="134">
        <v>80922</v>
      </c>
      <c r="CW15" s="134">
        <v>1022</v>
      </c>
      <c r="CX15" s="134">
        <v>5225</v>
      </c>
      <c r="CY15" s="134">
        <v>6247</v>
      </c>
      <c r="CZ15" s="134">
        <v>827</v>
      </c>
      <c r="DA15" s="134">
        <v>16</v>
      </c>
      <c r="DB15" s="134">
        <v>1</v>
      </c>
      <c r="DC15" s="134">
        <v>4195</v>
      </c>
      <c r="DD15" s="134">
        <v>52</v>
      </c>
      <c r="DE15" s="134">
        <v>7</v>
      </c>
      <c r="DF15" s="134">
        <v>844</v>
      </c>
      <c r="DG15" s="134">
        <v>4254</v>
      </c>
      <c r="DH15" s="134">
        <v>5098</v>
      </c>
      <c r="DI15" s="134">
        <v>177</v>
      </c>
      <c r="DJ15" s="134">
        <v>1</v>
      </c>
      <c r="DK15" s="134">
        <v>0</v>
      </c>
      <c r="DL15" s="134">
        <v>959</v>
      </c>
      <c r="DM15" s="134">
        <v>8</v>
      </c>
      <c r="DN15" s="134">
        <v>4</v>
      </c>
      <c r="DO15" s="134">
        <v>178</v>
      </c>
      <c r="DP15" s="134">
        <v>971</v>
      </c>
      <c r="DQ15" s="134">
        <v>1149</v>
      </c>
      <c r="DR15" s="134">
        <v>2</v>
      </c>
      <c r="DS15" s="134">
        <v>5</v>
      </c>
      <c r="DT15" s="135">
        <v>7</v>
      </c>
    </row>
    <row r="16" spans="1:129" s="116" customFormat="1">
      <c r="A16" s="133" t="s">
        <v>285</v>
      </c>
      <c r="B16" s="134">
        <v>115</v>
      </c>
      <c r="C16" s="134">
        <v>18</v>
      </c>
      <c r="D16" s="134">
        <v>108</v>
      </c>
      <c r="E16" s="134">
        <v>59</v>
      </c>
      <c r="F16" s="134">
        <v>0</v>
      </c>
      <c r="G16" s="134">
        <v>0</v>
      </c>
      <c r="H16" s="134">
        <v>0</v>
      </c>
      <c r="I16" s="134">
        <v>0</v>
      </c>
      <c r="J16" s="134">
        <v>45</v>
      </c>
      <c r="K16" s="134">
        <v>45</v>
      </c>
      <c r="L16" s="134">
        <v>0</v>
      </c>
      <c r="M16" s="134">
        <v>18</v>
      </c>
      <c r="N16" s="134">
        <v>18</v>
      </c>
      <c r="O16" s="134">
        <v>0</v>
      </c>
      <c r="P16" s="134">
        <v>27</v>
      </c>
      <c r="Q16" s="134">
        <v>27</v>
      </c>
      <c r="R16" s="134">
        <v>0</v>
      </c>
      <c r="S16" s="134">
        <v>1</v>
      </c>
      <c r="T16" s="134">
        <v>1</v>
      </c>
      <c r="U16" s="134">
        <v>0</v>
      </c>
      <c r="V16" s="134">
        <v>4</v>
      </c>
      <c r="W16" s="134">
        <v>4</v>
      </c>
      <c r="X16" s="134">
        <v>3</v>
      </c>
      <c r="Y16" s="134">
        <v>104</v>
      </c>
      <c r="Z16" s="134">
        <v>107</v>
      </c>
      <c r="AA16" s="134">
        <v>1</v>
      </c>
      <c r="AB16" s="134">
        <v>37</v>
      </c>
      <c r="AC16" s="134">
        <v>38</v>
      </c>
      <c r="AD16" s="134">
        <v>1</v>
      </c>
      <c r="AE16" s="134">
        <v>34</v>
      </c>
      <c r="AF16" s="134">
        <v>35</v>
      </c>
      <c r="AG16" s="134">
        <v>0</v>
      </c>
      <c r="AH16" s="134">
        <v>2</v>
      </c>
      <c r="AI16" s="134">
        <v>2</v>
      </c>
      <c r="AJ16" s="134">
        <v>0</v>
      </c>
      <c r="AK16" s="134">
        <v>1</v>
      </c>
      <c r="AL16" s="134">
        <v>1</v>
      </c>
      <c r="AM16" s="134">
        <v>2</v>
      </c>
      <c r="AN16" s="134">
        <v>67</v>
      </c>
      <c r="AO16" s="134">
        <v>69</v>
      </c>
      <c r="AP16" s="134">
        <v>191</v>
      </c>
      <c r="AQ16" s="134">
        <v>1225</v>
      </c>
      <c r="AR16" s="134">
        <v>1416</v>
      </c>
      <c r="AS16" s="134">
        <v>191</v>
      </c>
      <c r="AT16" s="134">
        <v>1225</v>
      </c>
      <c r="AU16" s="134">
        <v>1416</v>
      </c>
      <c r="AV16" s="134">
        <v>0</v>
      </c>
      <c r="AW16" s="134">
        <v>0</v>
      </c>
      <c r="AX16" s="134">
        <v>0</v>
      </c>
      <c r="AY16" s="134">
        <v>2</v>
      </c>
      <c r="AZ16" s="134">
        <v>101</v>
      </c>
      <c r="BA16" s="134">
        <v>103</v>
      </c>
      <c r="BB16" s="134">
        <v>3</v>
      </c>
      <c r="BC16" s="134">
        <v>0</v>
      </c>
      <c r="BD16" s="134">
        <v>0</v>
      </c>
      <c r="BE16" s="134">
        <v>55</v>
      </c>
      <c r="BF16" s="134">
        <v>1</v>
      </c>
      <c r="BG16" s="134">
        <v>0</v>
      </c>
      <c r="BH16" s="134">
        <v>3</v>
      </c>
      <c r="BI16" s="134">
        <v>56</v>
      </c>
      <c r="BJ16" s="134">
        <v>59</v>
      </c>
      <c r="BK16" s="134">
        <v>-3</v>
      </c>
      <c r="BL16" s="134">
        <v>3</v>
      </c>
      <c r="BM16" s="134">
        <v>0</v>
      </c>
      <c r="BN16" s="134">
        <v>0</v>
      </c>
      <c r="BO16" s="134">
        <v>4</v>
      </c>
      <c r="BP16" s="134">
        <v>4</v>
      </c>
      <c r="BQ16" s="134">
        <v>2</v>
      </c>
      <c r="BR16" s="134">
        <v>9</v>
      </c>
      <c r="BS16" s="134">
        <v>11</v>
      </c>
      <c r="BT16" s="134">
        <v>0</v>
      </c>
      <c r="BU16" s="134">
        <v>29</v>
      </c>
      <c r="BV16" s="134">
        <v>29</v>
      </c>
      <c r="BW16" s="134">
        <v>193</v>
      </c>
      <c r="BX16" s="134">
        <v>1326</v>
      </c>
      <c r="BY16" s="134">
        <v>1519</v>
      </c>
      <c r="BZ16" s="134">
        <v>193</v>
      </c>
      <c r="CA16" s="134">
        <v>1318</v>
      </c>
      <c r="CB16" s="134">
        <v>1511</v>
      </c>
      <c r="CC16" s="134">
        <v>3454</v>
      </c>
      <c r="CD16" s="134">
        <v>0</v>
      </c>
      <c r="CE16" s="134">
        <v>8</v>
      </c>
      <c r="CF16" s="134">
        <v>0</v>
      </c>
      <c r="CG16" s="134">
        <v>8</v>
      </c>
      <c r="CH16" s="134">
        <v>8</v>
      </c>
      <c r="CI16" s="134">
        <v>0</v>
      </c>
      <c r="CJ16" s="134">
        <v>0</v>
      </c>
      <c r="CK16" s="134">
        <v>0</v>
      </c>
      <c r="CL16" s="134">
        <v>0</v>
      </c>
      <c r="CM16" s="134">
        <v>0</v>
      </c>
      <c r="CN16" s="134">
        <v>9</v>
      </c>
      <c r="CO16" s="134">
        <v>113</v>
      </c>
      <c r="CP16" s="134">
        <v>122</v>
      </c>
      <c r="CQ16" s="134">
        <v>0</v>
      </c>
      <c r="CR16" s="134">
        <v>0</v>
      </c>
      <c r="CS16" s="134">
        <v>0</v>
      </c>
      <c r="CT16" s="134">
        <v>184</v>
      </c>
      <c r="CU16" s="134">
        <v>1213</v>
      </c>
      <c r="CV16" s="134">
        <v>1397</v>
      </c>
      <c r="CW16" s="134">
        <v>11</v>
      </c>
      <c r="CX16" s="134">
        <v>50</v>
      </c>
      <c r="CY16" s="134">
        <v>61</v>
      </c>
      <c r="CZ16" s="134">
        <v>11</v>
      </c>
      <c r="DA16" s="134">
        <v>0</v>
      </c>
      <c r="DB16" s="134">
        <v>0</v>
      </c>
      <c r="DC16" s="134">
        <v>48</v>
      </c>
      <c r="DD16" s="134">
        <v>0</v>
      </c>
      <c r="DE16" s="134">
        <v>0</v>
      </c>
      <c r="DF16" s="134">
        <v>11</v>
      </c>
      <c r="DG16" s="134">
        <v>48</v>
      </c>
      <c r="DH16" s="134">
        <v>59</v>
      </c>
      <c r="DI16" s="134">
        <v>0</v>
      </c>
      <c r="DJ16" s="134">
        <v>0</v>
      </c>
      <c r="DK16" s="134">
        <v>0</v>
      </c>
      <c r="DL16" s="134">
        <v>2</v>
      </c>
      <c r="DM16" s="134">
        <v>0</v>
      </c>
      <c r="DN16" s="134">
        <v>0</v>
      </c>
      <c r="DO16" s="134">
        <v>0</v>
      </c>
      <c r="DP16" s="134">
        <v>2</v>
      </c>
      <c r="DQ16" s="134">
        <v>2</v>
      </c>
      <c r="DR16" s="134">
        <v>0</v>
      </c>
      <c r="DS16" s="134">
        <v>0</v>
      </c>
      <c r="DT16" s="135">
        <v>0</v>
      </c>
      <c r="DV16" s="136"/>
      <c r="DW16" s="137"/>
      <c r="DX16" s="136"/>
      <c r="DY16" s="136"/>
    </row>
    <row r="17" spans="1:129" s="116" customFormat="1">
      <c r="A17" s="133" t="s">
        <v>286</v>
      </c>
      <c r="B17" s="134">
        <v>1134</v>
      </c>
      <c r="C17" s="134">
        <v>272</v>
      </c>
      <c r="D17" s="134">
        <v>1020</v>
      </c>
      <c r="E17" s="134">
        <v>566</v>
      </c>
      <c r="F17" s="134">
        <v>0</v>
      </c>
      <c r="G17" s="134">
        <v>4</v>
      </c>
      <c r="H17" s="134">
        <v>4</v>
      </c>
      <c r="I17" s="134">
        <v>1</v>
      </c>
      <c r="J17" s="134">
        <v>429</v>
      </c>
      <c r="K17" s="134">
        <v>430</v>
      </c>
      <c r="L17" s="134">
        <v>1</v>
      </c>
      <c r="M17" s="134">
        <v>130</v>
      </c>
      <c r="N17" s="134">
        <v>131</v>
      </c>
      <c r="O17" s="134">
        <v>0</v>
      </c>
      <c r="P17" s="134">
        <v>299</v>
      </c>
      <c r="Q17" s="134">
        <v>299</v>
      </c>
      <c r="R17" s="134">
        <v>0</v>
      </c>
      <c r="S17" s="134">
        <v>1</v>
      </c>
      <c r="T17" s="134">
        <v>1</v>
      </c>
      <c r="U17" s="134">
        <v>0</v>
      </c>
      <c r="V17" s="134">
        <v>24</v>
      </c>
      <c r="W17" s="134">
        <v>24</v>
      </c>
      <c r="X17" s="134">
        <v>19</v>
      </c>
      <c r="Y17" s="134">
        <v>1001</v>
      </c>
      <c r="Z17" s="134">
        <v>1020</v>
      </c>
      <c r="AA17" s="134">
        <v>12</v>
      </c>
      <c r="AB17" s="134">
        <v>395</v>
      </c>
      <c r="AC17" s="134">
        <v>407</v>
      </c>
      <c r="AD17" s="134">
        <v>11</v>
      </c>
      <c r="AE17" s="134">
        <v>389</v>
      </c>
      <c r="AF17" s="134">
        <v>400</v>
      </c>
      <c r="AG17" s="134">
        <v>1</v>
      </c>
      <c r="AH17" s="134">
        <v>6</v>
      </c>
      <c r="AI17" s="134">
        <v>7</v>
      </c>
      <c r="AJ17" s="134">
        <v>0</v>
      </c>
      <c r="AK17" s="134">
        <v>0</v>
      </c>
      <c r="AL17" s="134">
        <v>0</v>
      </c>
      <c r="AM17" s="134">
        <v>7</v>
      </c>
      <c r="AN17" s="134">
        <v>606</v>
      </c>
      <c r="AO17" s="134">
        <v>613</v>
      </c>
      <c r="AP17" s="134">
        <v>830</v>
      </c>
      <c r="AQ17" s="134">
        <v>10382</v>
      </c>
      <c r="AR17" s="134">
        <v>11212</v>
      </c>
      <c r="AS17" s="134">
        <v>830</v>
      </c>
      <c r="AT17" s="134">
        <v>10382</v>
      </c>
      <c r="AU17" s="134">
        <v>11212</v>
      </c>
      <c r="AV17" s="134">
        <v>0</v>
      </c>
      <c r="AW17" s="134">
        <v>0</v>
      </c>
      <c r="AX17" s="134">
        <v>0</v>
      </c>
      <c r="AY17" s="134">
        <v>8</v>
      </c>
      <c r="AZ17" s="134">
        <v>1051</v>
      </c>
      <c r="BA17" s="134">
        <v>1059</v>
      </c>
      <c r="BB17" s="134">
        <v>16</v>
      </c>
      <c r="BC17" s="134">
        <v>0</v>
      </c>
      <c r="BD17" s="134">
        <v>0</v>
      </c>
      <c r="BE17" s="134">
        <v>547</v>
      </c>
      <c r="BF17" s="134">
        <v>3</v>
      </c>
      <c r="BG17" s="134">
        <v>0</v>
      </c>
      <c r="BH17" s="134">
        <v>16</v>
      </c>
      <c r="BI17" s="134">
        <v>550</v>
      </c>
      <c r="BJ17" s="134">
        <v>566</v>
      </c>
      <c r="BK17" s="134">
        <v>-26</v>
      </c>
      <c r="BL17" s="134">
        <v>26</v>
      </c>
      <c r="BM17" s="134">
        <v>0</v>
      </c>
      <c r="BN17" s="134">
        <v>2</v>
      </c>
      <c r="BO17" s="134">
        <v>21</v>
      </c>
      <c r="BP17" s="134">
        <v>23</v>
      </c>
      <c r="BQ17" s="134">
        <v>1</v>
      </c>
      <c r="BR17" s="134">
        <v>155</v>
      </c>
      <c r="BS17" s="134">
        <v>156</v>
      </c>
      <c r="BT17" s="134">
        <v>15</v>
      </c>
      <c r="BU17" s="134">
        <v>299</v>
      </c>
      <c r="BV17" s="134">
        <v>314</v>
      </c>
      <c r="BW17" s="134">
        <v>838</v>
      </c>
      <c r="BX17" s="134">
        <v>11433</v>
      </c>
      <c r="BY17" s="134">
        <v>12271</v>
      </c>
      <c r="BZ17" s="134">
        <v>835</v>
      </c>
      <c r="CA17" s="134">
        <v>11395</v>
      </c>
      <c r="CB17" s="134">
        <v>12230</v>
      </c>
      <c r="CC17" s="134">
        <v>20630</v>
      </c>
      <c r="CD17" s="134">
        <v>8</v>
      </c>
      <c r="CE17" s="134">
        <v>28</v>
      </c>
      <c r="CF17" s="134">
        <v>3</v>
      </c>
      <c r="CG17" s="134">
        <v>29</v>
      </c>
      <c r="CH17" s="134">
        <v>32</v>
      </c>
      <c r="CI17" s="134">
        <v>10</v>
      </c>
      <c r="CJ17" s="134">
        <v>1</v>
      </c>
      <c r="CK17" s="134">
        <v>0</v>
      </c>
      <c r="CL17" s="134">
        <v>9</v>
      </c>
      <c r="CM17" s="134">
        <v>9</v>
      </c>
      <c r="CN17" s="134">
        <v>47</v>
      </c>
      <c r="CO17" s="134">
        <v>1218</v>
      </c>
      <c r="CP17" s="134">
        <v>1265</v>
      </c>
      <c r="CQ17" s="134">
        <v>0</v>
      </c>
      <c r="CR17" s="134">
        <v>12</v>
      </c>
      <c r="CS17" s="134">
        <v>12</v>
      </c>
      <c r="CT17" s="134">
        <v>791</v>
      </c>
      <c r="CU17" s="134">
        <v>10215</v>
      </c>
      <c r="CV17" s="134">
        <v>11006</v>
      </c>
      <c r="CW17" s="134">
        <v>39</v>
      </c>
      <c r="CX17" s="134">
        <v>367</v>
      </c>
      <c r="CY17" s="134">
        <v>406</v>
      </c>
      <c r="CZ17" s="134">
        <v>38</v>
      </c>
      <c r="DA17" s="134">
        <v>1</v>
      </c>
      <c r="DB17" s="134">
        <v>0</v>
      </c>
      <c r="DC17" s="134">
        <v>354</v>
      </c>
      <c r="DD17" s="134">
        <v>3</v>
      </c>
      <c r="DE17" s="134">
        <v>0</v>
      </c>
      <c r="DF17" s="134">
        <v>39</v>
      </c>
      <c r="DG17" s="134">
        <v>357</v>
      </c>
      <c r="DH17" s="134">
        <v>396</v>
      </c>
      <c r="DI17" s="134">
        <v>0</v>
      </c>
      <c r="DJ17" s="134">
        <v>0</v>
      </c>
      <c r="DK17" s="134">
        <v>0</v>
      </c>
      <c r="DL17" s="134">
        <v>10</v>
      </c>
      <c r="DM17" s="134">
        <v>0</v>
      </c>
      <c r="DN17" s="134">
        <v>0</v>
      </c>
      <c r="DO17" s="134">
        <v>0</v>
      </c>
      <c r="DP17" s="134">
        <v>10</v>
      </c>
      <c r="DQ17" s="134">
        <v>10</v>
      </c>
      <c r="DR17" s="134">
        <v>0</v>
      </c>
      <c r="DS17" s="134">
        <v>0</v>
      </c>
      <c r="DT17" s="135">
        <v>0</v>
      </c>
      <c r="DV17" s="136"/>
      <c r="DW17" s="137"/>
      <c r="DX17" s="136"/>
      <c r="DY17" s="136"/>
    </row>
    <row r="18" spans="1:129" s="116" customFormat="1">
      <c r="A18" s="133" t="s">
        <v>287</v>
      </c>
      <c r="B18" s="134">
        <v>1235</v>
      </c>
      <c r="C18" s="134">
        <v>169</v>
      </c>
      <c r="D18" s="134">
        <v>1181</v>
      </c>
      <c r="E18" s="134">
        <v>808</v>
      </c>
      <c r="F18" s="134">
        <v>1</v>
      </c>
      <c r="G18" s="134">
        <v>22</v>
      </c>
      <c r="H18" s="134">
        <v>23</v>
      </c>
      <c r="I18" s="134">
        <v>0</v>
      </c>
      <c r="J18" s="134">
        <v>328</v>
      </c>
      <c r="K18" s="134">
        <v>328</v>
      </c>
      <c r="L18" s="134">
        <v>0</v>
      </c>
      <c r="M18" s="134">
        <v>169</v>
      </c>
      <c r="N18" s="134">
        <v>169</v>
      </c>
      <c r="O18" s="134">
        <v>0</v>
      </c>
      <c r="P18" s="134">
        <v>159</v>
      </c>
      <c r="Q18" s="134">
        <v>159</v>
      </c>
      <c r="R18" s="134">
        <v>0</v>
      </c>
      <c r="S18" s="134">
        <v>6</v>
      </c>
      <c r="T18" s="134">
        <v>6</v>
      </c>
      <c r="U18" s="134">
        <v>0</v>
      </c>
      <c r="V18" s="134">
        <v>45</v>
      </c>
      <c r="W18" s="134">
        <v>45</v>
      </c>
      <c r="X18" s="134">
        <v>30</v>
      </c>
      <c r="Y18" s="134">
        <v>1149</v>
      </c>
      <c r="Z18" s="134">
        <v>1179</v>
      </c>
      <c r="AA18" s="134">
        <v>20</v>
      </c>
      <c r="AB18" s="134">
        <v>451</v>
      </c>
      <c r="AC18" s="134">
        <v>471</v>
      </c>
      <c r="AD18" s="134">
        <v>18</v>
      </c>
      <c r="AE18" s="134">
        <v>427</v>
      </c>
      <c r="AF18" s="134">
        <v>445</v>
      </c>
      <c r="AG18" s="134">
        <v>1</v>
      </c>
      <c r="AH18" s="134">
        <v>15</v>
      </c>
      <c r="AI18" s="134">
        <v>16</v>
      </c>
      <c r="AJ18" s="134">
        <v>1</v>
      </c>
      <c r="AK18" s="134">
        <v>9</v>
      </c>
      <c r="AL18" s="134">
        <v>10</v>
      </c>
      <c r="AM18" s="134">
        <v>10</v>
      </c>
      <c r="AN18" s="134">
        <v>698</v>
      </c>
      <c r="AO18" s="134">
        <v>708</v>
      </c>
      <c r="AP18" s="134">
        <v>2161</v>
      </c>
      <c r="AQ18" s="134">
        <v>14005</v>
      </c>
      <c r="AR18" s="134">
        <v>16166</v>
      </c>
      <c r="AS18" s="134">
        <v>2161</v>
      </c>
      <c r="AT18" s="134">
        <v>14006</v>
      </c>
      <c r="AU18" s="134">
        <v>16167</v>
      </c>
      <c r="AV18" s="134">
        <v>0</v>
      </c>
      <c r="AW18" s="134">
        <v>-1</v>
      </c>
      <c r="AX18" s="134">
        <v>-1</v>
      </c>
      <c r="AY18" s="134">
        <v>64</v>
      </c>
      <c r="AZ18" s="134">
        <v>1187</v>
      </c>
      <c r="BA18" s="134">
        <v>1251</v>
      </c>
      <c r="BB18" s="134">
        <v>38</v>
      </c>
      <c r="BC18" s="134">
        <v>0</v>
      </c>
      <c r="BD18" s="134">
        <v>0</v>
      </c>
      <c r="BE18" s="134">
        <v>744</v>
      </c>
      <c r="BF18" s="134">
        <v>21</v>
      </c>
      <c r="BG18" s="134">
        <v>5</v>
      </c>
      <c r="BH18" s="134">
        <v>38</v>
      </c>
      <c r="BI18" s="134">
        <v>770</v>
      </c>
      <c r="BJ18" s="134">
        <v>808</v>
      </c>
      <c r="BK18" s="134">
        <v>-33</v>
      </c>
      <c r="BL18" s="134">
        <v>33</v>
      </c>
      <c r="BM18" s="134">
        <v>0</v>
      </c>
      <c r="BN18" s="134">
        <v>1</v>
      </c>
      <c r="BO18" s="134">
        <v>19</v>
      </c>
      <c r="BP18" s="134">
        <v>20</v>
      </c>
      <c r="BQ18" s="134">
        <v>14</v>
      </c>
      <c r="BR18" s="134">
        <v>148</v>
      </c>
      <c r="BS18" s="134">
        <v>162</v>
      </c>
      <c r="BT18" s="134">
        <v>44</v>
      </c>
      <c r="BU18" s="134">
        <v>217</v>
      </c>
      <c r="BV18" s="134">
        <v>261</v>
      </c>
      <c r="BW18" s="134">
        <v>2225</v>
      </c>
      <c r="BX18" s="134">
        <v>15192</v>
      </c>
      <c r="BY18" s="134">
        <v>17417</v>
      </c>
      <c r="BZ18" s="134">
        <v>2201</v>
      </c>
      <c r="CA18" s="134">
        <v>14808</v>
      </c>
      <c r="CB18" s="134">
        <v>17009</v>
      </c>
      <c r="CC18" s="134">
        <v>41638</v>
      </c>
      <c r="CD18" s="134">
        <v>25</v>
      </c>
      <c r="CE18" s="134">
        <v>349</v>
      </c>
      <c r="CF18" s="134">
        <v>23</v>
      </c>
      <c r="CG18" s="134">
        <v>323</v>
      </c>
      <c r="CH18" s="134">
        <v>346</v>
      </c>
      <c r="CI18" s="134">
        <v>64</v>
      </c>
      <c r="CJ18" s="134">
        <v>2</v>
      </c>
      <c r="CK18" s="134">
        <v>1</v>
      </c>
      <c r="CL18" s="134">
        <v>61</v>
      </c>
      <c r="CM18" s="134">
        <v>62</v>
      </c>
      <c r="CN18" s="134">
        <v>107</v>
      </c>
      <c r="CO18" s="134">
        <v>1111</v>
      </c>
      <c r="CP18" s="134">
        <v>1218</v>
      </c>
      <c r="CQ18" s="134">
        <v>0</v>
      </c>
      <c r="CR18" s="134">
        <v>4</v>
      </c>
      <c r="CS18" s="134">
        <v>4</v>
      </c>
      <c r="CT18" s="134">
        <v>2118</v>
      </c>
      <c r="CU18" s="134">
        <v>14081</v>
      </c>
      <c r="CV18" s="134">
        <v>16199</v>
      </c>
      <c r="CW18" s="134">
        <v>175</v>
      </c>
      <c r="CX18" s="134">
        <v>711</v>
      </c>
      <c r="CY18" s="134">
        <v>886</v>
      </c>
      <c r="CZ18" s="134">
        <v>171</v>
      </c>
      <c r="DA18" s="134">
        <v>0</v>
      </c>
      <c r="DB18" s="134">
        <v>1</v>
      </c>
      <c r="DC18" s="134">
        <v>690</v>
      </c>
      <c r="DD18" s="134">
        <v>18</v>
      </c>
      <c r="DE18" s="134">
        <v>1</v>
      </c>
      <c r="DF18" s="134">
        <v>172</v>
      </c>
      <c r="DG18" s="134">
        <v>709</v>
      </c>
      <c r="DH18" s="134">
        <v>881</v>
      </c>
      <c r="DI18" s="134">
        <v>3</v>
      </c>
      <c r="DJ18" s="134">
        <v>0</v>
      </c>
      <c r="DK18" s="134">
        <v>0</v>
      </c>
      <c r="DL18" s="134">
        <v>2</v>
      </c>
      <c r="DM18" s="134">
        <v>0</v>
      </c>
      <c r="DN18" s="134">
        <v>0</v>
      </c>
      <c r="DO18" s="134">
        <v>3</v>
      </c>
      <c r="DP18" s="134">
        <v>2</v>
      </c>
      <c r="DQ18" s="134">
        <v>5</v>
      </c>
      <c r="DR18" s="134">
        <v>0</v>
      </c>
      <c r="DS18" s="134">
        <v>0</v>
      </c>
      <c r="DT18" s="135">
        <v>0</v>
      </c>
      <c r="DV18" s="136"/>
      <c r="DW18" s="137"/>
      <c r="DX18" s="136"/>
      <c r="DY18" s="136"/>
    </row>
    <row r="19" spans="1:129" s="116" customFormat="1">
      <c r="A19" s="133" t="s">
        <v>288</v>
      </c>
      <c r="B19" s="134">
        <v>75</v>
      </c>
      <c r="C19" s="134">
        <v>4</v>
      </c>
      <c r="D19" s="134">
        <v>74</v>
      </c>
      <c r="E19" s="134">
        <v>61</v>
      </c>
      <c r="F19" s="134">
        <v>0</v>
      </c>
      <c r="G19" s="134">
        <v>1</v>
      </c>
      <c r="H19" s="134">
        <v>1</v>
      </c>
      <c r="I19" s="134">
        <v>0</v>
      </c>
      <c r="J19" s="134">
        <v>8</v>
      </c>
      <c r="K19" s="134">
        <v>8</v>
      </c>
      <c r="L19" s="134">
        <v>0</v>
      </c>
      <c r="M19" s="134">
        <v>3</v>
      </c>
      <c r="N19" s="134">
        <v>3</v>
      </c>
      <c r="O19" s="134">
        <v>0</v>
      </c>
      <c r="P19" s="134">
        <v>5</v>
      </c>
      <c r="Q19" s="134">
        <v>5</v>
      </c>
      <c r="R19" s="134">
        <v>0</v>
      </c>
      <c r="S19" s="134">
        <v>0</v>
      </c>
      <c r="T19" s="134">
        <v>0</v>
      </c>
      <c r="U19" s="134">
        <v>0</v>
      </c>
      <c r="V19" s="134">
        <v>5</v>
      </c>
      <c r="W19" s="134">
        <v>5</v>
      </c>
      <c r="X19" s="134">
        <v>3</v>
      </c>
      <c r="Y19" s="134">
        <v>71</v>
      </c>
      <c r="Z19" s="134">
        <v>74</v>
      </c>
      <c r="AA19" s="134">
        <v>1</v>
      </c>
      <c r="AB19" s="134">
        <v>45</v>
      </c>
      <c r="AC19" s="134">
        <v>46</v>
      </c>
      <c r="AD19" s="134">
        <v>1</v>
      </c>
      <c r="AE19" s="134">
        <v>43</v>
      </c>
      <c r="AF19" s="134">
        <v>44</v>
      </c>
      <c r="AG19" s="134">
        <v>0</v>
      </c>
      <c r="AH19" s="134">
        <v>2</v>
      </c>
      <c r="AI19" s="134">
        <v>2</v>
      </c>
      <c r="AJ19" s="134">
        <v>0</v>
      </c>
      <c r="AK19" s="134">
        <v>0</v>
      </c>
      <c r="AL19" s="134">
        <v>0</v>
      </c>
      <c r="AM19" s="134">
        <v>2</v>
      </c>
      <c r="AN19" s="134">
        <v>26</v>
      </c>
      <c r="AO19" s="134">
        <v>28</v>
      </c>
      <c r="AP19" s="134">
        <v>71</v>
      </c>
      <c r="AQ19" s="134">
        <v>859</v>
      </c>
      <c r="AR19" s="134">
        <v>930</v>
      </c>
      <c r="AS19" s="134">
        <v>71</v>
      </c>
      <c r="AT19" s="134">
        <v>859</v>
      </c>
      <c r="AU19" s="134">
        <v>930</v>
      </c>
      <c r="AV19" s="134">
        <v>0</v>
      </c>
      <c r="AW19" s="134">
        <v>0</v>
      </c>
      <c r="AX19" s="134">
        <v>0</v>
      </c>
      <c r="AY19" s="134">
        <v>6</v>
      </c>
      <c r="AZ19" s="134">
        <v>93</v>
      </c>
      <c r="BA19" s="134">
        <v>99</v>
      </c>
      <c r="BB19" s="134">
        <v>2</v>
      </c>
      <c r="BC19" s="134">
        <v>0</v>
      </c>
      <c r="BD19" s="134">
        <v>0</v>
      </c>
      <c r="BE19" s="134">
        <v>57</v>
      </c>
      <c r="BF19" s="134">
        <v>2</v>
      </c>
      <c r="BG19" s="134">
        <v>0</v>
      </c>
      <c r="BH19" s="134">
        <v>2</v>
      </c>
      <c r="BI19" s="134">
        <v>59</v>
      </c>
      <c r="BJ19" s="134">
        <v>61</v>
      </c>
      <c r="BK19" s="134">
        <v>-1</v>
      </c>
      <c r="BL19" s="134">
        <v>1</v>
      </c>
      <c r="BM19" s="134">
        <v>0</v>
      </c>
      <c r="BN19" s="134">
        <v>0</v>
      </c>
      <c r="BO19" s="134">
        <v>5</v>
      </c>
      <c r="BP19" s="134">
        <v>5</v>
      </c>
      <c r="BQ19" s="134">
        <v>5</v>
      </c>
      <c r="BR19" s="134">
        <v>15</v>
      </c>
      <c r="BS19" s="134">
        <v>20</v>
      </c>
      <c r="BT19" s="134">
        <v>0</v>
      </c>
      <c r="BU19" s="134">
        <v>13</v>
      </c>
      <c r="BV19" s="134">
        <v>13</v>
      </c>
      <c r="BW19" s="134">
        <v>77</v>
      </c>
      <c r="BX19" s="134">
        <v>952</v>
      </c>
      <c r="BY19" s="134">
        <v>1029</v>
      </c>
      <c r="BZ19" s="134">
        <v>77</v>
      </c>
      <c r="CA19" s="134">
        <v>943</v>
      </c>
      <c r="CB19" s="134">
        <v>1020</v>
      </c>
      <c r="CC19" s="134">
        <v>1957</v>
      </c>
      <c r="CD19" s="134">
        <v>2</v>
      </c>
      <c r="CE19" s="134">
        <v>5</v>
      </c>
      <c r="CF19" s="134">
        <v>0</v>
      </c>
      <c r="CG19" s="134">
        <v>7</v>
      </c>
      <c r="CH19" s="134">
        <v>7</v>
      </c>
      <c r="CI19" s="134">
        <v>2</v>
      </c>
      <c r="CJ19" s="134">
        <v>0</v>
      </c>
      <c r="CK19" s="134">
        <v>0</v>
      </c>
      <c r="CL19" s="134">
        <v>2</v>
      </c>
      <c r="CM19" s="134">
        <v>2</v>
      </c>
      <c r="CN19" s="134">
        <v>5</v>
      </c>
      <c r="CO19" s="134">
        <v>74</v>
      </c>
      <c r="CP19" s="134">
        <v>79</v>
      </c>
      <c r="CQ19" s="134">
        <v>0</v>
      </c>
      <c r="CR19" s="134">
        <v>0</v>
      </c>
      <c r="CS19" s="134">
        <v>0</v>
      </c>
      <c r="CT19" s="134">
        <v>72</v>
      </c>
      <c r="CU19" s="134">
        <v>878</v>
      </c>
      <c r="CV19" s="134">
        <v>950</v>
      </c>
      <c r="CW19" s="134">
        <v>2</v>
      </c>
      <c r="CX19" s="134">
        <v>13</v>
      </c>
      <c r="CY19" s="134">
        <v>15</v>
      </c>
      <c r="CZ19" s="134">
        <v>2</v>
      </c>
      <c r="DA19" s="134">
        <v>0</v>
      </c>
      <c r="DB19" s="134">
        <v>0</v>
      </c>
      <c r="DC19" s="134">
        <v>13</v>
      </c>
      <c r="DD19" s="134">
        <v>0</v>
      </c>
      <c r="DE19" s="134">
        <v>0</v>
      </c>
      <c r="DF19" s="134">
        <v>2</v>
      </c>
      <c r="DG19" s="134">
        <v>13</v>
      </c>
      <c r="DH19" s="134">
        <v>15</v>
      </c>
      <c r="DI19" s="134">
        <v>0</v>
      </c>
      <c r="DJ19" s="134">
        <v>0</v>
      </c>
      <c r="DK19" s="134">
        <v>0</v>
      </c>
      <c r="DL19" s="134">
        <v>0</v>
      </c>
      <c r="DM19" s="134">
        <v>0</v>
      </c>
      <c r="DN19" s="134">
        <v>0</v>
      </c>
      <c r="DO19" s="134">
        <v>0</v>
      </c>
      <c r="DP19" s="134">
        <v>0</v>
      </c>
      <c r="DQ19" s="134">
        <v>0</v>
      </c>
      <c r="DR19" s="134">
        <v>0</v>
      </c>
      <c r="DS19" s="134">
        <v>0</v>
      </c>
      <c r="DT19" s="135">
        <v>0</v>
      </c>
      <c r="DV19" s="136"/>
      <c r="DW19" s="137"/>
      <c r="DX19" s="136"/>
      <c r="DY19" s="136"/>
    </row>
    <row r="20" spans="1:129" s="116" customFormat="1">
      <c r="A20" s="133" t="s">
        <v>289</v>
      </c>
      <c r="B20" s="134">
        <v>5564</v>
      </c>
      <c r="C20" s="134">
        <v>1760</v>
      </c>
      <c r="D20" s="134">
        <v>5451</v>
      </c>
      <c r="E20" s="134">
        <v>3446</v>
      </c>
      <c r="F20" s="134">
        <v>5</v>
      </c>
      <c r="G20" s="134">
        <v>36</v>
      </c>
      <c r="H20" s="134">
        <v>41</v>
      </c>
      <c r="I20" s="134">
        <v>0</v>
      </c>
      <c r="J20" s="134">
        <v>1762</v>
      </c>
      <c r="K20" s="134">
        <v>1762</v>
      </c>
      <c r="L20" s="134">
        <v>0</v>
      </c>
      <c r="M20" s="134">
        <v>847</v>
      </c>
      <c r="N20" s="134">
        <v>847</v>
      </c>
      <c r="O20" s="134">
        <v>0</v>
      </c>
      <c r="P20" s="134">
        <v>915</v>
      </c>
      <c r="Q20" s="134">
        <v>915</v>
      </c>
      <c r="R20" s="134">
        <v>0</v>
      </c>
      <c r="S20" s="134">
        <v>17</v>
      </c>
      <c r="T20" s="134">
        <v>17</v>
      </c>
      <c r="U20" s="134">
        <v>0</v>
      </c>
      <c r="V20" s="134">
        <v>243</v>
      </c>
      <c r="W20" s="134">
        <v>243</v>
      </c>
      <c r="X20" s="134">
        <v>157</v>
      </c>
      <c r="Y20" s="134">
        <v>5293</v>
      </c>
      <c r="Z20" s="134">
        <v>5450</v>
      </c>
      <c r="AA20" s="134">
        <v>110</v>
      </c>
      <c r="AB20" s="134">
        <v>2171</v>
      </c>
      <c r="AC20" s="134">
        <v>2281</v>
      </c>
      <c r="AD20" s="134">
        <v>102</v>
      </c>
      <c r="AE20" s="134">
        <v>2003</v>
      </c>
      <c r="AF20" s="134">
        <v>2105</v>
      </c>
      <c r="AG20" s="134">
        <v>5</v>
      </c>
      <c r="AH20" s="134">
        <v>120</v>
      </c>
      <c r="AI20" s="134">
        <v>125</v>
      </c>
      <c r="AJ20" s="134">
        <v>3</v>
      </c>
      <c r="AK20" s="134">
        <v>48</v>
      </c>
      <c r="AL20" s="134">
        <v>51</v>
      </c>
      <c r="AM20" s="134">
        <v>47</v>
      </c>
      <c r="AN20" s="134">
        <v>3122</v>
      </c>
      <c r="AO20" s="134">
        <v>3169</v>
      </c>
      <c r="AP20" s="134">
        <v>9268</v>
      </c>
      <c r="AQ20" s="134">
        <v>55196</v>
      </c>
      <c r="AR20" s="134">
        <v>64464</v>
      </c>
      <c r="AS20" s="134">
        <v>9268</v>
      </c>
      <c r="AT20" s="134">
        <v>55199</v>
      </c>
      <c r="AU20" s="134">
        <v>64467</v>
      </c>
      <c r="AV20" s="134">
        <v>0</v>
      </c>
      <c r="AW20" s="134">
        <v>-3</v>
      </c>
      <c r="AX20" s="134">
        <v>-3</v>
      </c>
      <c r="AY20" s="134">
        <v>268</v>
      </c>
      <c r="AZ20" s="134">
        <v>4934</v>
      </c>
      <c r="BA20" s="134">
        <v>5202</v>
      </c>
      <c r="BB20" s="134">
        <v>193</v>
      </c>
      <c r="BC20" s="134">
        <v>0</v>
      </c>
      <c r="BD20" s="134">
        <v>0</v>
      </c>
      <c r="BE20" s="134">
        <v>3190</v>
      </c>
      <c r="BF20" s="134">
        <v>47</v>
      </c>
      <c r="BG20" s="134">
        <v>16</v>
      </c>
      <c r="BH20" s="134">
        <v>193</v>
      </c>
      <c r="BI20" s="134">
        <v>3253</v>
      </c>
      <c r="BJ20" s="134">
        <v>3446</v>
      </c>
      <c r="BK20" s="134">
        <v>-112</v>
      </c>
      <c r="BL20" s="134">
        <v>112</v>
      </c>
      <c r="BM20" s="134">
        <v>0</v>
      </c>
      <c r="BN20" s="134">
        <v>26</v>
      </c>
      <c r="BO20" s="134">
        <v>109</v>
      </c>
      <c r="BP20" s="134">
        <v>135</v>
      </c>
      <c r="BQ20" s="134">
        <v>58</v>
      </c>
      <c r="BR20" s="134">
        <v>656</v>
      </c>
      <c r="BS20" s="134">
        <v>714</v>
      </c>
      <c r="BT20" s="134">
        <v>103</v>
      </c>
      <c r="BU20" s="134">
        <v>804</v>
      </c>
      <c r="BV20" s="134">
        <v>907</v>
      </c>
      <c r="BW20" s="134">
        <v>9536</v>
      </c>
      <c r="BX20" s="134">
        <v>60130</v>
      </c>
      <c r="BY20" s="134">
        <v>69666</v>
      </c>
      <c r="BZ20" s="134">
        <v>9489</v>
      </c>
      <c r="CA20" s="134">
        <v>59149</v>
      </c>
      <c r="CB20" s="134">
        <v>68638</v>
      </c>
      <c r="CC20" s="134">
        <v>160206</v>
      </c>
      <c r="CD20" s="134">
        <v>56</v>
      </c>
      <c r="CE20" s="134">
        <v>805</v>
      </c>
      <c r="CF20" s="134">
        <v>44</v>
      </c>
      <c r="CG20" s="134">
        <v>736</v>
      </c>
      <c r="CH20" s="134">
        <v>780</v>
      </c>
      <c r="CI20" s="134">
        <v>324</v>
      </c>
      <c r="CJ20" s="134">
        <v>8</v>
      </c>
      <c r="CK20" s="134">
        <v>3</v>
      </c>
      <c r="CL20" s="134">
        <v>245</v>
      </c>
      <c r="CM20" s="134">
        <v>248</v>
      </c>
      <c r="CN20" s="134">
        <v>386</v>
      </c>
      <c r="CO20" s="134">
        <v>4967</v>
      </c>
      <c r="CP20" s="134">
        <v>5353</v>
      </c>
      <c r="CQ20" s="134">
        <v>0</v>
      </c>
      <c r="CR20" s="134">
        <v>16</v>
      </c>
      <c r="CS20" s="134">
        <v>16</v>
      </c>
      <c r="CT20" s="134">
        <v>9150</v>
      </c>
      <c r="CU20" s="134">
        <v>55163</v>
      </c>
      <c r="CV20" s="134">
        <v>64313</v>
      </c>
      <c r="CW20" s="134">
        <v>577</v>
      </c>
      <c r="CX20" s="134">
        <v>2096</v>
      </c>
      <c r="CY20" s="134">
        <v>2673</v>
      </c>
      <c r="CZ20" s="134">
        <v>572</v>
      </c>
      <c r="DA20" s="134">
        <v>3</v>
      </c>
      <c r="DB20" s="134">
        <v>0</v>
      </c>
      <c r="DC20" s="134">
        <v>1990</v>
      </c>
      <c r="DD20" s="134">
        <v>24</v>
      </c>
      <c r="DE20" s="134">
        <v>6</v>
      </c>
      <c r="DF20" s="134">
        <v>575</v>
      </c>
      <c r="DG20" s="134">
        <v>2020</v>
      </c>
      <c r="DH20" s="134">
        <v>2595</v>
      </c>
      <c r="DI20" s="134">
        <v>2</v>
      </c>
      <c r="DJ20" s="134">
        <v>0</v>
      </c>
      <c r="DK20" s="134">
        <v>0</v>
      </c>
      <c r="DL20" s="134">
        <v>76</v>
      </c>
      <c r="DM20" s="134">
        <v>0</v>
      </c>
      <c r="DN20" s="134">
        <v>0</v>
      </c>
      <c r="DO20" s="134">
        <v>2</v>
      </c>
      <c r="DP20" s="134">
        <v>76</v>
      </c>
      <c r="DQ20" s="134">
        <v>78</v>
      </c>
      <c r="DR20" s="134">
        <v>0</v>
      </c>
      <c r="DS20" s="134">
        <v>0</v>
      </c>
      <c r="DT20" s="135">
        <v>0</v>
      </c>
      <c r="DV20" s="136"/>
      <c r="DW20" s="137"/>
      <c r="DX20" s="136"/>
      <c r="DY20" s="136"/>
    </row>
    <row r="21" spans="1:129" s="116" customFormat="1">
      <c r="A21" s="133" t="s">
        <v>290</v>
      </c>
      <c r="B21" s="134">
        <v>909</v>
      </c>
      <c r="C21" s="134">
        <v>169</v>
      </c>
      <c r="D21" s="134">
        <v>887</v>
      </c>
      <c r="E21" s="134">
        <v>570</v>
      </c>
      <c r="F21" s="134">
        <v>0</v>
      </c>
      <c r="G21" s="134">
        <v>0</v>
      </c>
      <c r="H21" s="134">
        <v>0</v>
      </c>
      <c r="I21" s="134">
        <v>0</v>
      </c>
      <c r="J21" s="134">
        <v>288</v>
      </c>
      <c r="K21" s="134">
        <v>288</v>
      </c>
      <c r="L21" s="134">
        <v>0</v>
      </c>
      <c r="M21" s="134">
        <v>167</v>
      </c>
      <c r="N21" s="134">
        <v>167</v>
      </c>
      <c r="O21" s="134">
        <v>0</v>
      </c>
      <c r="P21" s="134">
        <v>121</v>
      </c>
      <c r="Q21" s="134">
        <v>121</v>
      </c>
      <c r="R21" s="134">
        <v>0</v>
      </c>
      <c r="S21" s="134">
        <v>4</v>
      </c>
      <c r="T21" s="134">
        <v>4</v>
      </c>
      <c r="U21" s="134">
        <v>0</v>
      </c>
      <c r="V21" s="134">
        <v>29</v>
      </c>
      <c r="W21" s="134">
        <v>29</v>
      </c>
      <c r="X21" s="134">
        <v>25</v>
      </c>
      <c r="Y21" s="134">
        <v>862</v>
      </c>
      <c r="Z21" s="134">
        <v>887</v>
      </c>
      <c r="AA21" s="134">
        <v>13</v>
      </c>
      <c r="AB21" s="134">
        <v>361</v>
      </c>
      <c r="AC21" s="134">
        <v>374</v>
      </c>
      <c r="AD21" s="134">
        <v>13</v>
      </c>
      <c r="AE21" s="134">
        <v>337</v>
      </c>
      <c r="AF21" s="134">
        <v>350</v>
      </c>
      <c r="AG21" s="134">
        <v>0</v>
      </c>
      <c r="AH21" s="134">
        <v>14</v>
      </c>
      <c r="AI21" s="134">
        <v>14</v>
      </c>
      <c r="AJ21" s="134">
        <v>0</v>
      </c>
      <c r="AK21" s="134">
        <v>10</v>
      </c>
      <c r="AL21" s="134">
        <v>10</v>
      </c>
      <c r="AM21" s="134">
        <v>12</v>
      </c>
      <c r="AN21" s="134">
        <v>501</v>
      </c>
      <c r="AO21" s="134">
        <v>513</v>
      </c>
      <c r="AP21" s="134">
        <v>1405</v>
      </c>
      <c r="AQ21" s="134">
        <v>8384</v>
      </c>
      <c r="AR21" s="134">
        <v>9789</v>
      </c>
      <c r="AS21" s="134">
        <v>1405</v>
      </c>
      <c r="AT21" s="134">
        <v>8384</v>
      </c>
      <c r="AU21" s="134">
        <v>9789</v>
      </c>
      <c r="AV21" s="134">
        <v>0</v>
      </c>
      <c r="AW21" s="134">
        <v>0</v>
      </c>
      <c r="AX21" s="134">
        <v>0</v>
      </c>
      <c r="AY21" s="134">
        <v>33</v>
      </c>
      <c r="AZ21" s="134">
        <v>896</v>
      </c>
      <c r="BA21" s="134">
        <v>929</v>
      </c>
      <c r="BB21" s="134">
        <v>26</v>
      </c>
      <c r="BC21" s="134">
        <v>0</v>
      </c>
      <c r="BD21" s="134">
        <v>0</v>
      </c>
      <c r="BE21" s="134">
        <v>539</v>
      </c>
      <c r="BF21" s="134">
        <v>3</v>
      </c>
      <c r="BG21" s="134">
        <v>2</v>
      </c>
      <c r="BH21" s="134">
        <v>26</v>
      </c>
      <c r="BI21" s="134">
        <v>544</v>
      </c>
      <c r="BJ21" s="134">
        <v>570</v>
      </c>
      <c r="BK21" s="134">
        <v>-35</v>
      </c>
      <c r="BL21" s="134">
        <v>35</v>
      </c>
      <c r="BM21" s="134">
        <v>0</v>
      </c>
      <c r="BN21" s="134">
        <v>8</v>
      </c>
      <c r="BO21" s="134">
        <v>21</v>
      </c>
      <c r="BP21" s="134">
        <v>29</v>
      </c>
      <c r="BQ21" s="134">
        <v>12</v>
      </c>
      <c r="BR21" s="134">
        <v>156</v>
      </c>
      <c r="BS21" s="134">
        <v>168</v>
      </c>
      <c r="BT21" s="134">
        <v>22</v>
      </c>
      <c r="BU21" s="134">
        <v>140</v>
      </c>
      <c r="BV21" s="134">
        <v>162</v>
      </c>
      <c r="BW21" s="134">
        <v>1438</v>
      </c>
      <c r="BX21" s="134">
        <v>9280</v>
      </c>
      <c r="BY21" s="134">
        <v>10718</v>
      </c>
      <c r="BZ21" s="134">
        <v>1423</v>
      </c>
      <c r="CA21" s="134">
        <v>9142</v>
      </c>
      <c r="CB21" s="134">
        <v>10565</v>
      </c>
      <c r="CC21" s="134">
        <v>23923</v>
      </c>
      <c r="CD21" s="134">
        <v>14</v>
      </c>
      <c r="CE21" s="134">
        <v>117</v>
      </c>
      <c r="CF21" s="134">
        <v>15</v>
      </c>
      <c r="CG21" s="134">
        <v>109</v>
      </c>
      <c r="CH21" s="134">
        <v>124</v>
      </c>
      <c r="CI21" s="134">
        <v>35</v>
      </c>
      <c r="CJ21" s="134">
        <v>0</v>
      </c>
      <c r="CK21" s="134">
        <v>0</v>
      </c>
      <c r="CL21" s="134">
        <v>29</v>
      </c>
      <c r="CM21" s="134">
        <v>29</v>
      </c>
      <c r="CN21" s="134">
        <v>70</v>
      </c>
      <c r="CO21" s="134">
        <v>812</v>
      </c>
      <c r="CP21" s="134">
        <v>882</v>
      </c>
      <c r="CQ21" s="134">
        <v>0</v>
      </c>
      <c r="CR21" s="134">
        <v>3</v>
      </c>
      <c r="CS21" s="134">
        <v>3</v>
      </c>
      <c r="CT21" s="134">
        <v>1368</v>
      </c>
      <c r="CU21" s="134">
        <v>8468</v>
      </c>
      <c r="CV21" s="134">
        <v>9836</v>
      </c>
      <c r="CW21" s="134">
        <v>77</v>
      </c>
      <c r="CX21" s="134">
        <v>336</v>
      </c>
      <c r="CY21" s="134">
        <v>413</v>
      </c>
      <c r="CZ21" s="134">
        <v>76</v>
      </c>
      <c r="DA21" s="134">
        <v>1</v>
      </c>
      <c r="DB21" s="134">
        <v>0</v>
      </c>
      <c r="DC21" s="134">
        <v>324</v>
      </c>
      <c r="DD21" s="134">
        <v>4</v>
      </c>
      <c r="DE21" s="134">
        <v>0</v>
      </c>
      <c r="DF21" s="134">
        <v>77</v>
      </c>
      <c r="DG21" s="134">
        <v>328</v>
      </c>
      <c r="DH21" s="134">
        <v>405</v>
      </c>
      <c r="DI21" s="134">
        <v>0</v>
      </c>
      <c r="DJ21" s="134">
        <v>0</v>
      </c>
      <c r="DK21" s="134">
        <v>0</v>
      </c>
      <c r="DL21" s="134">
        <v>8</v>
      </c>
      <c r="DM21" s="134">
        <v>0</v>
      </c>
      <c r="DN21" s="134">
        <v>0</v>
      </c>
      <c r="DO21" s="134">
        <v>0</v>
      </c>
      <c r="DP21" s="134">
        <v>8</v>
      </c>
      <c r="DQ21" s="134">
        <v>8</v>
      </c>
      <c r="DR21" s="134">
        <v>0</v>
      </c>
      <c r="DS21" s="134">
        <v>0</v>
      </c>
      <c r="DT21" s="135">
        <v>0</v>
      </c>
      <c r="DV21" s="136"/>
      <c r="DW21" s="137"/>
      <c r="DX21" s="136"/>
      <c r="DY21" s="136"/>
    </row>
    <row r="22" spans="1:129" s="116" customFormat="1">
      <c r="A22" s="133" t="s">
        <v>291</v>
      </c>
      <c r="B22" s="134">
        <v>379</v>
      </c>
      <c r="C22" s="134">
        <v>58</v>
      </c>
      <c r="D22" s="134">
        <v>379</v>
      </c>
      <c r="E22" s="134">
        <v>260</v>
      </c>
      <c r="F22" s="134">
        <v>1</v>
      </c>
      <c r="G22" s="134">
        <v>15</v>
      </c>
      <c r="H22" s="134">
        <v>16</v>
      </c>
      <c r="I22" s="134">
        <v>0</v>
      </c>
      <c r="J22" s="134">
        <v>102</v>
      </c>
      <c r="K22" s="134">
        <v>102</v>
      </c>
      <c r="L22" s="134">
        <v>0</v>
      </c>
      <c r="M22" s="134">
        <v>30</v>
      </c>
      <c r="N22" s="134">
        <v>30</v>
      </c>
      <c r="O22" s="134">
        <v>0</v>
      </c>
      <c r="P22" s="134">
        <v>72</v>
      </c>
      <c r="Q22" s="134">
        <v>72</v>
      </c>
      <c r="R22" s="134">
        <v>0</v>
      </c>
      <c r="S22" s="134">
        <v>4</v>
      </c>
      <c r="T22" s="134">
        <v>4</v>
      </c>
      <c r="U22" s="134">
        <v>0</v>
      </c>
      <c r="V22" s="134">
        <v>17</v>
      </c>
      <c r="W22" s="134">
        <v>17</v>
      </c>
      <c r="X22" s="134">
        <v>7</v>
      </c>
      <c r="Y22" s="134">
        <v>372</v>
      </c>
      <c r="Z22" s="134">
        <v>379</v>
      </c>
      <c r="AA22" s="134">
        <v>2</v>
      </c>
      <c r="AB22" s="134">
        <v>168</v>
      </c>
      <c r="AC22" s="134">
        <v>170</v>
      </c>
      <c r="AD22" s="134">
        <v>2</v>
      </c>
      <c r="AE22" s="134">
        <v>154</v>
      </c>
      <c r="AF22" s="134">
        <v>156</v>
      </c>
      <c r="AG22" s="134">
        <v>0</v>
      </c>
      <c r="AH22" s="134">
        <v>7</v>
      </c>
      <c r="AI22" s="134">
        <v>7</v>
      </c>
      <c r="AJ22" s="134">
        <v>0</v>
      </c>
      <c r="AK22" s="134">
        <v>7</v>
      </c>
      <c r="AL22" s="134">
        <v>7</v>
      </c>
      <c r="AM22" s="134">
        <v>5</v>
      </c>
      <c r="AN22" s="134">
        <v>204</v>
      </c>
      <c r="AO22" s="134">
        <v>209</v>
      </c>
      <c r="AP22" s="134">
        <v>509</v>
      </c>
      <c r="AQ22" s="134">
        <v>5457</v>
      </c>
      <c r="AR22" s="134">
        <v>5966</v>
      </c>
      <c r="AS22" s="134">
        <v>509</v>
      </c>
      <c r="AT22" s="134">
        <v>5457</v>
      </c>
      <c r="AU22" s="134">
        <v>5966</v>
      </c>
      <c r="AV22" s="134">
        <v>0</v>
      </c>
      <c r="AW22" s="134">
        <v>0</v>
      </c>
      <c r="AX22" s="134">
        <v>0</v>
      </c>
      <c r="AY22" s="134">
        <v>35</v>
      </c>
      <c r="AZ22" s="134">
        <v>451</v>
      </c>
      <c r="BA22" s="134">
        <v>486</v>
      </c>
      <c r="BB22" s="134">
        <v>10</v>
      </c>
      <c r="BC22" s="134">
        <v>0</v>
      </c>
      <c r="BD22" s="134">
        <v>0</v>
      </c>
      <c r="BE22" s="134">
        <v>247</v>
      </c>
      <c r="BF22" s="134">
        <v>3</v>
      </c>
      <c r="BG22" s="134">
        <v>0</v>
      </c>
      <c r="BH22" s="134">
        <v>10</v>
      </c>
      <c r="BI22" s="134">
        <v>250</v>
      </c>
      <c r="BJ22" s="134">
        <v>260</v>
      </c>
      <c r="BK22" s="134">
        <v>10</v>
      </c>
      <c r="BL22" s="134">
        <v>-10</v>
      </c>
      <c r="BM22" s="134">
        <v>0</v>
      </c>
      <c r="BN22" s="134">
        <v>3</v>
      </c>
      <c r="BO22" s="134">
        <v>13</v>
      </c>
      <c r="BP22" s="134">
        <v>16</v>
      </c>
      <c r="BQ22" s="134">
        <v>1</v>
      </c>
      <c r="BR22" s="134">
        <v>60</v>
      </c>
      <c r="BS22" s="134">
        <v>61</v>
      </c>
      <c r="BT22" s="134">
        <v>11</v>
      </c>
      <c r="BU22" s="134">
        <v>138</v>
      </c>
      <c r="BV22" s="134">
        <v>149</v>
      </c>
      <c r="BW22" s="134">
        <v>544</v>
      </c>
      <c r="BX22" s="134">
        <v>5908</v>
      </c>
      <c r="BY22" s="134">
        <v>6452</v>
      </c>
      <c r="BZ22" s="134">
        <v>541</v>
      </c>
      <c r="CA22" s="134">
        <v>5883</v>
      </c>
      <c r="CB22" s="134">
        <v>6424</v>
      </c>
      <c r="CC22" s="134">
        <v>11887</v>
      </c>
      <c r="CD22" s="134">
        <v>4</v>
      </c>
      <c r="CE22" s="134">
        <v>25</v>
      </c>
      <c r="CF22" s="134">
        <v>3</v>
      </c>
      <c r="CG22" s="134">
        <v>23</v>
      </c>
      <c r="CH22" s="134">
        <v>26</v>
      </c>
      <c r="CI22" s="134">
        <v>4</v>
      </c>
      <c r="CJ22" s="134">
        <v>0</v>
      </c>
      <c r="CK22" s="134">
        <v>0</v>
      </c>
      <c r="CL22" s="134">
        <v>2</v>
      </c>
      <c r="CM22" s="134">
        <v>2</v>
      </c>
      <c r="CN22" s="134">
        <v>24</v>
      </c>
      <c r="CO22" s="134">
        <v>483</v>
      </c>
      <c r="CP22" s="134">
        <v>507</v>
      </c>
      <c r="CQ22" s="134">
        <v>0</v>
      </c>
      <c r="CR22" s="134">
        <v>0</v>
      </c>
      <c r="CS22" s="134">
        <v>0</v>
      </c>
      <c r="CT22" s="134">
        <v>520</v>
      </c>
      <c r="CU22" s="134">
        <v>5425</v>
      </c>
      <c r="CV22" s="134">
        <v>5945</v>
      </c>
      <c r="CW22" s="134">
        <v>23</v>
      </c>
      <c r="CX22" s="134">
        <v>228</v>
      </c>
      <c r="CY22" s="134">
        <v>251</v>
      </c>
      <c r="CZ22" s="134">
        <v>23</v>
      </c>
      <c r="DA22" s="134">
        <v>0</v>
      </c>
      <c r="DB22" s="134">
        <v>0</v>
      </c>
      <c r="DC22" s="134">
        <v>226</v>
      </c>
      <c r="DD22" s="134">
        <v>0</v>
      </c>
      <c r="DE22" s="134">
        <v>0</v>
      </c>
      <c r="DF22" s="134">
        <v>23</v>
      </c>
      <c r="DG22" s="134">
        <v>226</v>
      </c>
      <c r="DH22" s="134">
        <v>249</v>
      </c>
      <c r="DI22" s="134">
        <v>0</v>
      </c>
      <c r="DJ22" s="134">
        <v>0</v>
      </c>
      <c r="DK22" s="134">
        <v>0</v>
      </c>
      <c r="DL22" s="134">
        <v>2</v>
      </c>
      <c r="DM22" s="134">
        <v>0</v>
      </c>
      <c r="DN22" s="134">
        <v>0</v>
      </c>
      <c r="DO22" s="134">
        <v>0</v>
      </c>
      <c r="DP22" s="134">
        <v>2</v>
      </c>
      <c r="DQ22" s="134">
        <v>2</v>
      </c>
      <c r="DR22" s="134">
        <v>0</v>
      </c>
      <c r="DS22" s="134">
        <v>0</v>
      </c>
      <c r="DT22" s="135">
        <v>0</v>
      </c>
      <c r="DV22" s="136"/>
      <c r="DW22" s="137"/>
      <c r="DX22" s="136"/>
      <c r="DY22" s="136"/>
    </row>
    <row r="23" spans="1:129" s="116" customFormat="1">
      <c r="A23" s="133" t="s">
        <v>292</v>
      </c>
      <c r="B23" s="134">
        <v>103</v>
      </c>
      <c r="C23" s="134">
        <v>19</v>
      </c>
      <c r="D23" s="134">
        <v>114</v>
      </c>
      <c r="E23" s="134">
        <v>74</v>
      </c>
      <c r="F23" s="134">
        <v>2</v>
      </c>
      <c r="G23" s="134">
        <v>4</v>
      </c>
      <c r="H23" s="134">
        <v>6</v>
      </c>
      <c r="I23" s="134">
        <v>0</v>
      </c>
      <c r="J23" s="134">
        <v>38</v>
      </c>
      <c r="K23" s="134">
        <v>38</v>
      </c>
      <c r="L23" s="134">
        <v>0</v>
      </c>
      <c r="M23" s="134">
        <v>28</v>
      </c>
      <c r="N23" s="134">
        <v>28</v>
      </c>
      <c r="O23" s="134">
        <v>0</v>
      </c>
      <c r="P23" s="134">
        <v>10</v>
      </c>
      <c r="Q23" s="134">
        <v>10</v>
      </c>
      <c r="R23" s="134">
        <v>0</v>
      </c>
      <c r="S23" s="134">
        <v>3</v>
      </c>
      <c r="T23" s="134">
        <v>3</v>
      </c>
      <c r="U23" s="134">
        <v>0</v>
      </c>
      <c r="V23" s="134">
        <v>2</v>
      </c>
      <c r="W23" s="134">
        <v>2</v>
      </c>
      <c r="X23" s="134">
        <v>2</v>
      </c>
      <c r="Y23" s="134">
        <v>112</v>
      </c>
      <c r="Z23" s="134">
        <v>114</v>
      </c>
      <c r="AA23" s="134">
        <v>1</v>
      </c>
      <c r="AB23" s="134">
        <v>53</v>
      </c>
      <c r="AC23" s="134">
        <v>54</v>
      </c>
      <c r="AD23" s="134">
        <v>1</v>
      </c>
      <c r="AE23" s="134">
        <v>47</v>
      </c>
      <c r="AF23" s="134">
        <v>48</v>
      </c>
      <c r="AG23" s="134">
        <v>0</v>
      </c>
      <c r="AH23" s="134">
        <v>2</v>
      </c>
      <c r="AI23" s="134">
        <v>2</v>
      </c>
      <c r="AJ23" s="134">
        <v>0</v>
      </c>
      <c r="AK23" s="134">
        <v>4</v>
      </c>
      <c r="AL23" s="134">
        <v>4</v>
      </c>
      <c r="AM23" s="134">
        <v>1</v>
      </c>
      <c r="AN23" s="134">
        <v>59</v>
      </c>
      <c r="AO23" s="134">
        <v>60</v>
      </c>
      <c r="AP23" s="134">
        <v>202</v>
      </c>
      <c r="AQ23" s="134">
        <v>1257</v>
      </c>
      <c r="AR23" s="134">
        <v>1459</v>
      </c>
      <c r="AS23" s="134">
        <v>202</v>
      </c>
      <c r="AT23" s="134">
        <v>1257</v>
      </c>
      <c r="AU23" s="134">
        <v>1459</v>
      </c>
      <c r="AV23" s="134">
        <v>0</v>
      </c>
      <c r="AW23" s="134">
        <v>0</v>
      </c>
      <c r="AX23" s="134">
        <v>0</v>
      </c>
      <c r="AY23" s="134">
        <v>21</v>
      </c>
      <c r="AZ23" s="134">
        <v>126</v>
      </c>
      <c r="BA23" s="134">
        <v>147</v>
      </c>
      <c r="BB23" s="134">
        <v>5</v>
      </c>
      <c r="BC23" s="134">
        <v>0</v>
      </c>
      <c r="BD23" s="134">
        <v>0</v>
      </c>
      <c r="BE23" s="134">
        <v>69</v>
      </c>
      <c r="BF23" s="134">
        <v>0</v>
      </c>
      <c r="BG23" s="134">
        <v>0</v>
      </c>
      <c r="BH23" s="134">
        <v>5</v>
      </c>
      <c r="BI23" s="134">
        <v>69</v>
      </c>
      <c r="BJ23" s="134">
        <v>74</v>
      </c>
      <c r="BK23" s="134">
        <v>3</v>
      </c>
      <c r="BL23" s="134">
        <v>-3</v>
      </c>
      <c r="BM23" s="134">
        <v>0</v>
      </c>
      <c r="BN23" s="134">
        <v>0</v>
      </c>
      <c r="BO23" s="134">
        <v>6</v>
      </c>
      <c r="BP23" s="134">
        <v>6</v>
      </c>
      <c r="BQ23" s="134">
        <v>2</v>
      </c>
      <c r="BR23" s="134">
        <v>17</v>
      </c>
      <c r="BS23" s="134">
        <v>19</v>
      </c>
      <c r="BT23" s="134">
        <v>11</v>
      </c>
      <c r="BU23" s="134">
        <v>37</v>
      </c>
      <c r="BV23" s="134">
        <v>48</v>
      </c>
      <c r="BW23" s="134">
        <v>223</v>
      </c>
      <c r="BX23" s="134">
        <v>1383</v>
      </c>
      <c r="BY23" s="134">
        <v>1606</v>
      </c>
      <c r="BZ23" s="134">
        <v>223</v>
      </c>
      <c r="CA23" s="134">
        <v>1382</v>
      </c>
      <c r="CB23" s="134">
        <v>1605</v>
      </c>
      <c r="CC23" s="134">
        <v>3194</v>
      </c>
      <c r="CD23" s="134">
        <v>0</v>
      </c>
      <c r="CE23" s="134">
        <v>1</v>
      </c>
      <c r="CF23" s="134">
        <v>0</v>
      </c>
      <c r="CG23" s="134">
        <v>1</v>
      </c>
      <c r="CH23" s="134">
        <v>1</v>
      </c>
      <c r="CI23" s="134">
        <v>0</v>
      </c>
      <c r="CJ23" s="134">
        <v>0</v>
      </c>
      <c r="CK23" s="134">
        <v>0</v>
      </c>
      <c r="CL23" s="134">
        <v>0</v>
      </c>
      <c r="CM23" s="134">
        <v>0</v>
      </c>
      <c r="CN23" s="134">
        <v>26</v>
      </c>
      <c r="CO23" s="134">
        <v>132</v>
      </c>
      <c r="CP23" s="134">
        <v>158</v>
      </c>
      <c r="CQ23" s="134">
        <v>0</v>
      </c>
      <c r="CR23" s="134">
        <v>1</v>
      </c>
      <c r="CS23" s="134">
        <v>1</v>
      </c>
      <c r="CT23" s="134">
        <v>197</v>
      </c>
      <c r="CU23" s="134">
        <v>1251</v>
      </c>
      <c r="CV23" s="134">
        <v>1448</v>
      </c>
      <c r="CW23" s="134">
        <v>18</v>
      </c>
      <c r="CX23" s="134">
        <v>49</v>
      </c>
      <c r="CY23" s="134">
        <v>67</v>
      </c>
      <c r="CZ23" s="134">
        <v>18</v>
      </c>
      <c r="DA23" s="134">
        <v>0</v>
      </c>
      <c r="DB23" s="134">
        <v>0</v>
      </c>
      <c r="DC23" s="134">
        <v>48</v>
      </c>
      <c r="DD23" s="134">
        <v>1</v>
      </c>
      <c r="DE23" s="134">
        <v>0</v>
      </c>
      <c r="DF23" s="134">
        <v>18</v>
      </c>
      <c r="DG23" s="134">
        <v>49</v>
      </c>
      <c r="DH23" s="134">
        <v>67</v>
      </c>
      <c r="DI23" s="134">
        <v>0</v>
      </c>
      <c r="DJ23" s="134">
        <v>0</v>
      </c>
      <c r="DK23" s="134">
        <v>0</v>
      </c>
      <c r="DL23" s="134">
        <v>0</v>
      </c>
      <c r="DM23" s="134">
        <v>0</v>
      </c>
      <c r="DN23" s="134">
        <v>0</v>
      </c>
      <c r="DO23" s="134">
        <v>0</v>
      </c>
      <c r="DP23" s="134">
        <v>0</v>
      </c>
      <c r="DQ23" s="134">
        <v>0</v>
      </c>
      <c r="DR23" s="134">
        <v>0</v>
      </c>
      <c r="DS23" s="134">
        <v>0</v>
      </c>
      <c r="DT23" s="135">
        <v>0</v>
      </c>
      <c r="DV23" s="136"/>
      <c r="DW23" s="137"/>
      <c r="DX23" s="136"/>
      <c r="DY23" s="136"/>
    </row>
    <row r="24" spans="1:129" s="116" customFormat="1">
      <c r="A24" s="133" t="s">
        <v>293</v>
      </c>
      <c r="B24" s="134">
        <v>42457</v>
      </c>
      <c r="C24" s="134">
        <v>11819</v>
      </c>
      <c r="D24" s="134">
        <v>39135</v>
      </c>
      <c r="E24" s="134">
        <v>28892</v>
      </c>
      <c r="F24" s="134">
        <v>64</v>
      </c>
      <c r="G24" s="134">
        <v>223</v>
      </c>
      <c r="H24" s="134">
        <v>287</v>
      </c>
      <c r="I24" s="134">
        <v>28</v>
      </c>
      <c r="J24" s="134">
        <v>8602</v>
      </c>
      <c r="K24" s="134">
        <v>8630</v>
      </c>
      <c r="L24" s="134">
        <v>13</v>
      </c>
      <c r="M24" s="134">
        <v>2778</v>
      </c>
      <c r="N24" s="134">
        <v>2791</v>
      </c>
      <c r="O24" s="134">
        <v>15</v>
      </c>
      <c r="P24" s="134">
        <v>5824</v>
      </c>
      <c r="Q24" s="134">
        <v>5839</v>
      </c>
      <c r="R24" s="134">
        <v>0</v>
      </c>
      <c r="S24" s="134">
        <v>157</v>
      </c>
      <c r="T24" s="134">
        <v>157</v>
      </c>
      <c r="U24" s="134">
        <v>0</v>
      </c>
      <c r="V24" s="134">
        <v>1613</v>
      </c>
      <c r="W24" s="134">
        <v>1613</v>
      </c>
      <c r="X24" s="134">
        <v>2038</v>
      </c>
      <c r="Y24" s="134">
        <v>35580</v>
      </c>
      <c r="Z24" s="134">
        <v>37618</v>
      </c>
      <c r="AA24" s="134">
        <v>1473</v>
      </c>
      <c r="AB24" s="134">
        <v>17672</v>
      </c>
      <c r="AC24" s="134">
        <v>19145</v>
      </c>
      <c r="AD24" s="134">
        <v>1193</v>
      </c>
      <c r="AE24" s="134">
        <v>16195</v>
      </c>
      <c r="AF24" s="134">
        <v>17388</v>
      </c>
      <c r="AG24" s="134">
        <v>92</v>
      </c>
      <c r="AH24" s="134">
        <v>670</v>
      </c>
      <c r="AI24" s="134">
        <v>762</v>
      </c>
      <c r="AJ24" s="134">
        <v>188</v>
      </c>
      <c r="AK24" s="134">
        <v>807</v>
      </c>
      <c r="AL24" s="134">
        <v>995</v>
      </c>
      <c r="AM24" s="134">
        <v>565</v>
      </c>
      <c r="AN24" s="134">
        <v>17908</v>
      </c>
      <c r="AO24" s="134">
        <v>18473</v>
      </c>
      <c r="AP24" s="134">
        <v>79177</v>
      </c>
      <c r="AQ24" s="134">
        <v>417605</v>
      </c>
      <c r="AR24" s="134">
        <v>496782</v>
      </c>
      <c r="AS24" s="134">
        <v>80557</v>
      </c>
      <c r="AT24" s="134">
        <v>433653</v>
      </c>
      <c r="AU24" s="134">
        <v>514210</v>
      </c>
      <c r="AV24" s="134">
        <v>-1380</v>
      </c>
      <c r="AW24" s="134">
        <v>-16048</v>
      </c>
      <c r="AX24" s="134">
        <v>-17428</v>
      </c>
      <c r="AY24" s="134">
        <v>3107</v>
      </c>
      <c r="AZ24" s="134">
        <v>43517</v>
      </c>
      <c r="BA24" s="134">
        <v>46624</v>
      </c>
      <c r="BB24" s="134">
        <v>2293</v>
      </c>
      <c r="BC24" s="134">
        <v>41</v>
      </c>
      <c r="BD24" s="134">
        <v>9</v>
      </c>
      <c r="BE24" s="134">
        <v>26033</v>
      </c>
      <c r="BF24" s="134">
        <v>269</v>
      </c>
      <c r="BG24" s="134">
        <v>247</v>
      </c>
      <c r="BH24" s="134">
        <v>2343</v>
      </c>
      <c r="BI24" s="134">
        <v>26549</v>
      </c>
      <c r="BJ24" s="134">
        <v>28892</v>
      </c>
      <c r="BK24" s="134">
        <v>-1856</v>
      </c>
      <c r="BL24" s="134">
        <v>1856</v>
      </c>
      <c r="BM24" s="134">
        <v>0</v>
      </c>
      <c r="BN24" s="134">
        <v>33</v>
      </c>
      <c r="BO24" s="134">
        <v>230</v>
      </c>
      <c r="BP24" s="134">
        <v>263</v>
      </c>
      <c r="BQ24" s="134">
        <v>355</v>
      </c>
      <c r="BR24" s="134">
        <v>3003</v>
      </c>
      <c r="BS24" s="134">
        <v>3358</v>
      </c>
      <c r="BT24" s="134">
        <v>2232</v>
      </c>
      <c r="BU24" s="134">
        <v>11879</v>
      </c>
      <c r="BV24" s="134">
        <v>14111</v>
      </c>
      <c r="BW24" s="134">
        <v>82284</v>
      </c>
      <c r="BX24" s="134">
        <v>461122</v>
      </c>
      <c r="BY24" s="134">
        <v>543406</v>
      </c>
      <c r="BZ24" s="134">
        <v>79926</v>
      </c>
      <c r="CA24" s="134">
        <v>452495</v>
      </c>
      <c r="CB24" s="134">
        <v>532421</v>
      </c>
      <c r="CC24" s="134">
        <v>1069785</v>
      </c>
      <c r="CD24" s="134">
        <v>628</v>
      </c>
      <c r="CE24" s="134">
        <v>8920</v>
      </c>
      <c r="CF24" s="134">
        <v>2162</v>
      </c>
      <c r="CG24" s="134">
        <v>5245</v>
      </c>
      <c r="CH24" s="134">
        <v>7407</v>
      </c>
      <c r="CI24" s="134">
        <v>4032</v>
      </c>
      <c r="CJ24" s="134">
        <v>524</v>
      </c>
      <c r="CK24" s="134">
        <v>196</v>
      </c>
      <c r="CL24" s="134">
        <v>3382</v>
      </c>
      <c r="CM24" s="134">
        <v>3578</v>
      </c>
      <c r="CN24" s="134">
        <v>3697</v>
      </c>
      <c r="CO24" s="134">
        <v>27374</v>
      </c>
      <c r="CP24" s="134">
        <v>31071</v>
      </c>
      <c r="CQ24" s="134">
        <v>79</v>
      </c>
      <c r="CR24" s="134">
        <v>322</v>
      </c>
      <c r="CS24" s="134">
        <v>401</v>
      </c>
      <c r="CT24" s="134">
        <v>78587</v>
      </c>
      <c r="CU24" s="134">
        <v>433748</v>
      </c>
      <c r="CV24" s="134">
        <v>512335</v>
      </c>
      <c r="CW24" s="134">
        <v>5582</v>
      </c>
      <c r="CX24" s="134">
        <v>18399</v>
      </c>
      <c r="CY24" s="134">
        <v>23981</v>
      </c>
      <c r="CZ24" s="134">
        <v>5403</v>
      </c>
      <c r="DA24" s="134">
        <v>155</v>
      </c>
      <c r="DB24" s="134">
        <v>1</v>
      </c>
      <c r="DC24" s="134">
        <v>17868</v>
      </c>
      <c r="DD24" s="134">
        <v>289</v>
      </c>
      <c r="DE24" s="134">
        <v>72</v>
      </c>
      <c r="DF24" s="134">
        <v>5559</v>
      </c>
      <c r="DG24" s="134">
        <v>18229</v>
      </c>
      <c r="DH24" s="134">
        <v>23788</v>
      </c>
      <c r="DI24" s="134">
        <v>23</v>
      </c>
      <c r="DJ24" s="134">
        <v>0</v>
      </c>
      <c r="DK24" s="134">
        <v>0</v>
      </c>
      <c r="DL24" s="134">
        <v>164</v>
      </c>
      <c r="DM24" s="134">
        <v>5</v>
      </c>
      <c r="DN24" s="134">
        <v>1</v>
      </c>
      <c r="DO24" s="134">
        <v>23</v>
      </c>
      <c r="DP24" s="134">
        <v>170</v>
      </c>
      <c r="DQ24" s="134">
        <v>193</v>
      </c>
      <c r="DR24" s="134">
        <v>0</v>
      </c>
      <c r="DS24" s="134">
        <v>0</v>
      </c>
      <c r="DT24" s="135">
        <v>0</v>
      </c>
      <c r="DV24" s="136"/>
      <c r="DW24" s="137"/>
      <c r="DX24" s="136"/>
      <c r="DY24" s="136"/>
    </row>
    <row r="25" spans="1:129" s="116" customFormat="1">
      <c r="A25" s="133" t="s">
        <v>294</v>
      </c>
      <c r="B25" s="134">
        <v>626</v>
      </c>
      <c r="C25" s="134">
        <v>116</v>
      </c>
      <c r="D25" s="134">
        <v>640</v>
      </c>
      <c r="E25" s="134">
        <v>363</v>
      </c>
      <c r="F25" s="134">
        <v>0</v>
      </c>
      <c r="G25" s="134">
        <v>3</v>
      </c>
      <c r="H25" s="134">
        <v>3</v>
      </c>
      <c r="I25" s="134">
        <v>1</v>
      </c>
      <c r="J25" s="134">
        <v>252</v>
      </c>
      <c r="K25" s="134">
        <v>253</v>
      </c>
      <c r="L25" s="134">
        <v>1</v>
      </c>
      <c r="M25" s="134">
        <v>166</v>
      </c>
      <c r="N25" s="134">
        <v>167</v>
      </c>
      <c r="O25" s="134">
        <v>0</v>
      </c>
      <c r="P25" s="134">
        <v>86</v>
      </c>
      <c r="Q25" s="134">
        <v>86</v>
      </c>
      <c r="R25" s="134">
        <v>0</v>
      </c>
      <c r="S25" s="134">
        <v>1</v>
      </c>
      <c r="T25" s="134">
        <v>1</v>
      </c>
      <c r="U25" s="134">
        <v>0</v>
      </c>
      <c r="V25" s="134">
        <v>24</v>
      </c>
      <c r="W25" s="134">
        <v>24</v>
      </c>
      <c r="X25" s="134">
        <v>15</v>
      </c>
      <c r="Y25" s="134">
        <v>539</v>
      </c>
      <c r="Z25" s="134">
        <v>554</v>
      </c>
      <c r="AA25" s="134">
        <v>6</v>
      </c>
      <c r="AB25" s="134">
        <v>215</v>
      </c>
      <c r="AC25" s="134">
        <v>221</v>
      </c>
      <c r="AD25" s="134">
        <v>6</v>
      </c>
      <c r="AE25" s="134">
        <v>202</v>
      </c>
      <c r="AF25" s="134">
        <v>208</v>
      </c>
      <c r="AG25" s="134">
        <v>0</v>
      </c>
      <c r="AH25" s="134">
        <v>10</v>
      </c>
      <c r="AI25" s="134">
        <v>10</v>
      </c>
      <c r="AJ25" s="134">
        <v>0</v>
      </c>
      <c r="AK25" s="134">
        <v>3</v>
      </c>
      <c r="AL25" s="134">
        <v>3</v>
      </c>
      <c r="AM25" s="134">
        <v>9</v>
      </c>
      <c r="AN25" s="134">
        <v>324</v>
      </c>
      <c r="AO25" s="134">
        <v>333</v>
      </c>
      <c r="AP25" s="134">
        <v>1609</v>
      </c>
      <c r="AQ25" s="134">
        <v>9240</v>
      </c>
      <c r="AR25" s="134">
        <v>10849</v>
      </c>
      <c r="AS25" s="134">
        <v>1609</v>
      </c>
      <c r="AT25" s="134">
        <v>9240</v>
      </c>
      <c r="AU25" s="134">
        <v>10849</v>
      </c>
      <c r="AV25" s="134">
        <v>0</v>
      </c>
      <c r="AW25" s="134">
        <v>0</v>
      </c>
      <c r="AX25" s="134">
        <v>0</v>
      </c>
      <c r="AY25" s="134">
        <v>4</v>
      </c>
      <c r="AZ25" s="134">
        <v>688</v>
      </c>
      <c r="BA25" s="134">
        <v>692</v>
      </c>
      <c r="BB25" s="134">
        <v>15</v>
      </c>
      <c r="BC25" s="134">
        <v>1</v>
      </c>
      <c r="BD25" s="134">
        <v>0</v>
      </c>
      <c r="BE25" s="134">
        <v>344</v>
      </c>
      <c r="BF25" s="134">
        <v>2</v>
      </c>
      <c r="BG25" s="134">
        <v>1</v>
      </c>
      <c r="BH25" s="134">
        <v>16</v>
      </c>
      <c r="BI25" s="134">
        <v>347</v>
      </c>
      <c r="BJ25" s="134">
        <v>363</v>
      </c>
      <c r="BK25" s="134">
        <v>-40</v>
      </c>
      <c r="BL25" s="134">
        <v>40</v>
      </c>
      <c r="BM25" s="134">
        <v>0</v>
      </c>
      <c r="BN25" s="134">
        <v>4</v>
      </c>
      <c r="BO25" s="134">
        <v>43</v>
      </c>
      <c r="BP25" s="134">
        <v>47</v>
      </c>
      <c r="BQ25" s="134">
        <v>5</v>
      </c>
      <c r="BR25" s="134">
        <v>151</v>
      </c>
      <c r="BS25" s="134">
        <v>156</v>
      </c>
      <c r="BT25" s="134">
        <v>19</v>
      </c>
      <c r="BU25" s="134">
        <v>107</v>
      </c>
      <c r="BV25" s="134">
        <v>126</v>
      </c>
      <c r="BW25" s="134">
        <v>1613</v>
      </c>
      <c r="BX25" s="134">
        <v>9928</v>
      </c>
      <c r="BY25" s="134">
        <v>11541</v>
      </c>
      <c r="BZ25" s="134">
        <v>1597</v>
      </c>
      <c r="CA25" s="134">
        <v>9859</v>
      </c>
      <c r="CB25" s="134">
        <v>11456</v>
      </c>
      <c r="CC25" s="134">
        <v>27831</v>
      </c>
      <c r="CD25" s="134">
        <v>2</v>
      </c>
      <c r="CE25" s="134">
        <v>81</v>
      </c>
      <c r="CF25" s="134">
        <v>15</v>
      </c>
      <c r="CG25" s="134">
        <v>63</v>
      </c>
      <c r="CH25" s="134">
        <v>78</v>
      </c>
      <c r="CI25" s="134">
        <v>7</v>
      </c>
      <c r="CJ25" s="134">
        <v>6</v>
      </c>
      <c r="CK25" s="134">
        <v>1</v>
      </c>
      <c r="CL25" s="134">
        <v>6</v>
      </c>
      <c r="CM25" s="134">
        <v>7</v>
      </c>
      <c r="CN25" s="134">
        <v>71</v>
      </c>
      <c r="CO25" s="134">
        <v>737</v>
      </c>
      <c r="CP25" s="134">
        <v>808</v>
      </c>
      <c r="CQ25" s="134">
        <v>0</v>
      </c>
      <c r="CR25" s="134">
        <v>0</v>
      </c>
      <c r="CS25" s="134">
        <v>0</v>
      </c>
      <c r="CT25" s="134">
        <v>1542</v>
      </c>
      <c r="CU25" s="134">
        <v>9191</v>
      </c>
      <c r="CV25" s="134">
        <v>10733</v>
      </c>
      <c r="CW25" s="134">
        <v>117</v>
      </c>
      <c r="CX25" s="134">
        <v>538</v>
      </c>
      <c r="CY25" s="134">
        <v>655</v>
      </c>
      <c r="CZ25" s="134">
        <v>116</v>
      </c>
      <c r="DA25" s="134">
        <v>1</v>
      </c>
      <c r="DB25" s="134">
        <v>0</v>
      </c>
      <c r="DC25" s="134">
        <v>528</v>
      </c>
      <c r="DD25" s="134">
        <v>3</v>
      </c>
      <c r="DE25" s="134">
        <v>0</v>
      </c>
      <c r="DF25" s="134">
        <v>117</v>
      </c>
      <c r="DG25" s="134">
        <v>531</v>
      </c>
      <c r="DH25" s="134">
        <v>648</v>
      </c>
      <c r="DI25" s="134">
        <v>0</v>
      </c>
      <c r="DJ25" s="134">
        <v>0</v>
      </c>
      <c r="DK25" s="134">
        <v>0</v>
      </c>
      <c r="DL25" s="134">
        <v>7</v>
      </c>
      <c r="DM25" s="134">
        <v>0</v>
      </c>
      <c r="DN25" s="134">
        <v>0</v>
      </c>
      <c r="DO25" s="134">
        <v>0</v>
      </c>
      <c r="DP25" s="134">
        <v>7</v>
      </c>
      <c r="DQ25" s="134">
        <v>7</v>
      </c>
      <c r="DR25" s="134">
        <v>0</v>
      </c>
      <c r="DS25" s="134">
        <v>0</v>
      </c>
      <c r="DT25" s="135">
        <v>0</v>
      </c>
      <c r="DV25" s="136"/>
      <c r="DW25" s="137"/>
      <c r="DX25" s="136"/>
      <c r="DY25" s="136"/>
    </row>
    <row r="26" spans="1:129" s="116" customFormat="1">
      <c r="A26" s="133" t="s">
        <v>295</v>
      </c>
      <c r="B26" s="134">
        <v>458</v>
      </c>
      <c r="C26" s="134">
        <v>135</v>
      </c>
      <c r="D26" s="134">
        <v>452</v>
      </c>
      <c r="E26" s="134">
        <v>292</v>
      </c>
      <c r="F26" s="134">
        <v>0</v>
      </c>
      <c r="G26" s="134">
        <v>6</v>
      </c>
      <c r="H26" s="134">
        <v>6</v>
      </c>
      <c r="I26" s="134">
        <v>0</v>
      </c>
      <c r="J26" s="134">
        <v>140</v>
      </c>
      <c r="K26" s="134">
        <v>140</v>
      </c>
      <c r="L26" s="134">
        <v>0</v>
      </c>
      <c r="M26" s="134">
        <v>55</v>
      </c>
      <c r="N26" s="134">
        <v>55</v>
      </c>
      <c r="O26" s="134">
        <v>0</v>
      </c>
      <c r="P26" s="134">
        <v>85</v>
      </c>
      <c r="Q26" s="134">
        <v>85</v>
      </c>
      <c r="R26" s="134">
        <v>0</v>
      </c>
      <c r="S26" s="134">
        <v>0</v>
      </c>
      <c r="T26" s="134">
        <v>0</v>
      </c>
      <c r="U26" s="134">
        <v>0</v>
      </c>
      <c r="V26" s="134">
        <v>20</v>
      </c>
      <c r="W26" s="134">
        <v>20</v>
      </c>
      <c r="X26" s="134">
        <v>13</v>
      </c>
      <c r="Y26" s="134">
        <v>439</v>
      </c>
      <c r="Z26" s="134">
        <v>452</v>
      </c>
      <c r="AA26" s="134">
        <v>11</v>
      </c>
      <c r="AB26" s="134">
        <v>174</v>
      </c>
      <c r="AC26" s="134">
        <v>185</v>
      </c>
      <c r="AD26" s="134">
        <v>11</v>
      </c>
      <c r="AE26" s="134">
        <v>163</v>
      </c>
      <c r="AF26" s="134">
        <v>174</v>
      </c>
      <c r="AG26" s="134">
        <v>0</v>
      </c>
      <c r="AH26" s="134">
        <v>8</v>
      </c>
      <c r="AI26" s="134">
        <v>8</v>
      </c>
      <c r="AJ26" s="134">
        <v>0</v>
      </c>
      <c r="AK26" s="134">
        <v>3</v>
      </c>
      <c r="AL26" s="134">
        <v>3</v>
      </c>
      <c r="AM26" s="134">
        <v>2</v>
      </c>
      <c r="AN26" s="134">
        <v>265</v>
      </c>
      <c r="AO26" s="134">
        <v>267</v>
      </c>
      <c r="AP26" s="134">
        <v>530</v>
      </c>
      <c r="AQ26" s="134">
        <v>5021</v>
      </c>
      <c r="AR26" s="134">
        <v>5551</v>
      </c>
      <c r="AS26" s="134">
        <v>530</v>
      </c>
      <c r="AT26" s="134">
        <v>5021</v>
      </c>
      <c r="AU26" s="134">
        <v>5551</v>
      </c>
      <c r="AV26" s="134">
        <v>0</v>
      </c>
      <c r="AW26" s="134">
        <v>0</v>
      </c>
      <c r="AX26" s="134">
        <v>0</v>
      </c>
      <c r="AY26" s="134">
        <v>20</v>
      </c>
      <c r="AZ26" s="134">
        <v>467</v>
      </c>
      <c r="BA26" s="134">
        <v>487</v>
      </c>
      <c r="BB26" s="134">
        <v>13</v>
      </c>
      <c r="BC26" s="134">
        <v>1</v>
      </c>
      <c r="BD26" s="134">
        <v>0</v>
      </c>
      <c r="BE26" s="134">
        <v>262</v>
      </c>
      <c r="BF26" s="134">
        <v>12</v>
      </c>
      <c r="BG26" s="134">
        <v>4</v>
      </c>
      <c r="BH26" s="134">
        <v>14</v>
      </c>
      <c r="BI26" s="134">
        <v>278</v>
      </c>
      <c r="BJ26" s="134">
        <v>292</v>
      </c>
      <c r="BK26" s="134">
        <v>-15</v>
      </c>
      <c r="BL26" s="134">
        <v>15</v>
      </c>
      <c r="BM26" s="134">
        <v>0</v>
      </c>
      <c r="BN26" s="134">
        <v>4</v>
      </c>
      <c r="BO26" s="134">
        <v>17</v>
      </c>
      <c r="BP26" s="134">
        <v>21</v>
      </c>
      <c r="BQ26" s="134">
        <v>2</v>
      </c>
      <c r="BR26" s="134">
        <v>50</v>
      </c>
      <c r="BS26" s="134">
        <v>52</v>
      </c>
      <c r="BT26" s="134">
        <v>15</v>
      </c>
      <c r="BU26" s="134">
        <v>107</v>
      </c>
      <c r="BV26" s="134">
        <v>122</v>
      </c>
      <c r="BW26" s="134">
        <v>550</v>
      </c>
      <c r="BX26" s="134">
        <v>5488</v>
      </c>
      <c r="BY26" s="134">
        <v>6038</v>
      </c>
      <c r="BZ26" s="134">
        <v>510</v>
      </c>
      <c r="CA26" s="134">
        <v>5176</v>
      </c>
      <c r="CB26" s="134">
        <v>5686</v>
      </c>
      <c r="CC26" s="134">
        <v>9565</v>
      </c>
      <c r="CD26" s="134">
        <v>9</v>
      </c>
      <c r="CE26" s="134">
        <v>322</v>
      </c>
      <c r="CF26" s="134">
        <v>38</v>
      </c>
      <c r="CG26" s="134">
        <v>243</v>
      </c>
      <c r="CH26" s="134">
        <v>281</v>
      </c>
      <c r="CI26" s="134">
        <v>71</v>
      </c>
      <c r="CJ26" s="134">
        <v>13</v>
      </c>
      <c r="CK26" s="134">
        <v>2</v>
      </c>
      <c r="CL26" s="134">
        <v>69</v>
      </c>
      <c r="CM26" s="134">
        <v>71</v>
      </c>
      <c r="CN26" s="134">
        <v>36</v>
      </c>
      <c r="CO26" s="134">
        <v>464</v>
      </c>
      <c r="CP26" s="134">
        <v>500</v>
      </c>
      <c r="CQ26" s="134">
        <v>0</v>
      </c>
      <c r="CR26" s="134">
        <v>2</v>
      </c>
      <c r="CS26" s="134">
        <v>2</v>
      </c>
      <c r="CT26" s="134">
        <v>514</v>
      </c>
      <c r="CU26" s="134">
        <v>5024</v>
      </c>
      <c r="CV26" s="134">
        <v>5538</v>
      </c>
      <c r="CW26" s="134">
        <v>32</v>
      </c>
      <c r="CX26" s="134">
        <v>175</v>
      </c>
      <c r="CY26" s="134">
        <v>207</v>
      </c>
      <c r="CZ26" s="134">
        <v>32</v>
      </c>
      <c r="DA26" s="134">
        <v>0</v>
      </c>
      <c r="DB26" s="134">
        <v>0</v>
      </c>
      <c r="DC26" s="134">
        <v>152</v>
      </c>
      <c r="DD26" s="134">
        <v>19</v>
      </c>
      <c r="DE26" s="134">
        <v>2</v>
      </c>
      <c r="DF26" s="134">
        <v>32</v>
      </c>
      <c r="DG26" s="134">
        <v>173</v>
      </c>
      <c r="DH26" s="134">
        <v>205</v>
      </c>
      <c r="DI26" s="134">
        <v>0</v>
      </c>
      <c r="DJ26" s="134">
        <v>0</v>
      </c>
      <c r="DK26" s="134">
        <v>0</v>
      </c>
      <c r="DL26" s="134">
        <v>2</v>
      </c>
      <c r="DM26" s="134">
        <v>0</v>
      </c>
      <c r="DN26" s="134">
        <v>0</v>
      </c>
      <c r="DO26" s="134">
        <v>0</v>
      </c>
      <c r="DP26" s="134">
        <v>2</v>
      </c>
      <c r="DQ26" s="134">
        <v>2</v>
      </c>
      <c r="DR26" s="134">
        <v>0</v>
      </c>
      <c r="DS26" s="134">
        <v>0</v>
      </c>
      <c r="DT26" s="135">
        <v>0</v>
      </c>
      <c r="DV26" s="136"/>
      <c r="DW26" s="137"/>
      <c r="DX26" s="136"/>
      <c r="DY26" s="136"/>
    </row>
    <row r="27" spans="1:129" s="116" customFormat="1">
      <c r="A27" s="133" t="s">
        <v>296</v>
      </c>
      <c r="B27" s="134">
        <v>91</v>
      </c>
      <c r="C27" s="134">
        <v>15</v>
      </c>
      <c r="D27" s="134">
        <v>90</v>
      </c>
      <c r="E27" s="134">
        <v>45</v>
      </c>
      <c r="F27" s="134">
        <v>0</v>
      </c>
      <c r="G27" s="134">
        <v>6</v>
      </c>
      <c r="H27" s="134">
        <v>6</v>
      </c>
      <c r="I27" s="134">
        <v>0</v>
      </c>
      <c r="J27" s="134">
        <v>34</v>
      </c>
      <c r="K27" s="134">
        <v>34</v>
      </c>
      <c r="L27" s="134">
        <v>0</v>
      </c>
      <c r="M27" s="134">
        <v>14</v>
      </c>
      <c r="N27" s="134">
        <v>14</v>
      </c>
      <c r="O27" s="134">
        <v>0</v>
      </c>
      <c r="P27" s="134">
        <v>20</v>
      </c>
      <c r="Q27" s="134">
        <v>20</v>
      </c>
      <c r="R27" s="134">
        <v>0</v>
      </c>
      <c r="S27" s="134">
        <v>1</v>
      </c>
      <c r="T27" s="134">
        <v>1</v>
      </c>
      <c r="U27" s="134">
        <v>0</v>
      </c>
      <c r="V27" s="134">
        <v>11</v>
      </c>
      <c r="W27" s="134">
        <v>11</v>
      </c>
      <c r="X27" s="134">
        <v>2</v>
      </c>
      <c r="Y27" s="134">
        <v>88</v>
      </c>
      <c r="Z27" s="134">
        <v>90</v>
      </c>
      <c r="AA27" s="134">
        <v>1</v>
      </c>
      <c r="AB27" s="134">
        <v>36</v>
      </c>
      <c r="AC27" s="134">
        <v>37</v>
      </c>
      <c r="AD27" s="134">
        <v>1</v>
      </c>
      <c r="AE27" s="134">
        <v>29</v>
      </c>
      <c r="AF27" s="134">
        <v>30</v>
      </c>
      <c r="AG27" s="134">
        <v>0</v>
      </c>
      <c r="AH27" s="134">
        <v>4</v>
      </c>
      <c r="AI27" s="134">
        <v>4</v>
      </c>
      <c r="AJ27" s="134">
        <v>0</v>
      </c>
      <c r="AK27" s="134">
        <v>3</v>
      </c>
      <c r="AL27" s="134">
        <v>3</v>
      </c>
      <c r="AM27" s="134">
        <v>1</v>
      </c>
      <c r="AN27" s="134">
        <v>52</v>
      </c>
      <c r="AO27" s="134">
        <v>53</v>
      </c>
      <c r="AP27" s="134">
        <v>78</v>
      </c>
      <c r="AQ27" s="134">
        <v>875</v>
      </c>
      <c r="AR27" s="134">
        <v>953</v>
      </c>
      <c r="AS27" s="134">
        <v>78</v>
      </c>
      <c r="AT27" s="134">
        <v>875</v>
      </c>
      <c r="AU27" s="134">
        <v>953</v>
      </c>
      <c r="AV27" s="134">
        <v>0</v>
      </c>
      <c r="AW27" s="134">
        <v>0</v>
      </c>
      <c r="AX27" s="134">
        <v>0</v>
      </c>
      <c r="AY27" s="134">
        <v>3</v>
      </c>
      <c r="AZ27" s="134">
        <v>73</v>
      </c>
      <c r="BA27" s="134">
        <v>76</v>
      </c>
      <c r="BB27" s="134">
        <v>2</v>
      </c>
      <c r="BC27" s="134">
        <v>0</v>
      </c>
      <c r="BD27" s="134">
        <v>0</v>
      </c>
      <c r="BE27" s="134">
        <v>43</v>
      </c>
      <c r="BF27" s="134">
        <v>0</v>
      </c>
      <c r="BG27" s="134">
        <v>0</v>
      </c>
      <c r="BH27" s="134">
        <v>2</v>
      </c>
      <c r="BI27" s="134">
        <v>43</v>
      </c>
      <c r="BJ27" s="134">
        <v>45</v>
      </c>
      <c r="BK27" s="134">
        <v>0</v>
      </c>
      <c r="BL27" s="134">
        <v>0</v>
      </c>
      <c r="BM27" s="134">
        <v>0</v>
      </c>
      <c r="BN27" s="134">
        <v>0</v>
      </c>
      <c r="BO27" s="134">
        <v>7</v>
      </c>
      <c r="BP27" s="134">
        <v>7</v>
      </c>
      <c r="BQ27" s="134">
        <v>0</v>
      </c>
      <c r="BR27" s="134">
        <v>2</v>
      </c>
      <c r="BS27" s="134">
        <v>2</v>
      </c>
      <c r="BT27" s="134">
        <v>1</v>
      </c>
      <c r="BU27" s="134">
        <v>21</v>
      </c>
      <c r="BV27" s="134">
        <v>22</v>
      </c>
      <c r="BW27" s="134">
        <v>81</v>
      </c>
      <c r="BX27" s="134">
        <v>948</v>
      </c>
      <c r="BY27" s="134">
        <v>1029</v>
      </c>
      <c r="BZ27" s="134">
        <v>80</v>
      </c>
      <c r="CA27" s="134">
        <v>946</v>
      </c>
      <c r="CB27" s="134">
        <v>1026</v>
      </c>
      <c r="CC27" s="134">
        <v>1847</v>
      </c>
      <c r="CD27" s="134">
        <v>0</v>
      </c>
      <c r="CE27" s="134">
        <v>2</v>
      </c>
      <c r="CF27" s="134">
        <v>1</v>
      </c>
      <c r="CG27" s="134">
        <v>1</v>
      </c>
      <c r="CH27" s="134">
        <v>2</v>
      </c>
      <c r="CI27" s="134">
        <v>1</v>
      </c>
      <c r="CJ27" s="134">
        <v>0</v>
      </c>
      <c r="CK27" s="134">
        <v>0</v>
      </c>
      <c r="CL27" s="134">
        <v>1</v>
      </c>
      <c r="CM27" s="134">
        <v>1</v>
      </c>
      <c r="CN27" s="134">
        <v>5</v>
      </c>
      <c r="CO27" s="134">
        <v>73</v>
      </c>
      <c r="CP27" s="134">
        <v>78</v>
      </c>
      <c r="CQ27" s="134">
        <v>0</v>
      </c>
      <c r="CR27" s="134">
        <v>1</v>
      </c>
      <c r="CS27" s="134">
        <v>1</v>
      </c>
      <c r="CT27" s="134">
        <v>76</v>
      </c>
      <c r="CU27" s="134">
        <v>875</v>
      </c>
      <c r="CV27" s="134">
        <v>951</v>
      </c>
      <c r="CW27" s="134">
        <v>3</v>
      </c>
      <c r="CX27" s="134">
        <v>47</v>
      </c>
      <c r="CY27" s="134">
        <v>50</v>
      </c>
      <c r="CZ27" s="134">
        <v>3</v>
      </c>
      <c r="DA27" s="134">
        <v>0</v>
      </c>
      <c r="DB27" s="134">
        <v>0</v>
      </c>
      <c r="DC27" s="134">
        <v>46</v>
      </c>
      <c r="DD27" s="134">
        <v>0</v>
      </c>
      <c r="DE27" s="134">
        <v>0</v>
      </c>
      <c r="DF27" s="134">
        <v>3</v>
      </c>
      <c r="DG27" s="134">
        <v>46</v>
      </c>
      <c r="DH27" s="134">
        <v>49</v>
      </c>
      <c r="DI27" s="134">
        <v>0</v>
      </c>
      <c r="DJ27" s="134">
        <v>0</v>
      </c>
      <c r="DK27" s="134">
        <v>0</v>
      </c>
      <c r="DL27" s="134">
        <v>1</v>
      </c>
      <c r="DM27" s="134">
        <v>0</v>
      </c>
      <c r="DN27" s="134">
        <v>0</v>
      </c>
      <c r="DO27" s="134">
        <v>0</v>
      </c>
      <c r="DP27" s="134">
        <v>1</v>
      </c>
      <c r="DQ27" s="134">
        <v>1</v>
      </c>
      <c r="DR27" s="134">
        <v>0</v>
      </c>
      <c r="DS27" s="134">
        <v>0</v>
      </c>
      <c r="DT27" s="135">
        <v>0</v>
      </c>
      <c r="DV27" s="136"/>
      <c r="DW27" s="137"/>
      <c r="DX27" s="136"/>
      <c r="DY27" s="136"/>
    </row>
    <row r="28" spans="1:129" s="116" customFormat="1">
      <c r="A28" s="133" t="s">
        <v>297</v>
      </c>
      <c r="B28" s="134">
        <v>521</v>
      </c>
      <c r="C28" s="134">
        <v>70</v>
      </c>
      <c r="D28" s="134">
        <v>461</v>
      </c>
      <c r="E28" s="134">
        <v>376</v>
      </c>
      <c r="F28" s="134">
        <v>0</v>
      </c>
      <c r="G28" s="134">
        <v>14</v>
      </c>
      <c r="H28" s="134">
        <v>14</v>
      </c>
      <c r="I28" s="134">
        <v>0</v>
      </c>
      <c r="J28" s="134">
        <v>81</v>
      </c>
      <c r="K28" s="134">
        <v>81</v>
      </c>
      <c r="L28" s="134">
        <v>0</v>
      </c>
      <c r="M28" s="134">
        <v>31</v>
      </c>
      <c r="N28" s="134">
        <v>31</v>
      </c>
      <c r="O28" s="134">
        <v>0</v>
      </c>
      <c r="P28" s="134">
        <v>50</v>
      </c>
      <c r="Q28" s="134">
        <v>50</v>
      </c>
      <c r="R28" s="134">
        <v>0</v>
      </c>
      <c r="S28" s="134">
        <v>3</v>
      </c>
      <c r="T28" s="134">
        <v>3</v>
      </c>
      <c r="U28" s="134">
        <v>0</v>
      </c>
      <c r="V28" s="134">
        <v>4</v>
      </c>
      <c r="W28" s="134">
        <v>4</v>
      </c>
      <c r="X28" s="134">
        <v>15</v>
      </c>
      <c r="Y28" s="134">
        <v>445</v>
      </c>
      <c r="Z28" s="134">
        <v>460</v>
      </c>
      <c r="AA28" s="134">
        <v>6</v>
      </c>
      <c r="AB28" s="134">
        <v>251</v>
      </c>
      <c r="AC28" s="134">
        <v>257</v>
      </c>
      <c r="AD28" s="134">
        <v>5</v>
      </c>
      <c r="AE28" s="134">
        <v>234</v>
      </c>
      <c r="AF28" s="134">
        <v>239</v>
      </c>
      <c r="AG28" s="134">
        <v>1</v>
      </c>
      <c r="AH28" s="134">
        <v>9</v>
      </c>
      <c r="AI28" s="134">
        <v>10</v>
      </c>
      <c r="AJ28" s="134">
        <v>0</v>
      </c>
      <c r="AK28" s="134">
        <v>8</v>
      </c>
      <c r="AL28" s="134">
        <v>8</v>
      </c>
      <c r="AM28" s="134">
        <v>9</v>
      </c>
      <c r="AN28" s="134">
        <v>194</v>
      </c>
      <c r="AO28" s="134">
        <v>203</v>
      </c>
      <c r="AP28" s="134">
        <v>498</v>
      </c>
      <c r="AQ28" s="134">
        <v>5306</v>
      </c>
      <c r="AR28" s="134">
        <v>5804</v>
      </c>
      <c r="AS28" s="134">
        <v>498</v>
      </c>
      <c r="AT28" s="134">
        <v>5306</v>
      </c>
      <c r="AU28" s="134">
        <v>5804</v>
      </c>
      <c r="AV28" s="134">
        <v>0</v>
      </c>
      <c r="AW28" s="134">
        <v>0</v>
      </c>
      <c r="AX28" s="134">
        <v>0</v>
      </c>
      <c r="AY28" s="134">
        <v>33</v>
      </c>
      <c r="AZ28" s="134">
        <v>564</v>
      </c>
      <c r="BA28" s="134">
        <v>597</v>
      </c>
      <c r="BB28" s="134">
        <v>16</v>
      </c>
      <c r="BC28" s="134">
        <v>0</v>
      </c>
      <c r="BD28" s="134">
        <v>0</v>
      </c>
      <c r="BE28" s="134">
        <v>357</v>
      </c>
      <c r="BF28" s="134">
        <v>3</v>
      </c>
      <c r="BG28" s="134">
        <v>0</v>
      </c>
      <c r="BH28" s="134">
        <v>16</v>
      </c>
      <c r="BI28" s="134">
        <v>360</v>
      </c>
      <c r="BJ28" s="134">
        <v>376</v>
      </c>
      <c r="BK28" s="134">
        <v>-1</v>
      </c>
      <c r="BL28" s="134">
        <v>1</v>
      </c>
      <c r="BM28" s="134">
        <v>0</v>
      </c>
      <c r="BN28" s="134">
        <v>2</v>
      </c>
      <c r="BO28" s="134">
        <v>8</v>
      </c>
      <c r="BP28" s="134">
        <v>10</v>
      </c>
      <c r="BQ28" s="134">
        <v>7</v>
      </c>
      <c r="BR28" s="134">
        <v>93</v>
      </c>
      <c r="BS28" s="134">
        <v>100</v>
      </c>
      <c r="BT28" s="134">
        <v>9</v>
      </c>
      <c r="BU28" s="134">
        <v>102</v>
      </c>
      <c r="BV28" s="134">
        <v>111</v>
      </c>
      <c r="BW28" s="134">
        <v>531</v>
      </c>
      <c r="BX28" s="134">
        <v>5870</v>
      </c>
      <c r="BY28" s="134">
        <v>6401</v>
      </c>
      <c r="BZ28" s="134">
        <v>528</v>
      </c>
      <c r="CA28" s="134">
        <v>5819</v>
      </c>
      <c r="CB28" s="134">
        <v>6347</v>
      </c>
      <c r="CC28" s="134">
        <v>11855</v>
      </c>
      <c r="CD28" s="134">
        <v>3</v>
      </c>
      <c r="CE28" s="134">
        <v>45</v>
      </c>
      <c r="CF28" s="134">
        <v>3</v>
      </c>
      <c r="CG28" s="134">
        <v>40</v>
      </c>
      <c r="CH28" s="134">
        <v>43</v>
      </c>
      <c r="CI28" s="134">
        <v>11</v>
      </c>
      <c r="CJ28" s="134">
        <v>2</v>
      </c>
      <c r="CK28" s="134">
        <v>0</v>
      </c>
      <c r="CL28" s="134">
        <v>11</v>
      </c>
      <c r="CM28" s="134">
        <v>11</v>
      </c>
      <c r="CN28" s="134">
        <v>42</v>
      </c>
      <c r="CO28" s="134">
        <v>597</v>
      </c>
      <c r="CP28" s="134">
        <v>639</v>
      </c>
      <c r="CQ28" s="134">
        <v>0</v>
      </c>
      <c r="CR28" s="134">
        <v>0</v>
      </c>
      <c r="CS28" s="134">
        <v>0</v>
      </c>
      <c r="CT28" s="134">
        <v>489</v>
      </c>
      <c r="CU28" s="134">
        <v>5273</v>
      </c>
      <c r="CV28" s="134">
        <v>5762</v>
      </c>
      <c r="CW28" s="134">
        <v>16</v>
      </c>
      <c r="CX28" s="134">
        <v>166</v>
      </c>
      <c r="CY28" s="134">
        <v>182</v>
      </c>
      <c r="CZ28" s="134">
        <v>16</v>
      </c>
      <c r="DA28" s="134">
        <v>0</v>
      </c>
      <c r="DB28" s="134">
        <v>0</v>
      </c>
      <c r="DC28" s="134">
        <v>164</v>
      </c>
      <c r="DD28" s="134">
        <v>2</v>
      </c>
      <c r="DE28" s="134">
        <v>0</v>
      </c>
      <c r="DF28" s="134">
        <v>16</v>
      </c>
      <c r="DG28" s="134">
        <v>166</v>
      </c>
      <c r="DH28" s="134">
        <v>182</v>
      </c>
      <c r="DI28" s="134">
        <v>0</v>
      </c>
      <c r="DJ28" s="134">
        <v>0</v>
      </c>
      <c r="DK28" s="134">
        <v>0</v>
      </c>
      <c r="DL28" s="134">
        <v>0</v>
      </c>
      <c r="DM28" s="134">
        <v>0</v>
      </c>
      <c r="DN28" s="134">
        <v>0</v>
      </c>
      <c r="DO28" s="134">
        <v>0</v>
      </c>
      <c r="DP28" s="134">
        <v>0</v>
      </c>
      <c r="DQ28" s="134">
        <v>0</v>
      </c>
      <c r="DR28" s="134">
        <v>0</v>
      </c>
      <c r="DS28" s="134">
        <v>0</v>
      </c>
      <c r="DT28" s="135">
        <v>0</v>
      </c>
      <c r="DV28" s="136"/>
      <c r="DW28" s="137"/>
      <c r="DX28" s="136"/>
      <c r="DY28" s="136"/>
    </row>
    <row r="29" spans="1:129" s="116" customFormat="1">
      <c r="A29" s="133" t="s">
        <v>298</v>
      </c>
      <c r="B29" s="134">
        <v>1668</v>
      </c>
      <c r="C29" s="134">
        <v>336</v>
      </c>
      <c r="D29" s="134">
        <v>1588</v>
      </c>
      <c r="E29" s="134">
        <v>887</v>
      </c>
      <c r="F29" s="134">
        <v>2</v>
      </c>
      <c r="G29" s="134">
        <v>15</v>
      </c>
      <c r="H29" s="134">
        <v>17</v>
      </c>
      <c r="I29" s="134">
        <v>2</v>
      </c>
      <c r="J29" s="134">
        <v>557</v>
      </c>
      <c r="K29" s="134">
        <v>559</v>
      </c>
      <c r="L29" s="134">
        <v>2</v>
      </c>
      <c r="M29" s="134">
        <v>249</v>
      </c>
      <c r="N29" s="134">
        <v>251</v>
      </c>
      <c r="O29" s="134">
        <v>0</v>
      </c>
      <c r="P29" s="134">
        <v>308</v>
      </c>
      <c r="Q29" s="134">
        <v>308</v>
      </c>
      <c r="R29" s="134">
        <v>0</v>
      </c>
      <c r="S29" s="134">
        <v>9</v>
      </c>
      <c r="T29" s="134">
        <v>9</v>
      </c>
      <c r="U29" s="134">
        <v>0</v>
      </c>
      <c r="V29" s="134">
        <v>142</v>
      </c>
      <c r="W29" s="134">
        <v>142</v>
      </c>
      <c r="X29" s="134">
        <v>51</v>
      </c>
      <c r="Y29" s="134">
        <v>1536</v>
      </c>
      <c r="Z29" s="134">
        <v>1587</v>
      </c>
      <c r="AA29" s="134">
        <v>34</v>
      </c>
      <c r="AB29" s="134">
        <v>596</v>
      </c>
      <c r="AC29" s="134">
        <v>630</v>
      </c>
      <c r="AD29" s="134">
        <v>34</v>
      </c>
      <c r="AE29" s="134">
        <v>583</v>
      </c>
      <c r="AF29" s="134">
        <v>617</v>
      </c>
      <c r="AG29" s="134">
        <v>0</v>
      </c>
      <c r="AH29" s="134">
        <v>7</v>
      </c>
      <c r="AI29" s="134">
        <v>7</v>
      </c>
      <c r="AJ29" s="134">
        <v>0</v>
      </c>
      <c r="AK29" s="134">
        <v>6</v>
      </c>
      <c r="AL29" s="134">
        <v>6</v>
      </c>
      <c r="AM29" s="134">
        <v>17</v>
      </c>
      <c r="AN29" s="134">
        <v>940</v>
      </c>
      <c r="AO29" s="134">
        <v>957</v>
      </c>
      <c r="AP29" s="134">
        <v>3398</v>
      </c>
      <c r="AQ29" s="134">
        <v>18769</v>
      </c>
      <c r="AR29" s="134">
        <v>22167</v>
      </c>
      <c r="AS29" s="134">
        <v>3398</v>
      </c>
      <c r="AT29" s="134">
        <v>18769</v>
      </c>
      <c r="AU29" s="134">
        <v>22167</v>
      </c>
      <c r="AV29" s="134">
        <v>0</v>
      </c>
      <c r="AW29" s="134">
        <v>0</v>
      </c>
      <c r="AX29" s="134">
        <v>0</v>
      </c>
      <c r="AY29" s="134">
        <v>66</v>
      </c>
      <c r="AZ29" s="134">
        <v>1598</v>
      </c>
      <c r="BA29" s="134">
        <v>1664</v>
      </c>
      <c r="BB29" s="134">
        <v>55</v>
      </c>
      <c r="BC29" s="134">
        <v>1</v>
      </c>
      <c r="BD29" s="134">
        <v>0</v>
      </c>
      <c r="BE29" s="134">
        <v>824</v>
      </c>
      <c r="BF29" s="134">
        <v>5</v>
      </c>
      <c r="BG29" s="134">
        <v>2</v>
      </c>
      <c r="BH29" s="134">
        <v>56</v>
      </c>
      <c r="BI29" s="134">
        <v>831</v>
      </c>
      <c r="BJ29" s="134">
        <v>887</v>
      </c>
      <c r="BK29" s="134">
        <v>-73</v>
      </c>
      <c r="BL29" s="134">
        <v>73</v>
      </c>
      <c r="BM29" s="134">
        <v>0</v>
      </c>
      <c r="BN29" s="134">
        <v>15</v>
      </c>
      <c r="BO29" s="134">
        <v>49</v>
      </c>
      <c r="BP29" s="134">
        <v>64</v>
      </c>
      <c r="BQ29" s="134">
        <v>24</v>
      </c>
      <c r="BR29" s="134">
        <v>289</v>
      </c>
      <c r="BS29" s="134">
        <v>313</v>
      </c>
      <c r="BT29" s="134">
        <v>44</v>
      </c>
      <c r="BU29" s="134">
        <v>356</v>
      </c>
      <c r="BV29" s="134">
        <v>400</v>
      </c>
      <c r="BW29" s="134">
        <v>3464</v>
      </c>
      <c r="BX29" s="134">
        <v>20367</v>
      </c>
      <c r="BY29" s="134">
        <v>23831</v>
      </c>
      <c r="BZ29" s="134">
        <v>3444</v>
      </c>
      <c r="CA29" s="134">
        <v>20270</v>
      </c>
      <c r="CB29" s="134">
        <v>23714</v>
      </c>
      <c r="CC29" s="134">
        <v>54842</v>
      </c>
      <c r="CD29" s="134">
        <v>5</v>
      </c>
      <c r="CE29" s="134">
        <v>106</v>
      </c>
      <c r="CF29" s="134">
        <v>20</v>
      </c>
      <c r="CG29" s="134">
        <v>82</v>
      </c>
      <c r="CH29" s="134">
        <v>102</v>
      </c>
      <c r="CI29" s="134">
        <v>12</v>
      </c>
      <c r="CJ29" s="134">
        <v>3</v>
      </c>
      <c r="CK29" s="134">
        <v>0</v>
      </c>
      <c r="CL29" s="134">
        <v>15</v>
      </c>
      <c r="CM29" s="134">
        <v>15</v>
      </c>
      <c r="CN29" s="134">
        <v>150</v>
      </c>
      <c r="CO29" s="134">
        <v>1620</v>
      </c>
      <c r="CP29" s="134">
        <v>1770</v>
      </c>
      <c r="CQ29" s="134">
        <v>0</v>
      </c>
      <c r="CR29" s="134">
        <v>0</v>
      </c>
      <c r="CS29" s="134">
        <v>0</v>
      </c>
      <c r="CT29" s="134">
        <v>3314</v>
      </c>
      <c r="CU29" s="134">
        <v>18747</v>
      </c>
      <c r="CV29" s="134">
        <v>22061</v>
      </c>
      <c r="CW29" s="134">
        <v>209</v>
      </c>
      <c r="CX29" s="134">
        <v>915</v>
      </c>
      <c r="CY29" s="134">
        <v>1124</v>
      </c>
      <c r="CZ29" s="134">
        <v>208</v>
      </c>
      <c r="DA29" s="134">
        <v>1</v>
      </c>
      <c r="DB29" s="134">
        <v>0</v>
      </c>
      <c r="DC29" s="134">
        <v>898</v>
      </c>
      <c r="DD29" s="134">
        <v>8</v>
      </c>
      <c r="DE29" s="134">
        <v>1</v>
      </c>
      <c r="DF29" s="134">
        <v>209</v>
      </c>
      <c r="DG29" s="134">
        <v>907</v>
      </c>
      <c r="DH29" s="134">
        <v>1116</v>
      </c>
      <c r="DI29" s="134">
        <v>0</v>
      </c>
      <c r="DJ29" s="134">
        <v>0</v>
      </c>
      <c r="DK29" s="134">
        <v>0</v>
      </c>
      <c r="DL29" s="134">
        <v>8</v>
      </c>
      <c r="DM29" s="134">
        <v>0</v>
      </c>
      <c r="DN29" s="134">
        <v>0</v>
      </c>
      <c r="DO29" s="134">
        <v>0</v>
      </c>
      <c r="DP29" s="134">
        <v>8</v>
      </c>
      <c r="DQ29" s="134">
        <v>8</v>
      </c>
      <c r="DR29" s="134">
        <v>0</v>
      </c>
      <c r="DS29" s="134">
        <v>0</v>
      </c>
      <c r="DT29" s="135">
        <v>0</v>
      </c>
      <c r="DV29" s="136"/>
      <c r="DW29" s="137"/>
      <c r="DX29" s="136"/>
      <c r="DY29" s="136"/>
    </row>
    <row r="30" spans="1:129" s="116" customFormat="1" ht="15.75">
      <c r="A30" s="133" t="s">
        <v>355</v>
      </c>
      <c r="B30" s="134">
        <v>49</v>
      </c>
      <c r="C30" s="134">
        <v>6</v>
      </c>
      <c r="D30" s="134">
        <v>43</v>
      </c>
      <c r="E30" s="134">
        <v>29</v>
      </c>
      <c r="F30" s="134">
        <v>0</v>
      </c>
      <c r="G30" s="134">
        <v>1</v>
      </c>
      <c r="H30" s="134">
        <v>1</v>
      </c>
      <c r="I30" s="134">
        <v>0</v>
      </c>
      <c r="J30" s="134">
        <v>14</v>
      </c>
      <c r="K30" s="134">
        <v>14</v>
      </c>
      <c r="L30" s="134">
        <v>0</v>
      </c>
      <c r="M30" s="134">
        <v>4</v>
      </c>
      <c r="N30" s="134">
        <v>4</v>
      </c>
      <c r="O30" s="134">
        <v>0</v>
      </c>
      <c r="P30" s="134">
        <v>10</v>
      </c>
      <c r="Q30" s="134">
        <v>10</v>
      </c>
      <c r="R30" s="134">
        <v>0</v>
      </c>
      <c r="S30" s="134">
        <v>0</v>
      </c>
      <c r="T30" s="134">
        <v>0</v>
      </c>
      <c r="U30" s="134">
        <v>0</v>
      </c>
      <c r="V30" s="134">
        <v>0</v>
      </c>
      <c r="W30" s="134">
        <v>0</v>
      </c>
      <c r="X30" s="134">
        <v>2</v>
      </c>
      <c r="Y30" s="134">
        <v>41</v>
      </c>
      <c r="Z30" s="134">
        <v>43</v>
      </c>
      <c r="AA30" s="134">
        <v>2</v>
      </c>
      <c r="AB30" s="134">
        <v>21</v>
      </c>
      <c r="AC30" s="134">
        <v>23</v>
      </c>
      <c r="AD30" s="134">
        <v>2</v>
      </c>
      <c r="AE30" s="134">
        <v>20</v>
      </c>
      <c r="AF30" s="134">
        <v>22</v>
      </c>
      <c r="AG30" s="134">
        <v>0</v>
      </c>
      <c r="AH30" s="134">
        <v>0</v>
      </c>
      <c r="AI30" s="134">
        <v>0</v>
      </c>
      <c r="AJ30" s="134">
        <v>0</v>
      </c>
      <c r="AK30" s="134">
        <v>1</v>
      </c>
      <c r="AL30" s="134">
        <v>1</v>
      </c>
      <c r="AM30" s="134">
        <v>0</v>
      </c>
      <c r="AN30" s="134">
        <v>20</v>
      </c>
      <c r="AO30" s="134">
        <v>20</v>
      </c>
      <c r="AP30" s="134">
        <v>67</v>
      </c>
      <c r="AQ30" s="134">
        <v>424</v>
      </c>
      <c r="AR30" s="134">
        <v>491</v>
      </c>
      <c r="AS30" s="134">
        <v>67</v>
      </c>
      <c r="AT30" s="134">
        <v>424</v>
      </c>
      <c r="AU30" s="134">
        <v>491</v>
      </c>
      <c r="AV30" s="134">
        <v>0</v>
      </c>
      <c r="AW30" s="134">
        <v>0</v>
      </c>
      <c r="AX30" s="134">
        <v>0</v>
      </c>
      <c r="AY30" s="134">
        <v>12</v>
      </c>
      <c r="AZ30" s="134">
        <v>47</v>
      </c>
      <c r="BA30" s="134">
        <v>59</v>
      </c>
      <c r="BB30" s="134">
        <v>2</v>
      </c>
      <c r="BC30" s="134">
        <v>0</v>
      </c>
      <c r="BD30" s="134">
        <v>0</v>
      </c>
      <c r="BE30" s="134">
        <v>27</v>
      </c>
      <c r="BF30" s="134">
        <v>0</v>
      </c>
      <c r="BG30" s="134">
        <v>0</v>
      </c>
      <c r="BH30" s="134">
        <v>2</v>
      </c>
      <c r="BI30" s="134">
        <v>27</v>
      </c>
      <c r="BJ30" s="134">
        <v>29</v>
      </c>
      <c r="BK30" s="134">
        <v>3</v>
      </c>
      <c r="BL30" s="134">
        <v>-3</v>
      </c>
      <c r="BM30" s="134">
        <v>0</v>
      </c>
      <c r="BN30" s="134">
        <v>1</v>
      </c>
      <c r="BO30" s="134">
        <v>6</v>
      </c>
      <c r="BP30" s="134">
        <v>7</v>
      </c>
      <c r="BQ30" s="134">
        <v>1</v>
      </c>
      <c r="BR30" s="134">
        <v>5</v>
      </c>
      <c r="BS30" s="134">
        <v>6</v>
      </c>
      <c r="BT30" s="134">
        <v>5</v>
      </c>
      <c r="BU30" s="134">
        <v>12</v>
      </c>
      <c r="BV30" s="134">
        <v>17</v>
      </c>
      <c r="BW30" s="134">
        <v>79</v>
      </c>
      <c r="BX30" s="134">
        <v>471</v>
      </c>
      <c r="BY30" s="134">
        <v>550</v>
      </c>
      <c r="BZ30" s="134">
        <v>78</v>
      </c>
      <c r="CA30" s="134">
        <v>470</v>
      </c>
      <c r="CB30" s="134">
        <v>548</v>
      </c>
      <c r="CC30" s="134">
        <v>1164</v>
      </c>
      <c r="CD30" s="134">
        <v>0</v>
      </c>
      <c r="CE30" s="134">
        <v>1</v>
      </c>
      <c r="CF30" s="134">
        <v>1</v>
      </c>
      <c r="CG30" s="134">
        <v>0</v>
      </c>
      <c r="CH30" s="134">
        <v>1</v>
      </c>
      <c r="CI30" s="134">
        <v>2</v>
      </c>
      <c r="CJ30" s="134">
        <v>0</v>
      </c>
      <c r="CK30" s="134">
        <v>0</v>
      </c>
      <c r="CL30" s="134">
        <v>1</v>
      </c>
      <c r="CM30" s="134">
        <v>1</v>
      </c>
      <c r="CN30" s="134">
        <v>2</v>
      </c>
      <c r="CO30" s="134">
        <v>49</v>
      </c>
      <c r="CP30" s="134">
        <v>51</v>
      </c>
      <c r="CQ30" s="134">
        <v>0</v>
      </c>
      <c r="CR30" s="134">
        <v>0</v>
      </c>
      <c r="CS30" s="134">
        <v>0</v>
      </c>
      <c r="CT30" s="134">
        <v>77</v>
      </c>
      <c r="CU30" s="134">
        <v>422</v>
      </c>
      <c r="CV30" s="134">
        <v>499</v>
      </c>
      <c r="CW30" s="134">
        <v>4</v>
      </c>
      <c r="CX30" s="134">
        <v>16</v>
      </c>
      <c r="CY30" s="134">
        <v>20</v>
      </c>
      <c r="CZ30" s="134">
        <v>4</v>
      </c>
      <c r="DA30" s="134">
        <v>0</v>
      </c>
      <c r="DB30" s="134">
        <v>0</v>
      </c>
      <c r="DC30" s="134">
        <v>16</v>
      </c>
      <c r="DD30" s="134">
        <v>0</v>
      </c>
      <c r="DE30" s="134">
        <v>0</v>
      </c>
      <c r="DF30" s="134">
        <v>4</v>
      </c>
      <c r="DG30" s="134">
        <v>16</v>
      </c>
      <c r="DH30" s="134">
        <v>20</v>
      </c>
      <c r="DI30" s="134">
        <v>0</v>
      </c>
      <c r="DJ30" s="134">
        <v>0</v>
      </c>
      <c r="DK30" s="134">
        <v>0</v>
      </c>
      <c r="DL30" s="134">
        <v>0</v>
      </c>
      <c r="DM30" s="134">
        <v>0</v>
      </c>
      <c r="DN30" s="134">
        <v>0</v>
      </c>
      <c r="DO30" s="134">
        <v>0</v>
      </c>
      <c r="DP30" s="134">
        <v>0</v>
      </c>
      <c r="DQ30" s="134">
        <v>0</v>
      </c>
      <c r="DR30" s="134">
        <v>0</v>
      </c>
      <c r="DS30" s="134">
        <v>0</v>
      </c>
      <c r="DT30" s="135">
        <v>0</v>
      </c>
      <c r="DV30" s="136"/>
      <c r="DW30" s="137"/>
      <c r="DX30" s="136"/>
      <c r="DY30" s="136"/>
    </row>
    <row r="31" spans="1:129" s="116" customFormat="1">
      <c r="A31" s="133" t="s">
        <v>300</v>
      </c>
      <c r="B31" s="134">
        <v>32</v>
      </c>
      <c r="C31" s="134">
        <v>10</v>
      </c>
      <c r="D31" s="134">
        <v>33</v>
      </c>
      <c r="E31" s="134">
        <v>25</v>
      </c>
      <c r="F31" s="134">
        <v>0</v>
      </c>
      <c r="G31" s="134">
        <v>0</v>
      </c>
      <c r="H31" s="134">
        <v>0</v>
      </c>
      <c r="I31" s="134">
        <v>0</v>
      </c>
      <c r="J31" s="134">
        <v>7</v>
      </c>
      <c r="K31" s="134">
        <v>7</v>
      </c>
      <c r="L31" s="134">
        <v>0</v>
      </c>
      <c r="M31" s="134">
        <v>3</v>
      </c>
      <c r="N31" s="134">
        <v>3</v>
      </c>
      <c r="O31" s="134">
        <v>0</v>
      </c>
      <c r="P31" s="134">
        <v>4</v>
      </c>
      <c r="Q31" s="134">
        <v>4</v>
      </c>
      <c r="R31" s="134">
        <v>0</v>
      </c>
      <c r="S31" s="134">
        <v>0</v>
      </c>
      <c r="T31" s="134">
        <v>0</v>
      </c>
      <c r="U31" s="134">
        <v>0</v>
      </c>
      <c r="V31" s="134">
        <v>1</v>
      </c>
      <c r="W31" s="134">
        <v>1</v>
      </c>
      <c r="X31" s="134">
        <v>0</v>
      </c>
      <c r="Y31" s="134">
        <v>33</v>
      </c>
      <c r="Z31" s="134">
        <v>33</v>
      </c>
      <c r="AA31" s="134">
        <v>0</v>
      </c>
      <c r="AB31" s="134">
        <v>16</v>
      </c>
      <c r="AC31" s="134">
        <v>16</v>
      </c>
      <c r="AD31" s="134">
        <v>0</v>
      </c>
      <c r="AE31" s="134">
        <v>16</v>
      </c>
      <c r="AF31" s="134">
        <v>16</v>
      </c>
      <c r="AG31" s="134">
        <v>0</v>
      </c>
      <c r="AH31" s="134">
        <v>0</v>
      </c>
      <c r="AI31" s="134">
        <v>0</v>
      </c>
      <c r="AJ31" s="134">
        <v>0</v>
      </c>
      <c r="AK31" s="134">
        <v>0</v>
      </c>
      <c r="AL31" s="134">
        <v>0</v>
      </c>
      <c r="AM31" s="134">
        <v>0</v>
      </c>
      <c r="AN31" s="134">
        <v>17</v>
      </c>
      <c r="AO31" s="134">
        <v>17</v>
      </c>
      <c r="AP31" s="134">
        <v>8</v>
      </c>
      <c r="AQ31" s="134">
        <v>366</v>
      </c>
      <c r="AR31" s="134">
        <v>374</v>
      </c>
      <c r="AS31" s="134">
        <v>8</v>
      </c>
      <c r="AT31" s="134">
        <v>366</v>
      </c>
      <c r="AU31" s="134">
        <v>374</v>
      </c>
      <c r="AV31" s="134">
        <v>0</v>
      </c>
      <c r="AW31" s="134">
        <v>0</v>
      </c>
      <c r="AX31" s="134">
        <v>0</v>
      </c>
      <c r="AY31" s="134">
        <v>1</v>
      </c>
      <c r="AZ31" s="134">
        <v>30</v>
      </c>
      <c r="BA31" s="134">
        <v>31</v>
      </c>
      <c r="BB31" s="134">
        <v>0</v>
      </c>
      <c r="BC31" s="134">
        <v>0</v>
      </c>
      <c r="BD31" s="134">
        <v>0</v>
      </c>
      <c r="BE31" s="134">
        <v>25</v>
      </c>
      <c r="BF31" s="134">
        <v>0</v>
      </c>
      <c r="BG31" s="134">
        <v>0</v>
      </c>
      <c r="BH31" s="134">
        <v>0</v>
      </c>
      <c r="BI31" s="134">
        <v>25</v>
      </c>
      <c r="BJ31" s="134">
        <v>25</v>
      </c>
      <c r="BK31" s="134">
        <v>0</v>
      </c>
      <c r="BL31" s="134">
        <v>0</v>
      </c>
      <c r="BM31" s="134">
        <v>0</v>
      </c>
      <c r="BN31" s="134">
        <v>0</v>
      </c>
      <c r="BO31" s="134">
        <v>0</v>
      </c>
      <c r="BP31" s="134">
        <v>0</v>
      </c>
      <c r="BQ31" s="134">
        <v>0</v>
      </c>
      <c r="BR31" s="134">
        <v>1</v>
      </c>
      <c r="BS31" s="134">
        <v>1</v>
      </c>
      <c r="BT31" s="134">
        <v>1</v>
      </c>
      <c r="BU31" s="134">
        <v>4</v>
      </c>
      <c r="BV31" s="134">
        <v>5</v>
      </c>
      <c r="BW31" s="134">
        <v>9</v>
      </c>
      <c r="BX31" s="134">
        <v>396</v>
      </c>
      <c r="BY31" s="134">
        <v>405</v>
      </c>
      <c r="BZ31" s="134">
        <v>9</v>
      </c>
      <c r="CA31" s="134">
        <v>393</v>
      </c>
      <c r="CB31" s="134">
        <v>402</v>
      </c>
      <c r="CC31" s="134">
        <v>692</v>
      </c>
      <c r="CD31" s="134">
        <v>0</v>
      </c>
      <c r="CE31" s="134">
        <v>3</v>
      </c>
      <c r="CF31" s="134">
        <v>0</v>
      </c>
      <c r="CG31" s="134">
        <v>3</v>
      </c>
      <c r="CH31" s="134">
        <v>3</v>
      </c>
      <c r="CI31" s="134">
        <v>0</v>
      </c>
      <c r="CJ31" s="134">
        <v>0</v>
      </c>
      <c r="CK31" s="134">
        <v>0</v>
      </c>
      <c r="CL31" s="134">
        <v>0</v>
      </c>
      <c r="CM31" s="134">
        <v>0</v>
      </c>
      <c r="CN31" s="134">
        <v>1</v>
      </c>
      <c r="CO31" s="134">
        <v>35</v>
      </c>
      <c r="CP31" s="134">
        <v>36</v>
      </c>
      <c r="CQ31" s="134">
        <v>0</v>
      </c>
      <c r="CR31" s="134">
        <v>0</v>
      </c>
      <c r="CS31" s="134">
        <v>0</v>
      </c>
      <c r="CT31" s="134">
        <v>8</v>
      </c>
      <c r="CU31" s="134">
        <v>361</v>
      </c>
      <c r="CV31" s="134">
        <v>369</v>
      </c>
      <c r="CW31" s="134">
        <v>1</v>
      </c>
      <c r="CX31" s="134">
        <v>8</v>
      </c>
      <c r="CY31" s="134">
        <v>9</v>
      </c>
      <c r="CZ31" s="134">
        <v>1</v>
      </c>
      <c r="DA31" s="134">
        <v>0</v>
      </c>
      <c r="DB31" s="134">
        <v>0</v>
      </c>
      <c r="DC31" s="134">
        <v>8</v>
      </c>
      <c r="DD31" s="134">
        <v>0</v>
      </c>
      <c r="DE31" s="134">
        <v>0</v>
      </c>
      <c r="DF31" s="134">
        <v>1</v>
      </c>
      <c r="DG31" s="134">
        <v>8</v>
      </c>
      <c r="DH31" s="134">
        <v>9</v>
      </c>
      <c r="DI31" s="134">
        <v>0</v>
      </c>
      <c r="DJ31" s="134">
        <v>0</v>
      </c>
      <c r="DK31" s="134">
        <v>0</v>
      </c>
      <c r="DL31" s="134">
        <v>0</v>
      </c>
      <c r="DM31" s="134">
        <v>0</v>
      </c>
      <c r="DN31" s="134">
        <v>0</v>
      </c>
      <c r="DO31" s="134">
        <v>0</v>
      </c>
      <c r="DP31" s="134">
        <v>0</v>
      </c>
      <c r="DQ31" s="134">
        <v>0</v>
      </c>
      <c r="DR31" s="134">
        <v>0</v>
      </c>
      <c r="DS31" s="134">
        <v>0</v>
      </c>
      <c r="DT31" s="135">
        <v>0</v>
      </c>
      <c r="DV31" s="136"/>
      <c r="DW31" s="137"/>
      <c r="DX31" s="136"/>
      <c r="DY31" s="136"/>
    </row>
    <row r="32" spans="1:129" s="116" customFormat="1">
      <c r="A32" s="133" t="s">
        <v>301</v>
      </c>
      <c r="B32" s="134">
        <v>1443</v>
      </c>
      <c r="C32" s="134">
        <v>366</v>
      </c>
      <c r="D32" s="134">
        <v>1381</v>
      </c>
      <c r="E32" s="134">
        <v>832</v>
      </c>
      <c r="F32" s="134">
        <v>0</v>
      </c>
      <c r="G32" s="134">
        <v>4</v>
      </c>
      <c r="H32" s="134">
        <v>4</v>
      </c>
      <c r="I32" s="134">
        <v>0</v>
      </c>
      <c r="J32" s="134">
        <v>483</v>
      </c>
      <c r="K32" s="134">
        <v>483</v>
      </c>
      <c r="L32" s="134">
        <v>0</v>
      </c>
      <c r="M32" s="134">
        <v>313</v>
      </c>
      <c r="N32" s="134">
        <v>313</v>
      </c>
      <c r="O32" s="134">
        <v>0</v>
      </c>
      <c r="P32" s="134">
        <v>170</v>
      </c>
      <c r="Q32" s="134">
        <v>170</v>
      </c>
      <c r="R32" s="134">
        <v>0</v>
      </c>
      <c r="S32" s="134">
        <v>2</v>
      </c>
      <c r="T32" s="134">
        <v>2</v>
      </c>
      <c r="U32" s="134">
        <v>0</v>
      </c>
      <c r="V32" s="134">
        <v>66</v>
      </c>
      <c r="W32" s="134">
        <v>66</v>
      </c>
      <c r="X32" s="134">
        <v>26</v>
      </c>
      <c r="Y32" s="134">
        <v>1355</v>
      </c>
      <c r="Z32" s="134">
        <v>1381</v>
      </c>
      <c r="AA32" s="134">
        <v>16</v>
      </c>
      <c r="AB32" s="134">
        <v>477</v>
      </c>
      <c r="AC32" s="134">
        <v>493</v>
      </c>
      <c r="AD32" s="134">
        <v>16</v>
      </c>
      <c r="AE32" s="134">
        <v>458</v>
      </c>
      <c r="AF32" s="134">
        <v>474</v>
      </c>
      <c r="AG32" s="134">
        <v>0</v>
      </c>
      <c r="AH32" s="134">
        <v>10</v>
      </c>
      <c r="AI32" s="134">
        <v>10</v>
      </c>
      <c r="AJ32" s="134">
        <v>0</v>
      </c>
      <c r="AK32" s="134">
        <v>9</v>
      </c>
      <c r="AL32" s="134">
        <v>9</v>
      </c>
      <c r="AM32" s="134">
        <v>10</v>
      </c>
      <c r="AN32" s="134">
        <v>878</v>
      </c>
      <c r="AO32" s="134">
        <v>888</v>
      </c>
      <c r="AP32" s="134">
        <v>2220</v>
      </c>
      <c r="AQ32" s="134">
        <v>16762</v>
      </c>
      <c r="AR32" s="134">
        <v>18982</v>
      </c>
      <c r="AS32" s="134">
        <v>2220</v>
      </c>
      <c r="AT32" s="134">
        <v>16762</v>
      </c>
      <c r="AU32" s="134">
        <v>18982</v>
      </c>
      <c r="AV32" s="134">
        <v>0</v>
      </c>
      <c r="AW32" s="134">
        <v>0</v>
      </c>
      <c r="AX32" s="134">
        <v>0</v>
      </c>
      <c r="AY32" s="134">
        <v>-103</v>
      </c>
      <c r="AZ32" s="134">
        <v>1506</v>
      </c>
      <c r="BA32" s="134">
        <v>1403</v>
      </c>
      <c r="BB32" s="134">
        <v>30</v>
      </c>
      <c r="BC32" s="134">
        <v>0</v>
      </c>
      <c r="BD32" s="134">
        <v>0</v>
      </c>
      <c r="BE32" s="134">
        <v>787</v>
      </c>
      <c r="BF32" s="134">
        <v>12</v>
      </c>
      <c r="BG32" s="134">
        <v>3</v>
      </c>
      <c r="BH32" s="134">
        <v>30</v>
      </c>
      <c r="BI32" s="134">
        <v>802</v>
      </c>
      <c r="BJ32" s="134">
        <v>832</v>
      </c>
      <c r="BK32" s="134">
        <v>-201</v>
      </c>
      <c r="BL32" s="134">
        <v>201</v>
      </c>
      <c r="BM32" s="134">
        <v>0</v>
      </c>
      <c r="BN32" s="134">
        <v>3</v>
      </c>
      <c r="BO32" s="134">
        <v>19</v>
      </c>
      <c r="BP32" s="134">
        <v>22</v>
      </c>
      <c r="BQ32" s="134">
        <v>19</v>
      </c>
      <c r="BR32" s="134">
        <v>202</v>
      </c>
      <c r="BS32" s="134">
        <v>221</v>
      </c>
      <c r="BT32" s="134">
        <v>46</v>
      </c>
      <c r="BU32" s="134">
        <v>282</v>
      </c>
      <c r="BV32" s="134">
        <v>328</v>
      </c>
      <c r="BW32" s="134">
        <v>2117</v>
      </c>
      <c r="BX32" s="134">
        <v>18268</v>
      </c>
      <c r="BY32" s="134">
        <v>20385</v>
      </c>
      <c r="BZ32" s="134">
        <v>2095</v>
      </c>
      <c r="CA32" s="134">
        <v>18058</v>
      </c>
      <c r="CB32" s="134">
        <v>20153</v>
      </c>
      <c r="CC32" s="134">
        <v>44167</v>
      </c>
      <c r="CD32" s="134">
        <v>10</v>
      </c>
      <c r="CE32" s="134">
        <v>214</v>
      </c>
      <c r="CF32" s="134">
        <v>22</v>
      </c>
      <c r="CG32" s="134">
        <v>178</v>
      </c>
      <c r="CH32" s="134">
        <v>200</v>
      </c>
      <c r="CI32" s="134">
        <v>41</v>
      </c>
      <c r="CJ32" s="134">
        <v>5</v>
      </c>
      <c r="CK32" s="134">
        <v>0</v>
      </c>
      <c r="CL32" s="134">
        <v>32</v>
      </c>
      <c r="CM32" s="134">
        <v>32</v>
      </c>
      <c r="CN32" s="134">
        <v>105</v>
      </c>
      <c r="CO32" s="134">
        <v>1873</v>
      </c>
      <c r="CP32" s="134">
        <v>1978</v>
      </c>
      <c r="CQ32" s="134">
        <v>0</v>
      </c>
      <c r="CR32" s="134">
        <v>1</v>
      </c>
      <c r="CS32" s="134">
        <v>1</v>
      </c>
      <c r="CT32" s="134">
        <v>2012</v>
      </c>
      <c r="CU32" s="134">
        <v>16395</v>
      </c>
      <c r="CV32" s="134">
        <v>18407</v>
      </c>
      <c r="CW32" s="134">
        <v>171</v>
      </c>
      <c r="CX32" s="134">
        <v>478</v>
      </c>
      <c r="CY32" s="134">
        <v>649</v>
      </c>
      <c r="CZ32" s="134">
        <v>168</v>
      </c>
      <c r="DA32" s="134">
        <v>3</v>
      </c>
      <c r="DB32" s="134">
        <v>0</v>
      </c>
      <c r="DC32" s="134">
        <v>458</v>
      </c>
      <c r="DD32" s="134">
        <v>5</v>
      </c>
      <c r="DE32" s="134">
        <v>2</v>
      </c>
      <c r="DF32" s="134">
        <v>171</v>
      </c>
      <c r="DG32" s="134">
        <v>465</v>
      </c>
      <c r="DH32" s="134">
        <v>636</v>
      </c>
      <c r="DI32" s="134">
        <v>0</v>
      </c>
      <c r="DJ32" s="134">
        <v>0</v>
      </c>
      <c r="DK32" s="134">
        <v>0</v>
      </c>
      <c r="DL32" s="134">
        <v>13</v>
      </c>
      <c r="DM32" s="134">
        <v>0</v>
      </c>
      <c r="DN32" s="134">
        <v>0</v>
      </c>
      <c r="DO32" s="134">
        <v>0</v>
      </c>
      <c r="DP32" s="134">
        <v>13</v>
      </c>
      <c r="DQ32" s="134">
        <v>13</v>
      </c>
      <c r="DR32" s="134">
        <v>0</v>
      </c>
      <c r="DS32" s="134">
        <v>0</v>
      </c>
      <c r="DT32" s="135">
        <v>0</v>
      </c>
      <c r="DV32" s="136"/>
      <c r="DW32" s="137"/>
      <c r="DX32" s="136"/>
      <c r="DY32" s="136"/>
    </row>
    <row r="33" spans="1:129" s="116" customFormat="1">
      <c r="A33" s="133" t="s">
        <v>302</v>
      </c>
      <c r="B33" s="134">
        <v>271</v>
      </c>
      <c r="C33" s="134">
        <v>73</v>
      </c>
      <c r="D33" s="134">
        <v>232</v>
      </c>
      <c r="E33" s="134">
        <v>103</v>
      </c>
      <c r="F33" s="134">
        <v>0</v>
      </c>
      <c r="G33" s="134">
        <v>4</v>
      </c>
      <c r="H33" s="134">
        <v>4</v>
      </c>
      <c r="I33" s="134">
        <v>0</v>
      </c>
      <c r="J33" s="134">
        <v>89</v>
      </c>
      <c r="K33" s="134">
        <v>89</v>
      </c>
      <c r="L33" s="134">
        <v>0</v>
      </c>
      <c r="M33" s="134">
        <v>28</v>
      </c>
      <c r="N33" s="134">
        <v>28</v>
      </c>
      <c r="O33" s="134">
        <v>0</v>
      </c>
      <c r="P33" s="134">
        <v>61</v>
      </c>
      <c r="Q33" s="134">
        <v>61</v>
      </c>
      <c r="R33" s="134">
        <v>0</v>
      </c>
      <c r="S33" s="134">
        <v>0</v>
      </c>
      <c r="T33" s="134">
        <v>0</v>
      </c>
      <c r="U33" s="134">
        <v>0</v>
      </c>
      <c r="V33" s="134">
        <v>40</v>
      </c>
      <c r="W33" s="134">
        <v>40</v>
      </c>
      <c r="X33" s="134">
        <v>1</v>
      </c>
      <c r="Y33" s="134">
        <v>231</v>
      </c>
      <c r="Z33" s="134">
        <v>232</v>
      </c>
      <c r="AA33" s="134">
        <v>0</v>
      </c>
      <c r="AB33" s="134">
        <v>76</v>
      </c>
      <c r="AC33" s="134">
        <v>76</v>
      </c>
      <c r="AD33" s="134">
        <v>0</v>
      </c>
      <c r="AE33" s="134">
        <v>71</v>
      </c>
      <c r="AF33" s="134">
        <v>71</v>
      </c>
      <c r="AG33" s="134">
        <v>0</v>
      </c>
      <c r="AH33" s="134">
        <v>1</v>
      </c>
      <c r="AI33" s="134">
        <v>1</v>
      </c>
      <c r="AJ33" s="134">
        <v>0</v>
      </c>
      <c r="AK33" s="134">
        <v>4</v>
      </c>
      <c r="AL33" s="134">
        <v>4</v>
      </c>
      <c r="AM33" s="134">
        <v>1</v>
      </c>
      <c r="AN33" s="134">
        <v>155</v>
      </c>
      <c r="AO33" s="134">
        <v>156</v>
      </c>
      <c r="AP33" s="134">
        <v>274</v>
      </c>
      <c r="AQ33" s="134">
        <v>2711</v>
      </c>
      <c r="AR33" s="134">
        <v>2985</v>
      </c>
      <c r="AS33" s="134">
        <v>274</v>
      </c>
      <c r="AT33" s="134">
        <v>2711</v>
      </c>
      <c r="AU33" s="134">
        <v>2985</v>
      </c>
      <c r="AV33" s="134">
        <v>0</v>
      </c>
      <c r="AW33" s="134">
        <v>0</v>
      </c>
      <c r="AX33" s="134">
        <v>0</v>
      </c>
      <c r="AY33" s="134">
        <v>-7</v>
      </c>
      <c r="AZ33" s="134">
        <v>239</v>
      </c>
      <c r="BA33" s="134">
        <v>232</v>
      </c>
      <c r="BB33" s="134">
        <v>1</v>
      </c>
      <c r="BC33" s="134">
        <v>0</v>
      </c>
      <c r="BD33" s="134">
        <v>0</v>
      </c>
      <c r="BE33" s="134">
        <v>99</v>
      </c>
      <c r="BF33" s="134">
        <v>3</v>
      </c>
      <c r="BG33" s="134">
        <v>0</v>
      </c>
      <c r="BH33" s="134">
        <v>1</v>
      </c>
      <c r="BI33" s="134">
        <v>102</v>
      </c>
      <c r="BJ33" s="134">
        <v>103</v>
      </c>
      <c r="BK33" s="134">
        <v>-12</v>
      </c>
      <c r="BL33" s="134">
        <v>12</v>
      </c>
      <c r="BM33" s="134">
        <v>0</v>
      </c>
      <c r="BN33" s="134">
        <v>0</v>
      </c>
      <c r="BO33" s="134">
        <v>8</v>
      </c>
      <c r="BP33" s="134">
        <v>8</v>
      </c>
      <c r="BQ33" s="134">
        <v>0</v>
      </c>
      <c r="BR33" s="134">
        <v>20</v>
      </c>
      <c r="BS33" s="134">
        <v>20</v>
      </c>
      <c r="BT33" s="134">
        <v>4</v>
      </c>
      <c r="BU33" s="134">
        <v>97</v>
      </c>
      <c r="BV33" s="134">
        <v>101</v>
      </c>
      <c r="BW33" s="134">
        <v>267</v>
      </c>
      <c r="BX33" s="134">
        <v>2950</v>
      </c>
      <c r="BY33" s="134">
        <v>3217</v>
      </c>
      <c r="BZ33" s="134">
        <v>264</v>
      </c>
      <c r="CA33" s="134">
        <v>2891</v>
      </c>
      <c r="CB33" s="134">
        <v>3155</v>
      </c>
      <c r="CC33" s="134">
        <v>6261</v>
      </c>
      <c r="CD33" s="134">
        <v>3</v>
      </c>
      <c r="CE33" s="134">
        <v>62</v>
      </c>
      <c r="CF33" s="134">
        <v>3</v>
      </c>
      <c r="CG33" s="134">
        <v>53</v>
      </c>
      <c r="CH33" s="134">
        <v>56</v>
      </c>
      <c r="CI33" s="134">
        <v>7</v>
      </c>
      <c r="CJ33" s="134">
        <v>0</v>
      </c>
      <c r="CK33" s="134">
        <v>0</v>
      </c>
      <c r="CL33" s="134">
        <v>6</v>
      </c>
      <c r="CM33" s="134">
        <v>6</v>
      </c>
      <c r="CN33" s="134">
        <v>20</v>
      </c>
      <c r="CO33" s="134">
        <v>276</v>
      </c>
      <c r="CP33" s="134">
        <v>296</v>
      </c>
      <c r="CQ33" s="134">
        <v>0</v>
      </c>
      <c r="CR33" s="134">
        <v>2</v>
      </c>
      <c r="CS33" s="134">
        <v>2</v>
      </c>
      <c r="CT33" s="134">
        <v>247</v>
      </c>
      <c r="CU33" s="134">
        <v>2674</v>
      </c>
      <c r="CV33" s="134">
        <v>2921</v>
      </c>
      <c r="CW33" s="134">
        <v>21</v>
      </c>
      <c r="CX33" s="134">
        <v>117</v>
      </c>
      <c r="CY33" s="134">
        <v>138</v>
      </c>
      <c r="CZ33" s="134">
        <v>21</v>
      </c>
      <c r="DA33" s="134">
        <v>0</v>
      </c>
      <c r="DB33" s="134">
        <v>0</v>
      </c>
      <c r="DC33" s="134">
        <v>114</v>
      </c>
      <c r="DD33" s="134">
        <v>3</v>
      </c>
      <c r="DE33" s="134">
        <v>0</v>
      </c>
      <c r="DF33" s="134">
        <v>21</v>
      </c>
      <c r="DG33" s="134">
        <v>117</v>
      </c>
      <c r="DH33" s="134">
        <v>138</v>
      </c>
      <c r="DI33" s="134">
        <v>0</v>
      </c>
      <c r="DJ33" s="134">
        <v>0</v>
      </c>
      <c r="DK33" s="134">
        <v>0</v>
      </c>
      <c r="DL33" s="134">
        <v>0</v>
      </c>
      <c r="DM33" s="134">
        <v>0</v>
      </c>
      <c r="DN33" s="134">
        <v>0</v>
      </c>
      <c r="DO33" s="134">
        <v>0</v>
      </c>
      <c r="DP33" s="134">
        <v>0</v>
      </c>
      <c r="DQ33" s="134">
        <v>0</v>
      </c>
      <c r="DR33" s="134">
        <v>0</v>
      </c>
      <c r="DS33" s="134">
        <v>0</v>
      </c>
      <c r="DT33" s="135">
        <v>0</v>
      </c>
      <c r="DV33" s="136"/>
      <c r="DW33" s="137"/>
      <c r="DX33" s="136"/>
      <c r="DY33" s="136"/>
    </row>
    <row r="34" spans="1:129" s="116" customFormat="1">
      <c r="A34" s="133" t="s">
        <v>303</v>
      </c>
      <c r="B34" s="134">
        <v>341</v>
      </c>
      <c r="C34" s="134">
        <v>93</v>
      </c>
      <c r="D34" s="134">
        <v>312</v>
      </c>
      <c r="E34" s="134">
        <v>209</v>
      </c>
      <c r="F34" s="134">
        <v>0</v>
      </c>
      <c r="G34" s="134">
        <v>28</v>
      </c>
      <c r="H34" s="134">
        <v>28</v>
      </c>
      <c r="I34" s="134">
        <v>0</v>
      </c>
      <c r="J34" s="134">
        <v>97</v>
      </c>
      <c r="K34" s="134">
        <v>97</v>
      </c>
      <c r="L34" s="134">
        <v>0</v>
      </c>
      <c r="M34" s="134">
        <v>40</v>
      </c>
      <c r="N34" s="134">
        <v>40</v>
      </c>
      <c r="O34" s="134">
        <v>0</v>
      </c>
      <c r="P34" s="134">
        <v>57</v>
      </c>
      <c r="Q34" s="134">
        <v>57</v>
      </c>
      <c r="R34" s="134">
        <v>0</v>
      </c>
      <c r="S34" s="134">
        <v>2</v>
      </c>
      <c r="T34" s="134">
        <v>2</v>
      </c>
      <c r="U34" s="134">
        <v>0</v>
      </c>
      <c r="V34" s="134">
        <v>6</v>
      </c>
      <c r="W34" s="134">
        <v>6</v>
      </c>
      <c r="X34" s="134">
        <v>4</v>
      </c>
      <c r="Y34" s="134">
        <v>308</v>
      </c>
      <c r="Z34" s="134">
        <v>312</v>
      </c>
      <c r="AA34" s="134">
        <v>2</v>
      </c>
      <c r="AB34" s="134">
        <v>157</v>
      </c>
      <c r="AC34" s="134">
        <v>159</v>
      </c>
      <c r="AD34" s="134">
        <v>2</v>
      </c>
      <c r="AE34" s="134">
        <v>136</v>
      </c>
      <c r="AF34" s="134">
        <v>138</v>
      </c>
      <c r="AG34" s="134">
        <v>0</v>
      </c>
      <c r="AH34" s="134">
        <v>7</v>
      </c>
      <c r="AI34" s="134">
        <v>7</v>
      </c>
      <c r="AJ34" s="134">
        <v>0</v>
      </c>
      <c r="AK34" s="134">
        <v>14</v>
      </c>
      <c r="AL34" s="134">
        <v>14</v>
      </c>
      <c r="AM34" s="134">
        <v>2</v>
      </c>
      <c r="AN34" s="134">
        <v>151</v>
      </c>
      <c r="AO34" s="134">
        <v>153</v>
      </c>
      <c r="AP34" s="134">
        <v>242</v>
      </c>
      <c r="AQ34" s="134">
        <v>3601</v>
      </c>
      <c r="AR34" s="134">
        <v>3843</v>
      </c>
      <c r="AS34" s="134">
        <v>242</v>
      </c>
      <c r="AT34" s="134">
        <v>3601</v>
      </c>
      <c r="AU34" s="134">
        <v>3843</v>
      </c>
      <c r="AV34" s="134">
        <v>0</v>
      </c>
      <c r="AW34" s="134">
        <v>0</v>
      </c>
      <c r="AX34" s="134">
        <v>0</v>
      </c>
      <c r="AY34" s="134">
        <v>4</v>
      </c>
      <c r="AZ34" s="134">
        <v>346</v>
      </c>
      <c r="BA34" s="134">
        <v>350</v>
      </c>
      <c r="BB34" s="134">
        <v>4</v>
      </c>
      <c r="BC34" s="134">
        <v>0</v>
      </c>
      <c r="BD34" s="134">
        <v>0</v>
      </c>
      <c r="BE34" s="134">
        <v>205</v>
      </c>
      <c r="BF34" s="134">
        <v>0</v>
      </c>
      <c r="BG34" s="134">
        <v>0</v>
      </c>
      <c r="BH34" s="134">
        <v>4</v>
      </c>
      <c r="BI34" s="134">
        <v>205</v>
      </c>
      <c r="BJ34" s="134">
        <v>209</v>
      </c>
      <c r="BK34" s="134">
        <v>-6</v>
      </c>
      <c r="BL34" s="134">
        <v>6</v>
      </c>
      <c r="BM34" s="134">
        <v>0</v>
      </c>
      <c r="BN34" s="134">
        <v>1</v>
      </c>
      <c r="BO34" s="134">
        <v>17</v>
      </c>
      <c r="BP34" s="134">
        <v>18</v>
      </c>
      <c r="BQ34" s="134">
        <v>0</v>
      </c>
      <c r="BR34" s="134">
        <v>47</v>
      </c>
      <c r="BS34" s="134">
        <v>47</v>
      </c>
      <c r="BT34" s="134">
        <v>5</v>
      </c>
      <c r="BU34" s="134">
        <v>71</v>
      </c>
      <c r="BV34" s="134">
        <v>76</v>
      </c>
      <c r="BW34" s="134">
        <v>246</v>
      </c>
      <c r="BX34" s="134">
        <v>3947</v>
      </c>
      <c r="BY34" s="134">
        <v>4193</v>
      </c>
      <c r="BZ34" s="134">
        <v>245</v>
      </c>
      <c r="CA34" s="134">
        <v>3937</v>
      </c>
      <c r="CB34" s="134">
        <v>4182</v>
      </c>
      <c r="CC34" s="134">
        <v>7203</v>
      </c>
      <c r="CD34" s="134">
        <v>3</v>
      </c>
      <c r="CE34" s="134">
        <v>7</v>
      </c>
      <c r="CF34" s="134">
        <v>1</v>
      </c>
      <c r="CG34" s="134">
        <v>9</v>
      </c>
      <c r="CH34" s="134">
        <v>10</v>
      </c>
      <c r="CI34" s="134">
        <v>1</v>
      </c>
      <c r="CJ34" s="134">
        <v>0</v>
      </c>
      <c r="CK34" s="134">
        <v>0</v>
      </c>
      <c r="CL34" s="134">
        <v>1</v>
      </c>
      <c r="CM34" s="134">
        <v>1</v>
      </c>
      <c r="CN34" s="134">
        <v>17</v>
      </c>
      <c r="CO34" s="134">
        <v>383</v>
      </c>
      <c r="CP34" s="134">
        <v>400</v>
      </c>
      <c r="CQ34" s="134">
        <v>0</v>
      </c>
      <c r="CR34" s="134">
        <v>4</v>
      </c>
      <c r="CS34" s="134">
        <v>4</v>
      </c>
      <c r="CT34" s="134">
        <v>229</v>
      </c>
      <c r="CU34" s="134">
        <v>3564</v>
      </c>
      <c r="CV34" s="134">
        <v>3793</v>
      </c>
      <c r="CW34" s="134">
        <v>14</v>
      </c>
      <c r="CX34" s="134">
        <v>127</v>
      </c>
      <c r="CY34" s="134">
        <v>141</v>
      </c>
      <c r="CZ34" s="134">
        <v>14</v>
      </c>
      <c r="DA34" s="134">
        <v>0</v>
      </c>
      <c r="DB34" s="134">
        <v>0</v>
      </c>
      <c r="DC34" s="134">
        <v>126</v>
      </c>
      <c r="DD34" s="134">
        <v>0</v>
      </c>
      <c r="DE34" s="134">
        <v>0</v>
      </c>
      <c r="DF34" s="134">
        <v>14</v>
      </c>
      <c r="DG34" s="134">
        <v>126</v>
      </c>
      <c r="DH34" s="134">
        <v>140</v>
      </c>
      <c r="DI34" s="134">
        <v>0</v>
      </c>
      <c r="DJ34" s="134">
        <v>0</v>
      </c>
      <c r="DK34" s="134">
        <v>0</v>
      </c>
      <c r="DL34" s="134">
        <v>1</v>
      </c>
      <c r="DM34" s="134">
        <v>0</v>
      </c>
      <c r="DN34" s="134">
        <v>0</v>
      </c>
      <c r="DO34" s="134">
        <v>0</v>
      </c>
      <c r="DP34" s="134">
        <v>1</v>
      </c>
      <c r="DQ34" s="134">
        <v>1</v>
      </c>
      <c r="DR34" s="134">
        <v>0</v>
      </c>
      <c r="DS34" s="134">
        <v>0</v>
      </c>
      <c r="DT34" s="135">
        <v>0</v>
      </c>
      <c r="DV34" s="136"/>
      <c r="DW34" s="137"/>
      <c r="DX34" s="136"/>
      <c r="DY34" s="136"/>
    </row>
    <row r="35" spans="1:129" s="116" customFormat="1">
      <c r="A35" s="133" t="s">
        <v>304</v>
      </c>
      <c r="B35" s="134">
        <v>7062</v>
      </c>
      <c r="C35" s="134">
        <v>1729</v>
      </c>
      <c r="D35" s="134">
        <v>6580</v>
      </c>
      <c r="E35" s="134">
        <v>4584</v>
      </c>
      <c r="F35" s="134">
        <v>1</v>
      </c>
      <c r="G35" s="134">
        <v>17</v>
      </c>
      <c r="H35" s="134">
        <v>18</v>
      </c>
      <c r="I35" s="134">
        <v>86</v>
      </c>
      <c r="J35" s="134">
        <v>1635</v>
      </c>
      <c r="K35" s="134">
        <v>1721</v>
      </c>
      <c r="L35" s="134">
        <v>44</v>
      </c>
      <c r="M35" s="134">
        <v>834</v>
      </c>
      <c r="N35" s="134">
        <v>878</v>
      </c>
      <c r="O35" s="134">
        <v>42</v>
      </c>
      <c r="P35" s="134">
        <v>801</v>
      </c>
      <c r="Q35" s="134">
        <v>843</v>
      </c>
      <c r="R35" s="134">
        <v>0</v>
      </c>
      <c r="S35" s="134">
        <v>61</v>
      </c>
      <c r="T35" s="134">
        <v>61</v>
      </c>
      <c r="U35" s="134">
        <v>45</v>
      </c>
      <c r="V35" s="134">
        <v>230</v>
      </c>
      <c r="W35" s="134">
        <v>275</v>
      </c>
      <c r="X35" s="134">
        <v>361</v>
      </c>
      <c r="Y35" s="134">
        <v>5162</v>
      </c>
      <c r="Z35" s="134">
        <v>5523</v>
      </c>
      <c r="AA35" s="134">
        <v>97</v>
      </c>
      <c r="AB35" s="134">
        <v>2181</v>
      </c>
      <c r="AC35" s="134">
        <v>2278</v>
      </c>
      <c r="AD35" s="134">
        <v>97</v>
      </c>
      <c r="AE35" s="134">
        <v>2176</v>
      </c>
      <c r="AF35" s="134">
        <v>2273</v>
      </c>
      <c r="AG35" s="134">
        <v>0</v>
      </c>
      <c r="AH35" s="134">
        <v>5</v>
      </c>
      <c r="AI35" s="134">
        <v>5</v>
      </c>
      <c r="AJ35" s="134">
        <v>0</v>
      </c>
      <c r="AK35" s="134">
        <v>0</v>
      </c>
      <c r="AL35" s="134">
        <v>0</v>
      </c>
      <c r="AM35" s="134">
        <v>264</v>
      </c>
      <c r="AN35" s="134">
        <v>2981</v>
      </c>
      <c r="AO35" s="134">
        <v>3245</v>
      </c>
      <c r="AP35" s="134">
        <v>9191</v>
      </c>
      <c r="AQ35" s="134">
        <v>97323</v>
      </c>
      <c r="AR35" s="134">
        <v>106514</v>
      </c>
      <c r="AS35" s="134">
        <v>9226</v>
      </c>
      <c r="AT35" s="134">
        <v>97366</v>
      </c>
      <c r="AU35" s="134">
        <v>106592</v>
      </c>
      <c r="AV35" s="134">
        <v>-35</v>
      </c>
      <c r="AW35" s="134">
        <v>-43</v>
      </c>
      <c r="AX35" s="134">
        <v>-78</v>
      </c>
      <c r="AY35" s="134">
        <v>385</v>
      </c>
      <c r="AZ35" s="134">
        <v>8811</v>
      </c>
      <c r="BA35" s="134">
        <v>9196</v>
      </c>
      <c r="BB35" s="134">
        <v>288</v>
      </c>
      <c r="BC35" s="134">
        <v>8</v>
      </c>
      <c r="BD35" s="134">
        <v>0</v>
      </c>
      <c r="BE35" s="134">
        <v>4152</v>
      </c>
      <c r="BF35" s="134">
        <v>92</v>
      </c>
      <c r="BG35" s="134">
        <v>44</v>
      </c>
      <c r="BH35" s="134">
        <v>296</v>
      </c>
      <c r="BI35" s="134">
        <v>4288</v>
      </c>
      <c r="BJ35" s="134">
        <v>4584</v>
      </c>
      <c r="BK35" s="134">
        <v>-220</v>
      </c>
      <c r="BL35" s="134">
        <v>220</v>
      </c>
      <c r="BM35" s="134">
        <v>0</v>
      </c>
      <c r="BN35" s="134">
        <v>13</v>
      </c>
      <c r="BO35" s="134">
        <v>85</v>
      </c>
      <c r="BP35" s="134">
        <v>98</v>
      </c>
      <c r="BQ35" s="134">
        <v>42</v>
      </c>
      <c r="BR35" s="134">
        <v>1065</v>
      </c>
      <c r="BS35" s="134">
        <v>1107</v>
      </c>
      <c r="BT35" s="134">
        <v>254</v>
      </c>
      <c r="BU35" s="134">
        <v>3153</v>
      </c>
      <c r="BV35" s="134">
        <v>3407</v>
      </c>
      <c r="BW35" s="134">
        <v>9576</v>
      </c>
      <c r="BX35" s="134">
        <v>106134</v>
      </c>
      <c r="BY35" s="134">
        <v>115710</v>
      </c>
      <c r="BZ35" s="134">
        <v>9402</v>
      </c>
      <c r="CA35" s="134">
        <v>102991</v>
      </c>
      <c r="CB35" s="134">
        <v>112393</v>
      </c>
      <c r="CC35" s="134">
        <v>234825</v>
      </c>
      <c r="CD35" s="134">
        <v>259</v>
      </c>
      <c r="CE35" s="134">
        <v>2923</v>
      </c>
      <c r="CF35" s="134">
        <v>170</v>
      </c>
      <c r="CG35" s="134">
        <v>2048</v>
      </c>
      <c r="CH35" s="134">
        <v>2218</v>
      </c>
      <c r="CI35" s="134">
        <v>1490</v>
      </c>
      <c r="CJ35" s="134">
        <v>15</v>
      </c>
      <c r="CK35" s="134">
        <v>4</v>
      </c>
      <c r="CL35" s="134">
        <v>1095</v>
      </c>
      <c r="CM35" s="134">
        <v>1099</v>
      </c>
      <c r="CN35" s="134">
        <v>488</v>
      </c>
      <c r="CO35" s="134">
        <v>8909</v>
      </c>
      <c r="CP35" s="134">
        <v>9397</v>
      </c>
      <c r="CQ35" s="134">
        <v>0</v>
      </c>
      <c r="CR35" s="134">
        <v>0</v>
      </c>
      <c r="CS35" s="134">
        <v>0</v>
      </c>
      <c r="CT35" s="134">
        <v>9088</v>
      </c>
      <c r="CU35" s="134">
        <v>97225</v>
      </c>
      <c r="CV35" s="134">
        <v>106313</v>
      </c>
      <c r="CW35" s="134">
        <v>719</v>
      </c>
      <c r="CX35" s="134">
        <v>6336</v>
      </c>
      <c r="CY35" s="134">
        <v>7055</v>
      </c>
      <c r="CZ35" s="134">
        <v>697</v>
      </c>
      <c r="DA35" s="134">
        <v>12</v>
      </c>
      <c r="DB35" s="134">
        <v>0</v>
      </c>
      <c r="DC35" s="134">
        <v>4888</v>
      </c>
      <c r="DD35" s="134">
        <v>105</v>
      </c>
      <c r="DE35" s="134">
        <v>24</v>
      </c>
      <c r="DF35" s="134">
        <v>709</v>
      </c>
      <c r="DG35" s="134">
        <v>5017</v>
      </c>
      <c r="DH35" s="134">
        <v>5726</v>
      </c>
      <c r="DI35" s="134">
        <v>10</v>
      </c>
      <c r="DJ35" s="134">
        <v>0</v>
      </c>
      <c r="DK35" s="134">
        <v>0</v>
      </c>
      <c r="DL35" s="134">
        <v>1277</v>
      </c>
      <c r="DM35" s="134">
        <v>32</v>
      </c>
      <c r="DN35" s="134">
        <v>10</v>
      </c>
      <c r="DO35" s="134">
        <v>10</v>
      </c>
      <c r="DP35" s="134">
        <v>1319</v>
      </c>
      <c r="DQ35" s="134">
        <v>1329</v>
      </c>
      <c r="DR35" s="134">
        <v>0</v>
      </c>
      <c r="DS35" s="134">
        <v>0</v>
      </c>
      <c r="DT35" s="135">
        <v>0</v>
      </c>
      <c r="DV35" s="136"/>
      <c r="DW35" s="137"/>
      <c r="DX35" s="136"/>
      <c r="DY35" s="136"/>
    </row>
    <row r="36" spans="1:129" s="116" customFormat="1">
      <c r="A36" s="133" t="s">
        <v>305</v>
      </c>
      <c r="B36" s="134">
        <v>589</v>
      </c>
      <c r="C36" s="134">
        <v>273</v>
      </c>
      <c r="D36" s="134">
        <v>515</v>
      </c>
      <c r="E36" s="134">
        <v>251</v>
      </c>
      <c r="F36" s="134">
        <v>0</v>
      </c>
      <c r="G36" s="134">
        <v>0</v>
      </c>
      <c r="H36" s="134">
        <v>0</v>
      </c>
      <c r="I36" s="134">
        <v>0</v>
      </c>
      <c r="J36" s="134">
        <v>244</v>
      </c>
      <c r="K36" s="134">
        <v>244</v>
      </c>
      <c r="L36" s="134">
        <v>0</v>
      </c>
      <c r="M36" s="134">
        <v>55</v>
      </c>
      <c r="N36" s="134">
        <v>55</v>
      </c>
      <c r="O36" s="134">
        <v>0</v>
      </c>
      <c r="P36" s="134">
        <v>189</v>
      </c>
      <c r="Q36" s="134">
        <v>189</v>
      </c>
      <c r="R36" s="134">
        <v>0</v>
      </c>
      <c r="S36" s="134">
        <v>10</v>
      </c>
      <c r="T36" s="134">
        <v>10</v>
      </c>
      <c r="U36" s="134">
        <v>0</v>
      </c>
      <c r="V36" s="134">
        <v>20</v>
      </c>
      <c r="W36" s="134">
        <v>20</v>
      </c>
      <c r="X36" s="134">
        <v>4</v>
      </c>
      <c r="Y36" s="134">
        <v>369</v>
      </c>
      <c r="Z36" s="134">
        <v>373</v>
      </c>
      <c r="AA36" s="134">
        <v>2</v>
      </c>
      <c r="AB36" s="134">
        <v>180</v>
      </c>
      <c r="AC36" s="134">
        <v>182</v>
      </c>
      <c r="AD36" s="134">
        <v>2</v>
      </c>
      <c r="AE36" s="134">
        <v>167</v>
      </c>
      <c r="AF36" s="134">
        <v>169</v>
      </c>
      <c r="AG36" s="134">
        <v>0</v>
      </c>
      <c r="AH36" s="134">
        <v>8</v>
      </c>
      <c r="AI36" s="134">
        <v>8</v>
      </c>
      <c r="AJ36" s="134">
        <v>0</v>
      </c>
      <c r="AK36" s="134">
        <v>5</v>
      </c>
      <c r="AL36" s="134">
        <v>5</v>
      </c>
      <c r="AM36" s="134">
        <v>2</v>
      </c>
      <c r="AN36" s="134">
        <v>189</v>
      </c>
      <c r="AO36" s="134">
        <v>191</v>
      </c>
      <c r="AP36" s="134">
        <v>598</v>
      </c>
      <c r="AQ36" s="134">
        <v>7588</v>
      </c>
      <c r="AR36" s="134">
        <v>8186</v>
      </c>
      <c r="AS36" s="134">
        <v>582</v>
      </c>
      <c r="AT36" s="134">
        <v>7380</v>
      </c>
      <c r="AU36" s="134">
        <v>7962</v>
      </c>
      <c r="AV36" s="134">
        <v>16</v>
      </c>
      <c r="AW36" s="134">
        <v>208</v>
      </c>
      <c r="AX36" s="134">
        <v>224</v>
      </c>
      <c r="AY36" s="134">
        <v>33</v>
      </c>
      <c r="AZ36" s="134">
        <v>530</v>
      </c>
      <c r="BA36" s="134">
        <v>563</v>
      </c>
      <c r="BB36" s="134">
        <v>13</v>
      </c>
      <c r="BC36" s="134">
        <v>0</v>
      </c>
      <c r="BD36" s="134">
        <v>0</v>
      </c>
      <c r="BE36" s="134">
        <v>238</v>
      </c>
      <c r="BF36" s="134">
        <v>0</v>
      </c>
      <c r="BG36" s="134">
        <v>0</v>
      </c>
      <c r="BH36" s="134">
        <v>13</v>
      </c>
      <c r="BI36" s="134">
        <v>238</v>
      </c>
      <c r="BJ36" s="134">
        <v>251</v>
      </c>
      <c r="BK36" s="134">
        <v>-8</v>
      </c>
      <c r="BL36" s="134">
        <v>8</v>
      </c>
      <c r="BM36" s="134">
        <v>0</v>
      </c>
      <c r="BN36" s="134">
        <v>8</v>
      </c>
      <c r="BO36" s="134">
        <v>31</v>
      </c>
      <c r="BP36" s="134">
        <v>39</v>
      </c>
      <c r="BQ36" s="134">
        <v>3</v>
      </c>
      <c r="BR36" s="134">
        <v>86</v>
      </c>
      <c r="BS36" s="134">
        <v>89</v>
      </c>
      <c r="BT36" s="134">
        <v>17</v>
      </c>
      <c r="BU36" s="134">
        <v>167</v>
      </c>
      <c r="BV36" s="134">
        <v>184</v>
      </c>
      <c r="BW36" s="134">
        <v>631</v>
      </c>
      <c r="BX36" s="134">
        <v>8118</v>
      </c>
      <c r="BY36" s="134">
        <v>8749</v>
      </c>
      <c r="BZ36" s="134">
        <v>618</v>
      </c>
      <c r="CA36" s="134">
        <v>8041</v>
      </c>
      <c r="CB36" s="134">
        <v>8659</v>
      </c>
      <c r="CC36" s="134">
        <v>15914</v>
      </c>
      <c r="CD36" s="134">
        <v>1</v>
      </c>
      <c r="CE36" s="134">
        <v>68</v>
      </c>
      <c r="CF36" s="134">
        <v>12</v>
      </c>
      <c r="CG36" s="134">
        <v>38</v>
      </c>
      <c r="CH36" s="134">
        <v>50</v>
      </c>
      <c r="CI36" s="134">
        <v>51</v>
      </c>
      <c r="CJ36" s="134">
        <v>7</v>
      </c>
      <c r="CK36" s="134">
        <v>1</v>
      </c>
      <c r="CL36" s="134">
        <v>39</v>
      </c>
      <c r="CM36" s="134">
        <v>40</v>
      </c>
      <c r="CN36" s="134">
        <v>57</v>
      </c>
      <c r="CO36" s="134">
        <v>832</v>
      </c>
      <c r="CP36" s="134">
        <v>889</v>
      </c>
      <c r="CQ36" s="134">
        <v>0</v>
      </c>
      <c r="CR36" s="134">
        <v>0</v>
      </c>
      <c r="CS36" s="134">
        <v>0</v>
      </c>
      <c r="CT36" s="134">
        <v>574</v>
      </c>
      <c r="CU36" s="134">
        <v>7286</v>
      </c>
      <c r="CV36" s="134">
        <v>7860</v>
      </c>
      <c r="CW36" s="134">
        <v>38</v>
      </c>
      <c r="CX36" s="134">
        <v>287</v>
      </c>
      <c r="CY36" s="134">
        <v>325</v>
      </c>
      <c r="CZ36" s="134">
        <v>37</v>
      </c>
      <c r="DA36" s="134">
        <v>0</v>
      </c>
      <c r="DB36" s="134">
        <v>1</v>
      </c>
      <c r="DC36" s="134">
        <v>276</v>
      </c>
      <c r="DD36" s="134">
        <v>2</v>
      </c>
      <c r="DE36" s="134">
        <v>2</v>
      </c>
      <c r="DF36" s="134">
        <v>38</v>
      </c>
      <c r="DG36" s="134">
        <v>280</v>
      </c>
      <c r="DH36" s="134">
        <v>318</v>
      </c>
      <c r="DI36" s="134">
        <v>0</v>
      </c>
      <c r="DJ36" s="134">
        <v>0</v>
      </c>
      <c r="DK36" s="134">
        <v>0</v>
      </c>
      <c r="DL36" s="134">
        <v>7</v>
      </c>
      <c r="DM36" s="134">
        <v>0</v>
      </c>
      <c r="DN36" s="134">
        <v>0</v>
      </c>
      <c r="DO36" s="134">
        <v>0</v>
      </c>
      <c r="DP36" s="134">
        <v>7</v>
      </c>
      <c r="DQ36" s="134">
        <v>7</v>
      </c>
      <c r="DR36" s="134">
        <v>0</v>
      </c>
      <c r="DS36" s="134">
        <v>0</v>
      </c>
      <c r="DT36" s="135">
        <v>0</v>
      </c>
      <c r="DV36" s="136"/>
      <c r="DW36" s="137"/>
      <c r="DX36" s="136"/>
      <c r="DY36" s="136"/>
    </row>
    <row r="37" spans="1:129" s="116" customFormat="1">
      <c r="A37" s="133" t="s">
        <v>306</v>
      </c>
      <c r="B37" s="134">
        <v>71</v>
      </c>
      <c r="C37" s="134">
        <v>13</v>
      </c>
      <c r="D37" s="134">
        <v>81</v>
      </c>
      <c r="E37" s="134">
        <v>46</v>
      </c>
      <c r="F37" s="134">
        <v>0</v>
      </c>
      <c r="G37" s="134">
        <v>0</v>
      </c>
      <c r="H37" s="134">
        <v>0</v>
      </c>
      <c r="I37" s="134">
        <v>0</v>
      </c>
      <c r="J37" s="134">
        <v>31</v>
      </c>
      <c r="K37" s="134">
        <v>31</v>
      </c>
      <c r="L37" s="134">
        <v>0</v>
      </c>
      <c r="M37" s="134">
        <v>9</v>
      </c>
      <c r="N37" s="134">
        <v>9</v>
      </c>
      <c r="O37" s="134">
        <v>0</v>
      </c>
      <c r="P37" s="134">
        <v>22</v>
      </c>
      <c r="Q37" s="134">
        <v>22</v>
      </c>
      <c r="R37" s="134">
        <v>0</v>
      </c>
      <c r="S37" s="134">
        <v>0</v>
      </c>
      <c r="T37" s="134">
        <v>0</v>
      </c>
      <c r="U37" s="134">
        <v>0</v>
      </c>
      <c r="V37" s="134">
        <v>4</v>
      </c>
      <c r="W37" s="134">
        <v>4</v>
      </c>
      <c r="X37" s="134">
        <v>1</v>
      </c>
      <c r="Y37" s="134">
        <v>80</v>
      </c>
      <c r="Z37" s="134">
        <v>81</v>
      </c>
      <c r="AA37" s="134">
        <v>0</v>
      </c>
      <c r="AB37" s="134">
        <v>30</v>
      </c>
      <c r="AC37" s="134">
        <v>30</v>
      </c>
      <c r="AD37" s="134">
        <v>0</v>
      </c>
      <c r="AE37" s="134">
        <v>25</v>
      </c>
      <c r="AF37" s="134">
        <v>25</v>
      </c>
      <c r="AG37" s="134">
        <v>0</v>
      </c>
      <c r="AH37" s="134">
        <v>3</v>
      </c>
      <c r="AI37" s="134">
        <v>3</v>
      </c>
      <c r="AJ37" s="134">
        <v>0</v>
      </c>
      <c r="AK37" s="134">
        <v>2</v>
      </c>
      <c r="AL37" s="134">
        <v>2</v>
      </c>
      <c r="AM37" s="134">
        <v>1</v>
      </c>
      <c r="AN37" s="134">
        <v>50</v>
      </c>
      <c r="AO37" s="134">
        <v>51</v>
      </c>
      <c r="AP37" s="134">
        <v>77</v>
      </c>
      <c r="AQ37" s="134">
        <v>984</v>
      </c>
      <c r="AR37" s="134">
        <v>1061</v>
      </c>
      <c r="AS37" s="134">
        <v>77</v>
      </c>
      <c r="AT37" s="134">
        <v>984</v>
      </c>
      <c r="AU37" s="134">
        <v>1061</v>
      </c>
      <c r="AV37" s="134">
        <v>0</v>
      </c>
      <c r="AW37" s="134">
        <v>0</v>
      </c>
      <c r="AX37" s="134">
        <v>0</v>
      </c>
      <c r="AY37" s="134">
        <v>-7</v>
      </c>
      <c r="AZ37" s="134">
        <v>84</v>
      </c>
      <c r="BA37" s="134">
        <v>77</v>
      </c>
      <c r="BB37" s="134">
        <v>1</v>
      </c>
      <c r="BC37" s="134">
        <v>0</v>
      </c>
      <c r="BD37" s="134">
        <v>0</v>
      </c>
      <c r="BE37" s="134">
        <v>45</v>
      </c>
      <c r="BF37" s="134">
        <v>0</v>
      </c>
      <c r="BG37" s="134">
        <v>0</v>
      </c>
      <c r="BH37" s="134">
        <v>1</v>
      </c>
      <c r="BI37" s="134">
        <v>45</v>
      </c>
      <c r="BJ37" s="134">
        <v>46</v>
      </c>
      <c r="BK37" s="134">
        <v>-9</v>
      </c>
      <c r="BL37" s="134">
        <v>9</v>
      </c>
      <c r="BM37" s="134">
        <v>0</v>
      </c>
      <c r="BN37" s="134">
        <v>0</v>
      </c>
      <c r="BO37" s="134">
        <v>7</v>
      </c>
      <c r="BP37" s="134">
        <v>7</v>
      </c>
      <c r="BQ37" s="134">
        <v>0</v>
      </c>
      <c r="BR37" s="134">
        <v>12</v>
      </c>
      <c r="BS37" s="134">
        <v>12</v>
      </c>
      <c r="BT37" s="134">
        <v>1</v>
      </c>
      <c r="BU37" s="134">
        <v>11</v>
      </c>
      <c r="BV37" s="134">
        <v>12</v>
      </c>
      <c r="BW37" s="134">
        <v>70</v>
      </c>
      <c r="BX37" s="134">
        <v>1068</v>
      </c>
      <c r="BY37" s="134">
        <v>1138</v>
      </c>
      <c r="BZ37" s="134">
        <v>70</v>
      </c>
      <c r="CA37" s="134">
        <v>1067</v>
      </c>
      <c r="CB37" s="134">
        <v>1137</v>
      </c>
      <c r="CC37" s="134">
        <v>1947</v>
      </c>
      <c r="CD37" s="134">
        <v>0</v>
      </c>
      <c r="CE37" s="134">
        <v>1</v>
      </c>
      <c r="CF37" s="134">
        <v>0</v>
      </c>
      <c r="CG37" s="134">
        <v>1</v>
      </c>
      <c r="CH37" s="134">
        <v>1</v>
      </c>
      <c r="CI37" s="134">
        <v>0</v>
      </c>
      <c r="CJ37" s="134">
        <v>0</v>
      </c>
      <c r="CK37" s="134">
        <v>0</v>
      </c>
      <c r="CL37" s="134">
        <v>0</v>
      </c>
      <c r="CM37" s="134">
        <v>0</v>
      </c>
      <c r="CN37" s="134">
        <v>7</v>
      </c>
      <c r="CO37" s="134">
        <v>142</v>
      </c>
      <c r="CP37" s="134">
        <v>149</v>
      </c>
      <c r="CQ37" s="134">
        <v>0</v>
      </c>
      <c r="CR37" s="134">
        <v>0</v>
      </c>
      <c r="CS37" s="134">
        <v>0</v>
      </c>
      <c r="CT37" s="134">
        <v>63</v>
      </c>
      <c r="CU37" s="134">
        <v>926</v>
      </c>
      <c r="CV37" s="134">
        <v>989</v>
      </c>
      <c r="CW37" s="134">
        <v>6</v>
      </c>
      <c r="CX37" s="134">
        <v>24</v>
      </c>
      <c r="CY37" s="134">
        <v>30</v>
      </c>
      <c r="CZ37" s="134">
        <v>6</v>
      </c>
      <c r="DA37" s="134">
        <v>0</v>
      </c>
      <c r="DB37" s="134">
        <v>0</v>
      </c>
      <c r="DC37" s="134">
        <v>23</v>
      </c>
      <c r="DD37" s="134">
        <v>0</v>
      </c>
      <c r="DE37" s="134">
        <v>0</v>
      </c>
      <c r="DF37" s="134">
        <v>6</v>
      </c>
      <c r="DG37" s="134">
        <v>23</v>
      </c>
      <c r="DH37" s="134">
        <v>29</v>
      </c>
      <c r="DI37" s="134">
        <v>0</v>
      </c>
      <c r="DJ37" s="134">
        <v>0</v>
      </c>
      <c r="DK37" s="134">
        <v>0</v>
      </c>
      <c r="DL37" s="134">
        <v>1</v>
      </c>
      <c r="DM37" s="134">
        <v>0</v>
      </c>
      <c r="DN37" s="134">
        <v>0</v>
      </c>
      <c r="DO37" s="134">
        <v>0</v>
      </c>
      <c r="DP37" s="134">
        <v>1</v>
      </c>
      <c r="DQ37" s="134">
        <v>1</v>
      </c>
      <c r="DR37" s="134">
        <v>0</v>
      </c>
      <c r="DS37" s="134">
        <v>0</v>
      </c>
      <c r="DT37" s="135">
        <v>0</v>
      </c>
      <c r="DV37" s="136"/>
      <c r="DW37" s="137"/>
      <c r="DX37" s="136"/>
      <c r="DY37" s="136"/>
    </row>
    <row r="38" spans="1:129" s="116" customFormat="1">
      <c r="A38" s="133" t="s">
        <v>307</v>
      </c>
      <c r="B38" s="134">
        <v>10776</v>
      </c>
      <c r="C38" s="134">
        <v>3119</v>
      </c>
      <c r="D38" s="134">
        <v>10271</v>
      </c>
      <c r="E38" s="134">
        <v>5874</v>
      </c>
      <c r="F38" s="134">
        <v>0</v>
      </c>
      <c r="G38" s="134">
        <v>34</v>
      </c>
      <c r="H38" s="134">
        <v>34</v>
      </c>
      <c r="I38" s="134">
        <v>2</v>
      </c>
      <c r="J38" s="134">
        <v>4040</v>
      </c>
      <c r="K38" s="134">
        <v>4042</v>
      </c>
      <c r="L38" s="134">
        <v>2</v>
      </c>
      <c r="M38" s="134">
        <v>1498</v>
      </c>
      <c r="N38" s="134">
        <v>1500</v>
      </c>
      <c r="O38" s="134">
        <v>0</v>
      </c>
      <c r="P38" s="134">
        <v>2542</v>
      </c>
      <c r="Q38" s="134">
        <v>2542</v>
      </c>
      <c r="R38" s="134">
        <v>0</v>
      </c>
      <c r="S38" s="134">
        <v>22</v>
      </c>
      <c r="T38" s="134">
        <v>22</v>
      </c>
      <c r="U38" s="134">
        <v>0</v>
      </c>
      <c r="V38" s="134">
        <v>355</v>
      </c>
      <c r="W38" s="134">
        <v>355</v>
      </c>
      <c r="X38" s="134">
        <v>249</v>
      </c>
      <c r="Y38" s="134">
        <v>10022</v>
      </c>
      <c r="Z38" s="134">
        <v>10271</v>
      </c>
      <c r="AA38" s="134">
        <v>179</v>
      </c>
      <c r="AB38" s="134">
        <v>4039</v>
      </c>
      <c r="AC38" s="134">
        <v>4218</v>
      </c>
      <c r="AD38" s="134">
        <v>171</v>
      </c>
      <c r="AE38" s="134">
        <v>3697</v>
      </c>
      <c r="AF38" s="134">
        <v>3868</v>
      </c>
      <c r="AG38" s="134">
        <v>3</v>
      </c>
      <c r="AH38" s="134">
        <v>207</v>
      </c>
      <c r="AI38" s="134">
        <v>210</v>
      </c>
      <c r="AJ38" s="134">
        <v>5</v>
      </c>
      <c r="AK38" s="134">
        <v>135</v>
      </c>
      <c r="AL38" s="134">
        <v>140</v>
      </c>
      <c r="AM38" s="134">
        <v>70</v>
      </c>
      <c r="AN38" s="134">
        <v>5983</v>
      </c>
      <c r="AO38" s="134">
        <v>6053</v>
      </c>
      <c r="AP38" s="134">
        <v>13678</v>
      </c>
      <c r="AQ38" s="134">
        <v>99910</v>
      </c>
      <c r="AR38" s="134">
        <v>113588</v>
      </c>
      <c r="AS38" s="134">
        <v>13679</v>
      </c>
      <c r="AT38" s="134">
        <v>99914</v>
      </c>
      <c r="AU38" s="134">
        <v>113593</v>
      </c>
      <c r="AV38" s="134">
        <v>-1</v>
      </c>
      <c r="AW38" s="134">
        <v>-4</v>
      </c>
      <c r="AX38" s="134">
        <v>-5</v>
      </c>
      <c r="AY38" s="134">
        <v>557</v>
      </c>
      <c r="AZ38" s="134">
        <v>9473</v>
      </c>
      <c r="BA38" s="134">
        <v>10030</v>
      </c>
      <c r="BB38" s="134">
        <v>286</v>
      </c>
      <c r="BC38" s="134">
        <v>3</v>
      </c>
      <c r="BD38" s="134">
        <v>0</v>
      </c>
      <c r="BE38" s="134">
        <v>5544</v>
      </c>
      <c r="BF38" s="134">
        <v>31</v>
      </c>
      <c r="BG38" s="134">
        <v>10</v>
      </c>
      <c r="BH38" s="134">
        <v>289</v>
      </c>
      <c r="BI38" s="134">
        <v>5585</v>
      </c>
      <c r="BJ38" s="134">
        <v>5874</v>
      </c>
      <c r="BK38" s="134">
        <v>-133</v>
      </c>
      <c r="BL38" s="134">
        <v>133</v>
      </c>
      <c r="BM38" s="134">
        <v>0</v>
      </c>
      <c r="BN38" s="134">
        <v>35</v>
      </c>
      <c r="BO38" s="134">
        <v>226</v>
      </c>
      <c r="BP38" s="134">
        <v>261</v>
      </c>
      <c r="BQ38" s="134">
        <v>81</v>
      </c>
      <c r="BR38" s="134">
        <v>1645</v>
      </c>
      <c r="BS38" s="134">
        <v>1726</v>
      </c>
      <c r="BT38" s="134">
        <v>285</v>
      </c>
      <c r="BU38" s="134">
        <v>1884</v>
      </c>
      <c r="BV38" s="134">
        <v>2169</v>
      </c>
      <c r="BW38" s="134">
        <v>14235</v>
      </c>
      <c r="BX38" s="134">
        <v>109383</v>
      </c>
      <c r="BY38" s="134">
        <v>123618</v>
      </c>
      <c r="BZ38" s="134">
        <v>14137</v>
      </c>
      <c r="CA38" s="134">
        <v>108499</v>
      </c>
      <c r="CB38" s="134">
        <v>122636</v>
      </c>
      <c r="CC38" s="134">
        <v>270674</v>
      </c>
      <c r="CD38" s="134">
        <v>109</v>
      </c>
      <c r="CE38" s="134">
        <v>836</v>
      </c>
      <c r="CF38" s="134">
        <v>96</v>
      </c>
      <c r="CG38" s="134">
        <v>723</v>
      </c>
      <c r="CH38" s="134">
        <v>819</v>
      </c>
      <c r="CI38" s="134">
        <v>197</v>
      </c>
      <c r="CJ38" s="134">
        <v>16</v>
      </c>
      <c r="CK38" s="134">
        <v>2</v>
      </c>
      <c r="CL38" s="134">
        <v>161</v>
      </c>
      <c r="CM38" s="134">
        <v>163</v>
      </c>
      <c r="CN38" s="134">
        <v>743</v>
      </c>
      <c r="CO38" s="134">
        <v>9551</v>
      </c>
      <c r="CP38" s="134">
        <v>10294</v>
      </c>
      <c r="CQ38" s="134">
        <v>0</v>
      </c>
      <c r="CR38" s="134">
        <v>105</v>
      </c>
      <c r="CS38" s="134">
        <v>105</v>
      </c>
      <c r="CT38" s="134">
        <v>13492</v>
      </c>
      <c r="CU38" s="134">
        <v>99832</v>
      </c>
      <c r="CV38" s="134">
        <v>113324</v>
      </c>
      <c r="CW38" s="134">
        <v>990</v>
      </c>
      <c r="CX38" s="134">
        <v>4616</v>
      </c>
      <c r="CY38" s="134">
        <v>5606</v>
      </c>
      <c r="CZ38" s="134">
        <v>978</v>
      </c>
      <c r="DA38" s="134">
        <v>9</v>
      </c>
      <c r="DB38" s="134">
        <v>0</v>
      </c>
      <c r="DC38" s="134">
        <v>4511</v>
      </c>
      <c r="DD38" s="134">
        <v>42</v>
      </c>
      <c r="DE38" s="134">
        <v>11</v>
      </c>
      <c r="DF38" s="134">
        <v>987</v>
      </c>
      <c r="DG38" s="134">
        <v>4564</v>
      </c>
      <c r="DH38" s="134">
        <v>5551</v>
      </c>
      <c r="DI38" s="134">
        <v>3</v>
      </c>
      <c r="DJ38" s="134">
        <v>0</v>
      </c>
      <c r="DK38" s="134">
        <v>0</v>
      </c>
      <c r="DL38" s="134">
        <v>50</v>
      </c>
      <c r="DM38" s="134">
        <v>2</v>
      </c>
      <c r="DN38" s="134">
        <v>0</v>
      </c>
      <c r="DO38" s="134">
        <v>3</v>
      </c>
      <c r="DP38" s="134">
        <v>52</v>
      </c>
      <c r="DQ38" s="134">
        <v>55</v>
      </c>
      <c r="DR38" s="134">
        <v>0</v>
      </c>
      <c r="DS38" s="134">
        <v>0</v>
      </c>
      <c r="DT38" s="135">
        <v>0</v>
      </c>
      <c r="DV38" s="136"/>
      <c r="DW38" s="137"/>
      <c r="DX38" s="136"/>
      <c r="DY38" s="136"/>
    </row>
    <row r="39" spans="1:129" s="116" customFormat="1">
      <c r="A39" s="133" t="s">
        <v>308</v>
      </c>
      <c r="B39" s="134">
        <v>7760</v>
      </c>
      <c r="C39" s="134">
        <v>2247</v>
      </c>
      <c r="D39" s="134">
        <v>6141</v>
      </c>
      <c r="E39" s="134">
        <v>3768</v>
      </c>
      <c r="F39" s="134">
        <v>2</v>
      </c>
      <c r="G39" s="134">
        <v>16</v>
      </c>
      <c r="H39" s="134">
        <v>18</v>
      </c>
      <c r="I39" s="134">
        <v>3</v>
      </c>
      <c r="J39" s="134">
        <v>2203</v>
      </c>
      <c r="K39" s="134">
        <v>2206</v>
      </c>
      <c r="L39" s="134">
        <v>2</v>
      </c>
      <c r="M39" s="134">
        <v>645</v>
      </c>
      <c r="N39" s="134">
        <v>647</v>
      </c>
      <c r="O39" s="134">
        <v>1</v>
      </c>
      <c r="P39" s="134">
        <v>1558</v>
      </c>
      <c r="Q39" s="134">
        <v>1559</v>
      </c>
      <c r="R39" s="134">
        <v>0</v>
      </c>
      <c r="S39" s="134">
        <v>93</v>
      </c>
      <c r="T39" s="134">
        <v>93</v>
      </c>
      <c r="U39" s="134">
        <v>0</v>
      </c>
      <c r="V39" s="134">
        <v>167</v>
      </c>
      <c r="W39" s="134">
        <v>167</v>
      </c>
      <c r="X39" s="134">
        <v>218</v>
      </c>
      <c r="Y39" s="134">
        <v>5923</v>
      </c>
      <c r="Z39" s="134">
        <v>6141</v>
      </c>
      <c r="AA39" s="134">
        <v>110</v>
      </c>
      <c r="AB39" s="134">
        <v>1720</v>
      </c>
      <c r="AC39" s="134">
        <v>1830</v>
      </c>
      <c r="AD39" s="134">
        <v>109</v>
      </c>
      <c r="AE39" s="134">
        <v>1706</v>
      </c>
      <c r="AF39" s="134">
        <v>1815</v>
      </c>
      <c r="AG39" s="134">
        <v>1</v>
      </c>
      <c r="AH39" s="134">
        <v>12</v>
      </c>
      <c r="AI39" s="134">
        <v>13</v>
      </c>
      <c r="AJ39" s="134">
        <v>0</v>
      </c>
      <c r="AK39" s="134">
        <v>2</v>
      </c>
      <c r="AL39" s="134">
        <v>2</v>
      </c>
      <c r="AM39" s="134">
        <v>108</v>
      </c>
      <c r="AN39" s="134">
        <v>4203</v>
      </c>
      <c r="AO39" s="134">
        <v>4311</v>
      </c>
      <c r="AP39" s="134">
        <v>12999</v>
      </c>
      <c r="AQ39" s="134">
        <v>77475</v>
      </c>
      <c r="AR39" s="134">
        <v>90474</v>
      </c>
      <c r="AS39" s="134">
        <v>12878</v>
      </c>
      <c r="AT39" s="134">
        <v>77075</v>
      </c>
      <c r="AU39" s="134">
        <v>89953</v>
      </c>
      <c r="AV39" s="134">
        <v>121</v>
      </c>
      <c r="AW39" s="134">
        <v>400</v>
      </c>
      <c r="AX39" s="134">
        <v>521</v>
      </c>
      <c r="AY39" s="134">
        <v>642</v>
      </c>
      <c r="AZ39" s="134">
        <v>7232</v>
      </c>
      <c r="BA39" s="134">
        <v>7874</v>
      </c>
      <c r="BB39" s="134">
        <v>364</v>
      </c>
      <c r="BC39" s="134">
        <v>13</v>
      </c>
      <c r="BD39" s="134">
        <v>0</v>
      </c>
      <c r="BE39" s="134">
        <v>3326</v>
      </c>
      <c r="BF39" s="134">
        <v>38</v>
      </c>
      <c r="BG39" s="134">
        <v>27</v>
      </c>
      <c r="BH39" s="134">
        <v>377</v>
      </c>
      <c r="BI39" s="134">
        <v>3391</v>
      </c>
      <c r="BJ39" s="134">
        <v>3768</v>
      </c>
      <c r="BK39" s="134">
        <v>-322</v>
      </c>
      <c r="BL39" s="134">
        <v>322</v>
      </c>
      <c r="BM39" s="134">
        <v>0</v>
      </c>
      <c r="BN39" s="134">
        <v>19</v>
      </c>
      <c r="BO39" s="134">
        <v>92</v>
      </c>
      <c r="BP39" s="134">
        <v>111</v>
      </c>
      <c r="BQ39" s="134">
        <v>50</v>
      </c>
      <c r="BR39" s="134">
        <v>846</v>
      </c>
      <c r="BS39" s="134">
        <v>896</v>
      </c>
      <c r="BT39" s="134">
        <v>518</v>
      </c>
      <c r="BU39" s="134">
        <v>2581</v>
      </c>
      <c r="BV39" s="134">
        <v>3099</v>
      </c>
      <c r="BW39" s="134">
        <v>13641</v>
      </c>
      <c r="BX39" s="134">
        <v>84707</v>
      </c>
      <c r="BY39" s="134">
        <v>98348</v>
      </c>
      <c r="BZ39" s="134">
        <v>13081</v>
      </c>
      <c r="CA39" s="134">
        <v>83009</v>
      </c>
      <c r="CB39" s="134">
        <v>96090</v>
      </c>
      <c r="CC39" s="134">
        <v>205773</v>
      </c>
      <c r="CD39" s="134">
        <v>124</v>
      </c>
      <c r="CE39" s="134">
        <v>2664</v>
      </c>
      <c r="CF39" s="134">
        <v>550</v>
      </c>
      <c r="CG39" s="134">
        <v>1150</v>
      </c>
      <c r="CH39" s="134">
        <v>1700</v>
      </c>
      <c r="CI39" s="134">
        <v>742</v>
      </c>
      <c r="CJ39" s="134">
        <v>15</v>
      </c>
      <c r="CK39" s="134">
        <v>10</v>
      </c>
      <c r="CL39" s="134">
        <v>548</v>
      </c>
      <c r="CM39" s="134">
        <v>558</v>
      </c>
      <c r="CN39" s="134">
        <v>891</v>
      </c>
      <c r="CO39" s="134">
        <v>8054</v>
      </c>
      <c r="CP39" s="134">
        <v>8945</v>
      </c>
      <c r="CQ39" s="134">
        <v>0</v>
      </c>
      <c r="CR39" s="134">
        <v>0</v>
      </c>
      <c r="CS39" s="134">
        <v>0</v>
      </c>
      <c r="CT39" s="134">
        <v>12750</v>
      </c>
      <c r="CU39" s="134">
        <v>76653</v>
      </c>
      <c r="CV39" s="134">
        <v>89403</v>
      </c>
      <c r="CW39" s="134">
        <v>963</v>
      </c>
      <c r="CX39" s="134">
        <v>4231</v>
      </c>
      <c r="CY39" s="134">
        <v>5194</v>
      </c>
      <c r="CZ39" s="134">
        <v>891</v>
      </c>
      <c r="DA39" s="134">
        <v>40</v>
      </c>
      <c r="DB39" s="134">
        <v>0</v>
      </c>
      <c r="DC39" s="134">
        <v>3862</v>
      </c>
      <c r="DD39" s="134">
        <v>76</v>
      </c>
      <c r="DE39" s="134">
        <v>14</v>
      </c>
      <c r="DF39" s="134">
        <v>931</v>
      </c>
      <c r="DG39" s="134">
        <v>3952</v>
      </c>
      <c r="DH39" s="134">
        <v>4883</v>
      </c>
      <c r="DI39" s="134">
        <v>31</v>
      </c>
      <c r="DJ39" s="134">
        <v>1</v>
      </c>
      <c r="DK39" s="134">
        <v>0</v>
      </c>
      <c r="DL39" s="134">
        <v>270</v>
      </c>
      <c r="DM39" s="134">
        <v>8</v>
      </c>
      <c r="DN39" s="134">
        <v>1</v>
      </c>
      <c r="DO39" s="134">
        <v>32</v>
      </c>
      <c r="DP39" s="134">
        <v>279</v>
      </c>
      <c r="DQ39" s="134">
        <v>311</v>
      </c>
      <c r="DR39" s="134">
        <v>0</v>
      </c>
      <c r="DS39" s="134">
        <v>0</v>
      </c>
      <c r="DT39" s="135">
        <v>0</v>
      </c>
      <c r="DV39" s="136"/>
      <c r="DW39" s="137"/>
      <c r="DX39" s="136"/>
      <c r="DY39" s="136"/>
    </row>
    <row r="40" spans="1:129" s="116" customFormat="1">
      <c r="A40" s="133" t="s">
        <v>309</v>
      </c>
      <c r="B40" s="134">
        <v>142</v>
      </c>
      <c r="C40" s="134">
        <v>39</v>
      </c>
      <c r="D40" s="134">
        <v>128</v>
      </c>
      <c r="E40" s="134">
        <v>64</v>
      </c>
      <c r="F40" s="134">
        <v>0</v>
      </c>
      <c r="G40" s="134">
        <v>0</v>
      </c>
      <c r="H40" s="134">
        <v>0</v>
      </c>
      <c r="I40" s="134">
        <v>0</v>
      </c>
      <c r="J40" s="134">
        <v>55</v>
      </c>
      <c r="K40" s="134">
        <v>55</v>
      </c>
      <c r="L40" s="134">
        <v>0</v>
      </c>
      <c r="M40" s="134">
        <v>11</v>
      </c>
      <c r="N40" s="134">
        <v>11</v>
      </c>
      <c r="O40" s="134">
        <v>0</v>
      </c>
      <c r="P40" s="134">
        <v>44</v>
      </c>
      <c r="Q40" s="134">
        <v>44</v>
      </c>
      <c r="R40" s="134">
        <v>0</v>
      </c>
      <c r="S40" s="134">
        <v>2</v>
      </c>
      <c r="T40" s="134">
        <v>2</v>
      </c>
      <c r="U40" s="134">
        <v>0</v>
      </c>
      <c r="V40" s="134">
        <v>9</v>
      </c>
      <c r="W40" s="134">
        <v>9</v>
      </c>
      <c r="X40" s="134">
        <v>4</v>
      </c>
      <c r="Y40" s="134">
        <v>124</v>
      </c>
      <c r="Z40" s="134">
        <v>128</v>
      </c>
      <c r="AA40" s="134">
        <v>3</v>
      </c>
      <c r="AB40" s="134">
        <v>37</v>
      </c>
      <c r="AC40" s="134">
        <v>40</v>
      </c>
      <c r="AD40" s="134">
        <v>3</v>
      </c>
      <c r="AE40" s="134">
        <v>36</v>
      </c>
      <c r="AF40" s="134">
        <v>39</v>
      </c>
      <c r="AG40" s="134">
        <v>0</v>
      </c>
      <c r="AH40" s="134">
        <v>0</v>
      </c>
      <c r="AI40" s="134">
        <v>0</v>
      </c>
      <c r="AJ40" s="134">
        <v>0</v>
      </c>
      <c r="AK40" s="134">
        <v>1</v>
      </c>
      <c r="AL40" s="134">
        <v>1</v>
      </c>
      <c r="AM40" s="134">
        <v>1</v>
      </c>
      <c r="AN40" s="134">
        <v>87</v>
      </c>
      <c r="AO40" s="134">
        <v>88</v>
      </c>
      <c r="AP40" s="134">
        <v>233</v>
      </c>
      <c r="AQ40" s="134">
        <v>1833</v>
      </c>
      <c r="AR40" s="134">
        <v>2066</v>
      </c>
      <c r="AS40" s="134">
        <v>233</v>
      </c>
      <c r="AT40" s="134">
        <v>1833</v>
      </c>
      <c r="AU40" s="134">
        <v>2066</v>
      </c>
      <c r="AV40" s="134">
        <v>0</v>
      </c>
      <c r="AW40" s="134">
        <v>0</v>
      </c>
      <c r="AX40" s="134">
        <v>0</v>
      </c>
      <c r="AY40" s="134">
        <v>-2</v>
      </c>
      <c r="AZ40" s="134">
        <v>136</v>
      </c>
      <c r="BA40" s="134">
        <v>134</v>
      </c>
      <c r="BB40" s="134">
        <v>4</v>
      </c>
      <c r="BC40" s="134">
        <v>0</v>
      </c>
      <c r="BD40" s="134">
        <v>0</v>
      </c>
      <c r="BE40" s="134">
        <v>58</v>
      </c>
      <c r="BF40" s="134">
        <v>2</v>
      </c>
      <c r="BG40" s="134">
        <v>0</v>
      </c>
      <c r="BH40" s="134">
        <v>4</v>
      </c>
      <c r="BI40" s="134">
        <v>60</v>
      </c>
      <c r="BJ40" s="134">
        <v>64</v>
      </c>
      <c r="BK40" s="134">
        <v>-10</v>
      </c>
      <c r="BL40" s="134">
        <v>10</v>
      </c>
      <c r="BM40" s="134">
        <v>0</v>
      </c>
      <c r="BN40" s="134">
        <v>0</v>
      </c>
      <c r="BO40" s="134">
        <v>2</v>
      </c>
      <c r="BP40" s="134">
        <v>2</v>
      </c>
      <c r="BQ40" s="134">
        <v>1</v>
      </c>
      <c r="BR40" s="134">
        <v>16</v>
      </c>
      <c r="BS40" s="134">
        <v>17</v>
      </c>
      <c r="BT40" s="134">
        <v>3</v>
      </c>
      <c r="BU40" s="134">
        <v>48</v>
      </c>
      <c r="BV40" s="134">
        <v>51</v>
      </c>
      <c r="BW40" s="134">
        <v>231</v>
      </c>
      <c r="BX40" s="134">
        <v>1969</v>
      </c>
      <c r="BY40" s="134">
        <v>2200</v>
      </c>
      <c r="BZ40" s="134">
        <v>230</v>
      </c>
      <c r="CA40" s="134">
        <v>1948</v>
      </c>
      <c r="CB40" s="134">
        <v>2178</v>
      </c>
      <c r="CC40" s="134">
        <v>4872</v>
      </c>
      <c r="CD40" s="134">
        <v>4</v>
      </c>
      <c r="CE40" s="134">
        <v>20</v>
      </c>
      <c r="CF40" s="134">
        <v>1</v>
      </c>
      <c r="CG40" s="134">
        <v>20</v>
      </c>
      <c r="CH40" s="134">
        <v>21</v>
      </c>
      <c r="CI40" s="134">
        <v>1</v>
      </c>
      <c r="CJ40" s="134">
        <v>0</v>
      </c>
      <c r="CK40" s="134">
        <v>0</v>
      </c>
      <c r="CL40" s="134">
        <v>1</v>
      </c>
      <c r="CM40" s="134">
        <v>1</v>
      </c>
      <c r="CN40" s="134">
        <v>19</v>
      </c>
      <c r="CO40" s="134">
        <v>198</v>
      </c>
      <c r="CP40" s="134">
        <v>217</v>
      </c>
      <c r="CQ40" s="134">
        <v>0</v>
      </c>
      <c r="CR40" s="134">
        <v>0</v>
      </c>
      <c r="CS40" s="134">
        <v>0</v>
      </c>
      <c r="CT40" s="134">
        <v>212</v>
      </c>
      <c r="CU40" s="134">
        <v>1771</v>
      </c>
      <c r="CV40" s="134">
        <v>1983</v>
      </c>
      <c r="CW40" s="134">
        <v>25</v>
      </c>
      <c r="CX40" s="134">
        <v>89</v>
      </c>
      <c r="CY40" s="134">
        <v>114</v>
      </c>
      <c r="CZ40" s="134">
        <v>25</v>
      </c>
      <c r="DA40" s="134">
        <v>0</v>
      </c>
      <c r="DB40" s="134">
        <v>0</v>
      </c>
      <c r="DC40" s="134">
        <v>82</v>
      </c>
      <c r="DD40" s="134">
        <v>3</v>
      </c>
      <c r="DE40" s="134">
        <v>0</v>
      </c>
      <c r="DF40" s="134">
        <v>25</v>
      </c>
      <c r="DG40" s="134">
        <v>85</v>
      </c>
      <c r="DH40" s="134">
        <v>110</v>
      </c>
      <c r="DI40" s="134">
        <v>0</v>
      </c>
      <c r="DJ40" s="134">
        <v>0</v>
      </c>
      <c r="DK40" s="134">
        <v>0</v>
      </c>
      <c r="DL40" s="134">
        <v>4</v>
      </c>
      <c r="DM40" s="134">
        <v>0</v>
      </c>
      <c r="DN40" s="134">
        <v>0</v>
      </c>
      <c r="DO40" s="134">
        <v>0</v>
      </c>
      <c r="DP40" s="134">
        <v>4</v>
      </c>
      <c r="DQ40" s="134">
        <v>4</v>
      </c>
      <c r="DR40" s="134">
        <v>0</v>
      </c>
      <c r="DS40" s="134">
        <v>0</v>
      </c>
      <c r="DT40" s="135">
        <v>0</v>
      </c>
      <c r="DV40" s="136"/>
      <c r="DW40" s="137"/>
      <c r="DX40" s="136"/>
      <c r="DY40" s="136"/>
    </row>
    <row r="41" spans="1:129" s="116" customFormat="1">
      <c r="A41" s="133" t="s">
        <v>310</v>
      </c>
      <c r="B41" s="134">
        <v>12250</v>
      </c>
      <c r="C41" s="134">
        <v>3380</v>
      </c>
      <c r="D41" s="134">
        <v>11896</v>
      </c>
      <c r="E41" s="134">
        <v>8230</v>
      </c>
      <c r="F41" s="134">
        <v>4</v>
      </c>
      <c r="G41" s="134">
        <v>59</v>
      </c>
      <c r="H41" s="134">
        <v>63</v>
      </c>
      <c r="I41" s="134">
        <v>2</v>
      </c>
      <c r="J41" s="134">
        <v>3373</v>
      </c>
      <c r="K41" s="134">
        <v>3375</v>
      </c>
      <c r="L41" s="134">
        <v>2</v>
      </c>
      <c r="M41" s="134">
        <v>1341</v>
      </c>
      <c r="N41" s="134">
        <v>1343</v>
      </c>
      <c r="O41" s="134">
        <v>0</v>
      </c>
      <c r="P41" s="134">
        <v>2032</v>
      </c>
      <c r="Q41" s="134">
        <v>2032</v>
      </c>
      <c r="R41" s="134">
        <v>0</v>
      </c>
      <c r="S41" s="134">
        <v>40</v>
      </c>
      <c r="T41" s="134">
        <v>40</v>
      </c>
      <c r="U41" s="134">
        <v>0</v>
      </c>
      <c r="V41" s="134">
        <v>291</v>
      </c>
      <c r="W41" s="134">
        <v>291</v>
      </c>
      <c r="X41" s="134">
        <v>338</v>
      </c>
      <c r="Y41" s="134">
        <v>11556</v>
      </c>
      <c r="Z41" s="134">
        <v>11894</v>
      </c>
      <c r="AA41" s="134">
        <v>235</v>
      </c>
      <c r="AB41" s="134">
        <v>5444</v>
      </c>
      <c r="AC41" s="134">
        <v>5679</v>
      </c>
      <c r="AD41" s="134">
        <v>204</v>
      </c>
      <c r="AE41" s="134">
        <v>5120</v>
      </c>
      <c r="AF41" s="134">
        <v>5324</v>
      </c>
      <c r="AG41" s="134">
        <v>22</v>
      </c>
      <c r="AH41" s="134">
        <v>203</v>
      </c>
      <c r="AI41" s="134">
        <v>225</v>
      </c>
      <c r="AJ41" s="134">
        <v>9</v>
      </c>
      <c r="AK41" s="134">
        <v>121</v>
      </c>
      <c r="AL41" s="134">
        <v>130</v>
      </c>
      <c r="AM41" s="134">
        <v>103</v>
      </c>
      <c r="AN41" s="134">
        <v>6112</v>
      </c>
      <c r="AO41" s="134">
        <v>6215</v>
      </c>
      <c r="AP41" s="134">
        <v>21806</v>
      </c>
      <c r="AQ41" s="134">
        <v>133227</v>
      </c>
      <c r="AR41" s="134">
        <v>155033</v>
      </c>
      <c r="AS41" s="134">
        <v>21807</v>
      </c>
      <c r="AT41" s="134">
        <v>133228</v>
      </c>
      <c r="AU41" s="134">
        <v>155035</v>
      </c>
      <c r="AV41" s="134">
        <v>-1</v>
      </c>
      <c r="AW41" s="134">
        <v>-1</v>
      </c>
      <c r="AX41" s="134">
        <v>-2</v>
      </c>
      <c r="AY41" s="134">
        <v>993</v>
      </c>
      <c r="AZ41" s="134">
        <v>12333</v>
      </c>
      <c r="BA41" s="134">
        <v>13326</v>
      </c>
      <c r="BB41" s="134">
        <v>384</v>
      </c>
      <c r="BC41" s="134">
        <v>3</v>
      </c>
      <c r="BD41" s="134">
        <v>0</v>
      </c>
      <c r="BE41" s="134">
        <v>7778</v>
      </c>
      <c r="BF41" s="134">
        <v>45</v>
      </c>
      <c r="BG41" s="134">
        <v>20</v>
      </c>
      <c r="BH41" s="134">
        <v>387</v>
      </c>
      <c r="BI41" s="134">
        <v>7843</v>
      </c>
      <c r="BJ41" s="134">
        <v>8230</v>
      </c>
      <c r="BK41" s="134">
        <v>-127</v>
      </c>
      <c r="BL41" s="134">
        <v>127</v>
      </c>
      <c r="BM41" s="134">
        <v>0</v>
      </c>
      <c r="BN41" s="134">
        <v>53</v>
      </c>
      <c r="BO41" s="134">
        <v>259</v>
      </c>
      <c r="BP41" s="134">
        <v>312</v>
      </c>
      <c r="BQ41" s="134">
        <v>72</v>
      </c>
      <c r="BR41" s="134">
        <v>1279</v>
      </c>
      <c r="BS41" s="134">
        <v>1351</v>
      </c>
      <c r="BT41" s="134">
        <v>608</v>
      </c>
      <c r="BU41" s="134">
        <v>2825</v>
      </c>
      <c r="BV41" s="134">
        <v>3433</v>
      </c>
      <c r="BW41" s="134">
        <v>22799</v>
      </c>
      <c r="BX41" s="134">
        <v>145560</v>
      </c>
      <c r="BY41" s="134">
        <v>168359</v>
      </c>
      <c r="BZ41" s="134">
        <v>22658</v>
      </c>
      <c r="CA41" s="134">
        <v>144346</v>
      </c>
      <c r="CB41" s="134">
        <v>167004</v>
      </c>
      <c r="CC41" s="134">
        <v>364015</v>
      </c>
      <c r="CD41" s="134">
        <v>106</v>
      </c>
      <c r="CE41" s="134">
        <v>1090</v>
      </c>
      <c r="CF41" s="134">
        <v>134</v>
      </c>
      <c r="CG41" s="134">
        <v>901</v>
      </c>
      <c r="CH41" s="134">
        <v>1035</v>
      </c>
      <c r="CI41" s="134">
        <v>376</v>
      </c>
      <c r="CJ41" s="134">
        <v>67</v>
      </c>
      <c r="CK41" s="134">
        <v>7</v>
      </c>
      <c r="CL41" s="134">
        <v>313</v>
      </c>
      <c r="CM41" s="134">
        <v>320</v>
      </c>
      <c r="CN41" s="134">
        <v>1543</v>
      </c>
      <c r="CO41" s="134">
        <v>13415</v>
      </c>
      <c r="CP41" s="134">
        <v>14958</v>
      </c>
      <c r="CQ41" s="134">
        <v>0</v>
      </c>
      <c r="CR41" s="134">
        <v>41</v>
      </c>
      <c r="CS41" s="134">
        <v>41</v>
      </c>
      <c r="CT41" s="134">
        <v>21256</v>
      </c>
      <c r="CU41" s="134">
        <v>132145</v>
      </c>
      <c r="CV41" s="134">
        <v>153401</v>
      </c>
      <c r="CW41" s="134">
        <v>1373</v>
      </c>
      <c r="CX41" s="134">
        <v>5772</v>
      </c>
      <c r="CY41" s="134">
        <v>7145</v>
      </c>
      <c r="CZ41" s="134">
        <v>1361</v>
      </c>
      <c r="DA41" s="134">
        <v>9</v>
      </c>
      <c r="DB41" s="134">
        <v>1</v>
      </c>
      <c r="DC41" s="134">
        <v>5679</v>
      </c>
      <c r="DD41" s="134">
        <v>48</v>
      </c>
      <c r="DE41" s="134">
        <v>7</v>
      </c>
      <c r="DF41" s="134">
        <v>1371</v>
      </c>
      <c r="DG41" s="134">
        <v>5734</v>
      </c>
      <c r="DH41" s="134">
        <v>7105</v>
      </c>
      <c r="DI41" s="134">
        <v>2</v>
      </c>
      <c r="DJ41" s="134">
        <v>0</v>
      </c>
      <c r="DK41" s="134">
        <v>0</v>
      </c>
      <c r="DL41" s="134">
        <v>36</v>
      </c>
      <c r="DM41" s="134">
        <v>2</v>
      </c>
      <c r="DN41" s="134">
        <v>0</v>
      </c>
      <c r="DO41" s="134">
        <v>2</v>
      </c>
      <c r="DP41" s="134">
        <v>38</v>
      </c>
      <c r="DQ41" s="134">
        <v>40</v>
      </c>
      <c r="DR41" s="134">
        <v>0</v>
      </c>
      <c r="DS41" s="134">
        <v>0</v>
      </c>
      <c r="DT41" s="135">
        <v>0</v>
      </c>
      <c r="DV41" s="136"/>
      <c r="DW41" s="137"/>
      <c r="DX41" s="136"/>
      <c r="DY41" s="136"/>
    </row>
    <row r="42" spans="1:129" s="116" customFormat="1">
      <c r="A42" s="133" t="s">
        <v>311</v>
      </c>
      <c r="B42" s="134">
        <v>11807</v>
      </c>
      <c r="C42" s="134">
        <v>4874</v>
      </c>
      <c r="D42" s="134">
        <v>10567</v>
      </c>
      <c r="E42" s="134">
        <v>5846</v>
      </c>
      <c r="F42" s="134">
        <v>5</v>
      </c>
      <c r="G42" s="134">
        <v>135</v>
      </c>
      <c r="H42" s="134">
        <v>140</v>
      </c>
      <c r="I42" s="134">
        <v>11</v>
      </c>
      <c r="J42" s="134">
        <v>4319</v>
      </c>
      <c r="K42" s="134">
        <v>4330</v>
      </c>
      <c r="L42" s="134">
        <v>11</v>
      </c>
      <c r="M42" s="134">
        <v>4312</v>
      </c>
      <c r="N42" s="134">
        <v>4323</v>
      </c>
      <c r="O42" s="134">
        <v>0</v>
      </c>
      <c r="P42" s="134">
        <v>7</v>
      </c>
      <c r="Q42" s="134">
        <v>7</v>
      </c>
      <c r="R42" s="134">
        <v>2</v>
      </c>
      <c r="S42" s="134">
        <v>621</v>
      </c>
      <c r="T42" s="134">
        <v>623</v>
      </c>
      <c r="U42" s="134">
        <v>0</v>
      </c>
      <c r="V42" s="134">
        <v>391</v>
      </c>
      <c r="W42" s="134">
        <v>391</v>
      </c>
      <c r="X42" s="134">
        <v>159</v>
      </c>
      <c r="Y42" s="134">
        <v>6835</v>
      </c>
      <c r="Z42" s="134">
        <v>6994</v>
      </c>
      <c r="AA42" s="134">
        <v>87</v>
      </c>
      <c r="AB42" s="134">
        <v>2210</v>
      </c>
      <c r="AC42" s="134">
        <v>2297</v>
      </c>
      <c r="AD42" s="134">
        <v>82</v>
      </c>
      <c r="AE42" s="134">
        <v>2113</v>
      </c>
      <c r="AF42" s="134">
        <v>2195</v>
      </c>
      <c r="AG42" s="134">
        <v>4</v>
      </c>
      <c r="AH42" s="134">
        <v>78</v>
      </c>
      <c r="AI42" s="134">
        <v>82</v>
      </c>
      <c r="AJ42" s="134">
        <v>1</v>
      </c>
      <c r="AK42" s="134">
        <v>19</v>
      </c>
      <c r="AL42" s="134">
        <v>20</v>
      </c>
      <c r="AM42" s="134">
        <v>72</v>
      </c>
      <c r="AN42" s="134">
        <v>4625</v>
      </c>
      <c r="AO42" s="134">
        <v>4697</v>
      </c>
      <c r="AP42" s="134">
        <v>11272</v>
      </c>
      <c r="AQ42" s="134">
        <v>111707</v>
      </c>
      <c r="AR42" s="134">
        <v>122979</v>
      </c>
      <c r="AS42" s="134">
        <v>11242</v>
      </c>
      <c r="AT42" s="134">
        <v>110892</v>
      </c>
      <c r="AU42" s="134">
        <v>122134</v>
      </c>
      <c r="AV42" s="134">
        <v>30</v>
      </c>
      <c r="AW42" s="134">
        <v>815</v>
      </c>
      <c r="AX42" s="134">
        <v>845</v>
      </c>
      <c r="AY42" s="134">
        <v>510</v>
      </c>
      <c r="AZ42" s="134">
        <v>9726</v>
      </c>
      <c r="BA42" s="134">
        <v>10236</v>
      </c>
      <c r="BB42" s="134">
        <v>227</v>
      </c>
      <c r="BC42" s="134">
        <v>8</v>
      </c>
      <c r="BD42" s="134">
        <v>0</v>
      </c>
      <c r="BE42" s="134">
        <v>5511</v>
      </c>
      <c r="BF42" s="134">
        <v>77</v>
      </c>
      <c r="BG42" s="134">
        <v>23</v>
      </c>
      <c r="BH42" s="134">
        <v>235</v>
      </c>
      <c r="BI42" s="134">
        <v>5611</v>
      </c>
      <c r="BJ42" s="134">
        <v>5846</v>
      </c>
      <c r="BK42" s="134">
        <v>-149</v>
      </c>
      <c r="BL42" s="134">
        <v>149</v>
      </c>
      <c r="BM42" s="134">
        <v>0</v>
      </c>
      <c r="BN42" s="134">
        <v>16</v>
      </c>
      <c r="BO42" s="134">
        <v>128</v>
      </c>
      <c r="BP42" s="134">
        <v>144</v>
      </c>
      <c r="BQ42" s="134">
        <v>19</v>
      </c>
      <c r="BR42" s="134">
        <v>301</v>
      </c>
      <c r="BS42" s="134">
        <v>320</v>
      </c>
      <c r="BT42" s="134">
        <v>389</v>
      </c>
      <c r="BU42" s="134">
        <v>3537</v>
      </c>
      <c r="BV42" s="134">
        <v>3926</v>
      </c>
      <c r="BW42" s="134">
        <v>11782</v>
      </c>
      <c r="BX42" s="134">
        <v>121433</v>
      </c>
      <c r="BY42" s="134">
        <v>133215</v>
      </c>
      <c r="BZ42" s="134">
        <v>11467</v>
      </c>
      <c r="CA42" s="134">
        <v>119111</v>
      </c>
      <c r="CB42" s="134">
        <v>130578</v>
      </c>
      <c r="CC42" s="134">
        <v>268029</v>
      </c>
      <c r="CD42" s="134">
        <v>230</v>
      </c>
      <c r="CE42" s="134">
        <v>2404</v>
      </c>
      <c r="CF42" s="134">
        <v>305</v>
      </c>
      <c r="CG42" s="134">
        <v>1647</v>
      </c>
      <c r="CH42" s="134">
        <v>1952</v>
      </c>
      <c r="CI42" s="134">
        <v>847</v>
      </c>
      <c r="CJ42" s="134">
        <v>37</v>
      </c>
      <c r="CK42" s="134">
        <v>10</v>
      </c>
      <c r="CL42" s="134">
        <v>675</v>
      </c>
      <c r="CM42" s="134">
        <v>685</v>
      </c>
      <c r="CN42" s="134">
        <v>807</v>
      </c>
      <c r="CO42" s="134">
        <v>10865</v>
      </c>
      <c r="CP42" s="134">
        <v>11672</v>
      </c>
      <c r="CQ42" s="134">
        <v>0</v>
      </c>
      <c r="CR42" s="134">
        <v>8</v>
      </c>
      <c r="CS42" s="134">
        <v>8</v>
      </c>
      <c r="CT42" s="134">
        <v>10975</v>
      </c>
      <c r="CU42" s="134">
        <v>110568</v>
      </c>
      <c r="CV42" s="134">
        <v>121543</v>
      </c>
      <c r="CW42" s="134">
        <v>932</v>
      </c>
      <c r="CX42" s="134">
        <v>5704</v>
      </c>
      <c r="CY42" s="134">
        <v>6636</v>
      </c>
      <c r="CZ42" s="134">
        <v>864</v>
      </c>
      <c r="DA42" s="134">
        <v>16</v>
      </c>
      <c r="DB42" s="134">
        <v>0</v>
      </c>
      <c r="DC42" s="134">
        <v>5051</v>
      </c>
      <c r="DD42" s="134">
        <v>84</v>
      </c>
      <c r="DE42" s="134">
        <v>26</v>
      </c>
      <c r="DF42" s="134">
        <v>880</v>
      </c>
      <c r="DG42" s="134">
        <v>5161</v>
      </c>
      <c r="DH42" s="134">
        <v>6041</v>
      </c>
      <c r="DI42" s="134">
        <v>52</v>
      </c>
      <c r="DJ42" s="134">
        <v>0</v>
      </c>
      <c r="DK42" s="134">
        <v>0</v>
      </c>
      <c r="DL42" s="134">
        <v>525</v>
      </c>
      <c r="DM42" s="134">
        <v>14</v>
      </c>
      <c r="DN42" s="134">
        <v>4</v>
      </c>
      <c r="DO42" s="134">
        <v>52</v>
      </c>
      <c r="DP42" s="134">
        <v>543</v>
      </c>
      <c r="DQ42" s="134">
        <v>595</v>
      </c>
      <c r="DR42" s="134">
        <v>0</v>
      </c>
      <c r="DS42" s="134">
        <v>0</v>
      </c>
      <c r="DT42" s="135">
        <v>0</v>
      </c>
      <c r="DV42" s="136"/>
      <c r="DW42" s="137"/>
      <c r="DX42" s="136"/>
      <c r="DY42" s="136"/>
    </row>
    <row r="43" spans="1:129" s="116" customFormat="1">
      <c r="A43" s="133" t="s">
        <v>312</v>
      </c>
      <c r="B43" s="134">
        <v>2975</v>
      </c>
      <c r="C43" s="134">
        <v>1024</v>
      </c>
      <c r="D43" s="134">
        <v>2364</v>
      </c>
      <c r="E43" s="134">
        <v>1494</v>
      </c>
      <c r="F43" s="134">
        <v>1</v>
      </c>
      <c r="G43" s="134">
        <v>12</v>
      </c>
      <c r="H43" s="134">
        <v>13</v>
      </c>
      <c r="I43" s="134">
        <v>0</v>
      </c>
      <c r="J43" s="134">
        <v>750</v>
      </c>
      <c r="K43" s="134">
        <v>750</v>
      </c>
      <c r="L43" s="134">
        <v>0</v>
      </c>
      <c r="M43" s="134">
        <v>296</v>
      </c>
      <c r="N43" s="134">
        <v>296</v>
      </c>
      <c r="O43" s="134">
        <v>0</v>
      </c>
      <c r="P43" s="134">
        <v>454</v>
      </c>
      <c r="Q43" s="134">
        <v>454</v>
      </c>
      <c r="R43" s="134">
        <v>0</v>
      </c>
      <c r="S43" s="134">
        <v>32</v>
      </c>
      <c r="T43" s="134">
        <v>32</v>
      </c>
      <c r="U43" s="134">
        <v>0</v>
      </c>
      <c r="V43" s="134">
        <v>120</v>
      </c>
      <c r="W43" s="134">
        <v>120</v>
      </c>
      <c r="X43" s="134">
        <v>46</v>
      </c>
      <c r="Y43" s="134">
        <v>1906</v>
      </c>
      <c r="Z43" s="134">
        <v>1952</v>
      </c>
      <c r="AA43" s="134">
        <v>29</v>
      </c>
      <c r="AB43" s="134">
        <v>676</v>
      </c>
      <c r="AC43" s="134">
        <v>705</v>
      </c>
      <c r="AD43" s="134">
        <v>25</v>
      </c>
      <c r="AE43" s="134">
        <v>606</v>
      </c>
      <c r="AF43" s="134">
        <v>631</v>
      </c>
      <c r="AG43" s="134">
        <v>3</v>
      </c>
      <c r="AH43" s="134">
        <v>45</v>
      </c>
      <c r="AI43" s="134">
        <v>48</v>
      </c>
      <c r="AJ43" s="134">
        <v>1</v>
      </c>
      <c r="AK43" s="134">
        <v>25</v>
      </c>
      <c r="AL43" s="134">
        <v>26</v>
      </c>
      <c r="AM43" s="134">
        <v>17</v>
      </c>
      <c r="AN43" s="134">
        <v>1230</v>
      </c>
      <c r="AO43" s="134">
        <v>1247</v>
      </c>
      <c r="AP43" s="134">
        <v>1975</v>
      </c>
      <c r="AQ43" s="134">
        <v>29351</v>
      </c>
      <c r="AR43" s="134">
        <v>31326</v>
      </c>
      <c r="AS43" s="134">
        <v>1963</v>
      </c>
      <c r="AT43" s="134">
        <v>29319</v>
      </c>
      <c r="AU43" s="134">
        <v>31282</v>
      </c>
      <c r="AV43" s="134">
        <v>12</v>
      </c>
      <c r="AW43" s="134">
        <v>32</v>
      </c>
      <c r="AX43" s="134">
        <v>44</v>
      </c>
      <c r="AY43" s="134">
        <v>102</v>
      </c>
      <c r="AZ43" s="134">
        <v>2588</v>
      </c>
      <c r="BA43" s="134">
        <v>2690</v>
      </c>
      <c r="BB43" s="134">
        <v>68</v>
      </c>
      <c r="BC43" s="134">
        <v>1</v>
      </c>
      <c r="BD43" s="134">
        <v>1</v>
      </c>
      <c r="BE43" s="134">
        <v>1329</v>
      </c>
      <c r="BF43" s="134">
        <v>47</v>
      </c>
      <c r="BG43" s="134">
        <v>48</v>
      </c>
      <c r="BH43" s="134">
        <v>70</v>
      </c>
      <c r="BI43" s="134">
        <v>1424</v>
      </c>
      <c r="BJ43" s="134">
        <v>1494</v>
      </c>
      <c r="BK43" s="134">
        <v>-63</v>
      </c>
      <c r="BL43" s="134">
        <v>63</v>
      </c>
      <c r="BM43" s="134">
        <v>0</v>
      </c>
      <c r="BN43" s="134">
        <v>4</v>
      </c>
      <c r="BO43" s="134">
        <v>43</v>
      </c>
      <c r="BP43" s="134">
        <v>47</v>
      </c>
      <c r="BQ43" s="134">
        <v>17</v>
      </c>
      <c r="BR43" s="134">
        <v>320</v>
      </c>
      <c r="BS43" s="134">
        <v>337</v>
      </c>
      <c r="BT43" s="134">
        <v>74</v>
      </c>
      <c r="BU43" s="134">
        <v>738</v>
      </c>
      <c r="BV43" s="134">
        <v>812</v>
      </c>
      <c r="BW43" s="134">
        <v>2077</v>
      </c>
      <c r="BX43" s="134">
        <v>31939</v>
      </c>
      <c r="BY43" s="134">
        <v>34016</v>
      </c>
      <c r="BZ43" s="134">
        <v>1936</v>
      </c>
      <c r="CA43" s="134">
        <v>30355</v>
      </c>
      <c r="CB43" s="134">
        <v>32291</v>
      </c>
      <c r="CC43" s="134">
        <v>49885</v>
      </c>
      <c r="CD43" s="134">
        <v>103</v>
      </c>
      <c r="CE43" s="134">
        <v>1066</v>
      </c>
      <c r="CF43" s="134">
        <v>131</v>
      </c>
      <c r="CG43" s="134">
        <v>717</v>
      </c>
      <c r="CH43" s="134">
        <v>848</v>
      </c>
      <c r="CI43" s="134">
        <v>1137</v>
      </c>
      <c r="CJ43" s="134">
        <v>44</v>
      </c>
      <c r="CK43" s="134">
        <v>10</v>
      </c>
      <c r="CL43" s="134">
        <v>867</v>
      </c>
      <c r="CM43" s="134">
        <v>877</v>
      </c>
      <c r="CN43" s="134">
        <v>167</v>
      </c>
      <c r="CO43" s="134">
        <v>2831</v>
      </c>
      <c r="CP43" s="134">
        <v>2998</v>
      </c>
      <c r="CQ43" s="134">
        <v>0</v>
      </c>
      <c r="CR43" s="134">
        <v>0</v>
      </c>
      <c r="CS43" s="134">
        <v>0</v>
      </c>
      <c r="CT43" s="134">
        <v>1910</v>
      </c>
      <c r="CU43" s="134">
        <v>29108</v>
      </c>
      <c r="CV43" s="134">
        <v>31018</v>
      </c>
      <c r="CW43" s="134">
        <v>134</v>
      </c>
      <c r="CX43" s="134">
        <v>1192</v>
      </c>
      <c r="CY43" s="134">
        <v>1326</v>
      </c>
      <c r="CZ43" s="134">
        <v>121</v>
      </c>
      <c r="DA43" s="134">
        <v>11</v>
      </c>
      <c r="DB43" s="134">
        <v>0</v>
      </c>
      <c r="DC43" s="134">
        <v>1105</v>
      </c>
      <c r="DD43" s="134">
        <v>33</v>
      </c>
      <c r="DE43" s="134">
        <v>22</v>
      </c>
      <c r="DF43" s="134">
        <v>132</v>
      </c>
      <c r="DG43" s="134">
        <v>1160</v>
      </c>
      <c r="DH43" s="134">
        <v>1292</v>
      </c>
      <c r="DI43" s="134">
        <v>2</v>
      </c>
      <c r="DJ43" s="134">
        <v>0</v>
      </c>
      <c r="DK43" s="134">
        <v>0</v>
      </c>
      <c r="DL43" s="134">
        <v>32</v>
      </c>
      <c r="DM43" s="134">
        <v>0</v>
      </c>
      <c r="DN43" s="134">
        <v>0</v>
      </c>
      <c r="DO43" s="134">
        <v>2</v>
      </c>
      <c r="DP43" s="134">
        <v>32</v>
      </c>
      <c r="DQ43" s="134">
        <v>34</v>
      </c>
      <c r="DR43" s="134">
        <v>0</v>
      </c>
      <c r="DS43" s="134">
        <v>0</v>
      </c>
      <c r="DT43" s="135">
        <v>0</v>
      </c>
      <c r="DV43" s="136"/>
      <c r="DW43" s="137"/>
      <c r="DX43" s="136"/>
      <c r="DY43" s="136"/>
    </row>
    <row r="44" spans="1:129" s="116" customFormat="1">
      <c r="A44" s="133" t="s">
        <v>313</v>
      </c>
      <c r="B44" s="134">
        <v>3138</v>
      </c>
      <c r="C44" s="134">
        <v>1181</v>
      </c>
      <c r="D44" s="134">
        <v>2966</v>
      </c>
      <c r="E44" s="134">
        <v>1890</v>
      </c>
      <c r="F44" s="134">
        <v>2</v>
      </c>
      <c r="G44" s="134">
        <v>27</v>
      </c>
      <c r="H44" s="134">
        <v>29</v>
      </c>
      <c r="I44" s="134">
        <v>0</v>
      </c>
      <c r="J44" s="134">
        <v>929</v>
      </c>
      <c r="K44" s="134">
        <v>929</v>
      </c>
      <c r="L44" s="134">
        <v>0</v>
      </c>
      <c r="M44" s="134">
        <v>497</v>
      </c>
      <c r="N44" s="134">
        <v>497</v>
      </c>
      <c r="O44" s="134">
        <v>0</v>
      </c>
      <c r="P44" s="134">
        <v>432</v>
      </c>
      <c r="Q44" s="134">
        <v>432</v>
      </c>
      <c r="R44" s="134">
        <v>0</v>
      </c>
      <c r="S44" s="134">
        <v>16</v>
      </c>
      <c r="T44" s="134">
        <v>16</v>
      </c>
      <c r="U44" s="134">
        <v>0</v>
      </c>
      <c r="V44" s="134">
        <v>147</v>
      </c>
      <c r="W44" s="134">
        <v>147</v>
      </c>
      <c r="X44" s="134">
        <v>117</v>
      </c>
      <c r="Y44" s="134">
        <v>2845</v>
      </c>
      <c r="Z44" s="134">
        <v>2962</v>
      </c>
      <c r="AA44" s="134">
        <v>79</v>
      </c>
      <c r="AB44" s="134">
        <v>1190</v>
      </c>
      <c r="AC44" s="134">
        <v>1269</v>
      </c>
      <c r="AD44" s="134">
        <v>75</v>
      </c>
      <c r="AE44" s="134">
        <v>1071</v>
      </c>
      <c r="AF44" s="134">
        <v>1146</v>
      </c>
      <c r="AG44" s="134">
        <v>3</v>
      </c>
      <c r="AH44" s="134">
        <v>58</v>
      </c>
      <c r="AI44" s="134">
        <v>61</v>
      </c>
      <c r="AJ44" s="134">
        <v>1</v>
      </c>
      <c r="AK44" s="134">
        <v>61</v>
      </c>
      <c r="AL44" s="134">
        <v>62</v>
      </c>
      <c r="AM44" s="134">
        <v>38</v>
      </c>
      <c r="AN44" s="134">
        <v>1655</v>
      </c>
      <c r="AO44" s="134">
        <v>1693</v>
      </c>
      <c r="AP44" s="134">
        <v>6264</v>
      </c>
      <c r="AQ44" s="134">
        <v>39046</v>
      </c>
      <c r="AR44" s="134">
        <v>45310</v>
      </c>
      <c r="AS44" s="134">
        <v>6265</v>
      </c>
      <c r="AT44" s="134">
        <v>39047</v>
      </c>
      <c r="AU44" s="134">
        <v>45312</v>
      </c>
      <c r="AV44" s="134">
        <v>-1</v>
      </c>
      <c r="AW44" s="134">
        <v>-1</v>
      </c>
      <c r="AX44" s="134">
        <v>-2</v>
      </c>
      <c r="AY44" s="134">
        <v>247</v>
      </c>
      <c r="AZ44" s="134">
        <v>3171</v>
      </c>
      <c r="BA44" s="134">
        <v>3418</v>
      </c>
      <c r="BB44" s="134">
        <v>142</v>
      </c>
      <c r="BC44" s="134">
        <v>3</v>
      </c>
      <c r="BD44" s="134">
        <v>0</v>
      </c>
      <c r="BE44" s="134">
        <v>1713</v>
      </c>
      <c r="BF44" s="134">
        <v>26</v>
      </c>
      <c r="BG44" s="134">
        <v>6</v>
      </c>
      <c r="BH44" s="134">
        <v>145</v>
      </c>
      <c r="BI44" s="134">
        <v>1745</v>
      </c>
      <c r="BJ44" s="134">
        <v>1890</v>
      </c>
      <c r="BK44" s="134">
        <v>-78</v>
      </c>
      <c r="BL44" s="134">
        <v>78</v>
      </c>
      <c r="BM44" s="134">
        <v>0</v>
      </c>
      <c r="BN44" s="134">
        <v>28</v>
      </c>
      <c r="BO44" s="134">
        <v>92</v>
      </c>
      <c r="BP44" s="134">
        <v>120</v>
      </c>
      <c r="BQ44" s="134">
        <v>45</v>
      </c>
      <c r="BR44" s="134">
        <v>538</v>
      </c>
      <c r="BS44" s="134">
        <v>583</v>
      </c>
      <c r="BT44" s="134">
        <v>107</v>
      </c>
      <c r="BU44" s="134">
        <v>718</v>
      </c>
      <c r="BV44" s="134">
        <v>825</v>
      </c>
      <c r="BW44" s="134">
        <v>6511</v>
      </c>
      <c r="BX44" s="134">
        <v>42217</v>
      </c>
      <c r="BY44" s="134">
        <v>48728</v>
      </c>
      <c r="BZ44" s="134">
        <v>6456</v>
      </c>
      <c r="CA44" s="134">
        <v>41653</v>
      </c>
      <c r="CB44" s="134">
        <v>48109</v>
      </c>
      <c r="CC44" s="134">
        <v>106935</v>
      </c>
      <c r="CD44" s="134">
        <v>38</v>
      </c>
      <c r="CE44" s="134">
        <v>555</v>
      </c>
      <c r="CF44" s="134">
        <v>54</v>
      </c>
      <c r="CG44" s="134">
        <v>416</v>
      </c>
      <c r="CH44" s="134">
        <v>470</v>
      </c>
      <c r="CI44" s="134">
        <v>189</v>
      </c>
      <c r="CJ44" s="134">
        <v>19</v>
      </c>
      <c r="CK44" s="134">
        <v>1</v>
      </c>
      <c r="CL44" s="134">
        <v>148</v>
      </c>
      <c r="CM44" s="134">
        <v>149</v>
      </c>
      <c r="CN44" s="134">
        <v>367</v>
      </c>
      <c r="CO44" s="134">
        <v>3635</v>
      </c>
      <c r="CP44" s="134">
        <v>4002</v>
      </c>
      <c r="CQ44" s="134">
        <v>0</v>
      </c>
      <c r="CR44" s="134">
        <v>2</v>
      </c>
      <c r="CS44" s="134">
        <v>2</v>
      </c>
      <c r="CT44" s="134">
        <v>6144</v>
      </c>
      <c r="CU44" s="134">
        <v>38582</v>
      </c>
      <c r="CV44" s="134">
        <v>44726</v>
      </c>
      <c r="CW44" s="134">
        <v>406</v>
      </c>
      <c r="CX44" s="134">
        <v>1772</v>
      </c>
      <c r="CY44" s="134">
        <v>2178</v>
      </c>
      <c r="CZ44" s="134">
        <v>401</v>
      </c>
      <c r="DA44" s="134">
        <v>4</v>
      </c>
      <c r="DB44" s="134">
        <v>0</v>
      </c>
      <c r="DC44" s="134">
        <v>1712</v>
      </c>
      <c r="DD44" s="134">
        <v>24</v>
      </c>
      <c r="DE44" s="134">
        <v>3</v>
      </c>
      <c r="DF44" s="134">
        <v>405</v>
      </c>
      <c r="DG44" s="134">
        <v>1739</v>
      </c>
      <c r="DH44" s="134">
        <v>2144</v>
      </c>
      <c r="DI44" s="134">
        <v>0</v>
      </c>
      <c r="DJ44" s="134">
        <v>1</v>
      </c>
      <c r="DK44" s="134">
        <v>0</v>
      </c>
      <c r="DL44" s="134">
        <v>32</v>
      </c>
      <c r="DM44" s="134">
        <v>0</v>
      </c>
      <c r="DN44" s="134">
        <v>1</v>
      </c>
      <c r="DO44" s="134">
        <v>1</v>
      </c>
      <c r="DP44" s="134">
        <v>33</v>
      </c>
      <c r="DQ44" s="134">
        <v>34</v>
      </c>
      <c r="DR44" s="134">
        <v>0</v>
      </c>
      <c r="DS44" s="134">
        <v>0</v>
      </c>
      <c r="DT44" s="135">
        <v>0</v>
      </c>
      <c r="DV44" s="136"/>
      <c r="DW44" s="137"/>
      <c r="DX44" s="136"/>
      <c r="DY44" s="136"/>
    </row>
    <row r="45" spans="1:129" s="116" customFormat="1">
      <c r="A45" s="133" t="s">
        <v>314</v>
      </c>
      <c r="B45" s="134">
        <v>633</v>
      </c>
      <c r="C45" s="134">
        <v>134</v>
      </c>
      <c r="D45" s="134">
        <v>596</v>
      </c>
      <c r="E45" s="134">
        <v>358</v>
      </c>
      <c r="F45" s="134">
        <v>0</v>
      </c>
      <c r="G45" s="134">
        <v>3</v>
      </c>
      <c r="H45" s="134">
        <v>3</v>
      </c>
      <c r="I45" s="134">
        <v>0</v>
      </c>
      <c r="J45" s="134">
        <v>144</v>
      </c>
      <c r="K45" s="134">
        <v>144</v>
      </c>
      <c r="L45" s="134">
        <v>0</v>
      </c>
      <c r="M45" s="134">
        <v>12</v>
      </c>
      <c r="N45" s="134">
        <v>12</v>
      </c>
      <c r="O45" s="134">
        <v>0</v>
      </c>
      <c r="P45" s="134">
        <v>132</v>
      </c>
      <c r="Q45" s="134">
        <v>132</v>
      </c>
      <c r="R45" s="134">
        <v>0</v>
      </c>
      <c r="S45" s="134">
        <v>14</v>
      </c>
      <c r="T45" s="134">
        <v>14</v>
      </c>
      <c r="U45" s="134">
        <v>0</v>
      </c>
      <c r="V45" s="134">
        <v>94</v>
      </c>
      <c r="W45" s="134">
        <v>94</v>
      </c>
      <c r="X45" s="134">
        <v>34</v>
      </c>
      <c r="Y45" s="134">
        <v>303</v>
      </c>
      <c r="Z45" s="134">
        <v>337</v>
      </c>
      <c r="AA45" s="134">
        <v>29</v>
      </c>
      <c r="AB45" s="134">
        <v>211</v>
      </c>
      <c r="AC45" s="134">
        <v>240</v>
      </c>
      <c r="AD45" s="134">
        <v>29</v>
      </c>
      <c r="AE45" s="134">
        <v>205</v>
      </c>
      <c r="AF45" s="134">
        <v>234</v>
      </c>
      <c r="AG45" s="134">
        <v>0</v>
      </c>
      <c r="AH45" s="134">
        <v>5</v>
      </c>
      <c r="AI45" s="134">
        <v>5</v>
      </c>
      <c r="AJ45" s="134">
        <v>0</v>
      </c>
      <c r="AK45" s="134">
        <v>1</v>
      </c>
      <c r="AL45" s="134">
        <v>1</v>
      </c>
      <c r="AM45" s="134">
        <v>5</v>
      </c>
      <c r="AN45" s="134">
        <v>92</v>
      </c>
      <c r="AO45" s="134">
        <v>97</v>
      </c>
      <c r="AP45" s="134">
        <v>772</v>
      </c>
      <c r="AQ45" s="134">
        <v>7900</v>
      </c>
      <c r="AR45" s="134">
        <v>8672</v>
      </c>
      <c r="AS45" s="134">
        <v>772</v>
      </c>
      <c r="AT45" s="134">
        <v>7900</v>
      </c>
      <c r="AU45" s="134">
        <v>8672</v>
      </c>
      <c r="AV45" s="134">
        <v>0</v>
      </c>
      <c r="AW45" s="134">
        <v>0</v>
      </c>
      <c r="AX45" s="134">
        <v>0</v>
      </c>
      <c r="AY45" s="134">
        <v>28</v>
      </c>
      <c r="AZ45" s="134">
        <v>785</v>
      </c>
      <c r="BA45" s="134">
        <v>813</v>
      </c>
      <c r="BB45" s="134">
        <v>16</v>
      </c>
      <c r="BC45" s="134">
        <v>0</v>
      </c>
      <c r="BD45" s="134">
        <v>0</v>
      </c>
      <c r="BE45" s="134">
        <v>337</v>
      </c>
      <c r="BF45" s="134">
        <v>5</v>
      </c>
      <c r="BG45" s="134">
        <v>0</v>
      </c>
      <c r="BH45" s="134">
        <v>16</v>
      </c>
      <c r="BI45" s="134">
        <v>342</v>
      </c>
      <c r="BJ45" s="134">
        <v>358</v>
      </c>
      <c r="BK45" s="134">
        <v>-19</v>
      </c>
      <c r="BL45" s="134">
        <v>19</v>
      </c>
      <c r="BM45" s="134">
        <v>0</v>
      </c>
      <c r="BN45" s="134">
        <v>2</v>
      </c>
      <c r="BO45" s="134">
        <v>10</v>
      </c>
      <c r="BP45" s="134">
        <v>12</v>
      </c>
      <c r="BQ45" s="134">
        <v>11</v>
      </c>
      <c r="BR45" s="134">
        <v>128</v>
      </c>
      <c r="BS45" s="134">
        <v>139</v>
      </c>
      <c r="BT45" s="134">
        <v>18</v>
      </c>
      <c r="BU45" s="134">
        <v>286</v>
      </c>
      <c r="BV45" s="134">
        <v>304</v>
      </c>
      <c r="BW45" s="134">
        <v>800</v>
      </c>
      <c r="BX45" s="134">
        <v>8685</v>
      </c>
      <c r="BY45" s="134">
        <v>9485</v>
      </c>
      <c r="BZ45" s="134">
        <v>793</v>
      </c>
      <c r="CA45" s="134">
        <v>8653</v>
      </c>
      <c r="CB45" s="134">
        <v>9446</v>
      </c>
      <c r="CC45" s="134">
        <v>16794</v>
      </c>
      <c r="CD45" s="134">
        <v>0</v>
      </c>
      <c r="CE45" s="134">
        <v>37</v>
      </c>
      <c r="CF45" s="134">
        <v>7</v>
      </c>
      <c r="CG45" s="134">
        <v>25</v>
      </c>
      <c r="CH45" s="134">
        <v>32</v>
      </c>
      <c r="CI45" s="134">
        <v>5</v>
      </c>
      <c r="CJ45" s="134">
        <v>4</v>
      </c>
      <c r="CK45" s="134">
        <v>0</v>
      </c>
      <c r="CL45" s="134">
        <v>7</v>
      </c>
      <c r="CM45" s="134">
        <v>7</v>
      </c>
      <c r="CN45" s="134">
        <v>48</v>
      </c>
      <c r="CO45" s="134">
        <v>888</v>
      </c>
      <c r="CP45" s="134">
        <v>936</v>
      </c>
      <c r="CQ45" s="134">
        <v>0</v>
      </c>
      <c r="CR45" s="134">
        <v>0</v>
      </c>
      <c r="CS45" s="134">
        <v>0</v>
      </c>
      <c r="CT45" s="134">
        <v>752</v>
      </c>
      <c r="CU45" s="134">
        <v>7797</v>
      </c>
      <c r="CV45" s="134">
        <v>8549</v>
      </c>
      <c r="CW45" s="134">
        <v>59</v>
      </c>
      <c r="CX45" s="134">
        <v>417</v>
      </c>
      <c r="CY45" s="134">
        <v>476</v>
      </c>
      <c r="CZ45" s="134">
        <v>58</v>
      </c>
      <c r="DA45" s="134">
        <v>0</v>
      </c>
      <c r="DB45" s="134">
        <v>0</v>
      </c>
      <c r="DC45" s="134">
        <v>363</v>
      </c>
      <c r="DD45" s="134">
        <v>1</v>
      </c>
      <c r="DE45" s="134">
        <v>2</v>
      </c>
      <c r="DF45" s="134">
        <v>58</v>
      </c>
      <c r="DG45" s="134">
        <v>366</v>
      </c>
      <c r="DH45" s="134">
        <v>424</v>
      </c>
      <c r="DI45" s="134">
        <v>1</v>
      </c>
      <c r="DJ45" s="134">
        <v>0</v>
      </c>
      <c r="DK45" s="134">
        <v>0</v>
      </c>
      <c r="DL45" s="134">
        <v>51</v>
      </c>
      <c r="DM45" s="134">
        <v>0</v>
      </c>
      <c r="DN45" s="134">
        <v>0</v>
      </c>
      <c r="DO45" s="134">
        <v>1</v>
      </c>
      <c r="DP45" s="134">
        <v>51</v>
      </c>
      <c r="DQ45" s="134">
        <v>52</v>
      </c>
      <c r="DR45" s="134">
        <v>0</v>
      </c>
      <c r="DS45" s="134">
        <v>0</v>
      </c>
      <c r="DT45" s="135">
        <v>0</v>
      </c>
      <c r="DV45" s="136"/>
      <c r="DW45" s="137"/>
      <c r="DX45" s="136"/>
      <c r="DY45" s="136"/>
    </row>
    <row r="46" spans="1:129" s="116" customFormat="1">
      <c r="A46" s="133" t="s">
        <v>315</v>
      </c>
      <c r="B46" s="134">
        <v>1103</v>
      </c>
      <c r="C46" s="134">
        <v>333</v>
      </c>
      <c r="D46" s="134">
        <v>950</v>
      </c>
      <c r="E46" s="134">
        <v>491</v>
      </c>
      <c r="F46" s="134">
        <v>0</v>
      </c>
      <c r="G46" s="134">
        <v>12</v>
      </c>
      <c r="H46" s="134">
        <v>12</v>
      </c>
      <c r="I46" s="134">
        <v>0</v>
      </c>
      <c r="J46" s="134">
        <v>387</v>
      </c>
      <c r="K46" s="134">
        <v>387</v>
      </c>
      <c r="L46" s="134">
        <v>0</v>
      </c>
      <c r="M46" s="134">
        <v>387</v>
      </c>
      <c r="N46" s="134">
        <v>387</v>
      </c>
      <c r="O46" s="134">
        <v>0</v>
      </c>
      <c r="P46" s="134">
        <v>0</v>
      </c>
      <c r="Q46" s="134">
        <v>0</v>
      </c>
      <c r="R46" s="134">
        <v>0</v>
      </c>
      <c r="S46" s="134">
        <v>36</v>
      </c>
      <c r="T46" s="134">
        <v>36</v>
      </c>
      <c r="U46" s="134">
        <v>0</v>
      </c>
      <c r="V46" s="134">
        <v>72</v>
      </c>
      <c r="W46" s="134">
        <v>72</v>
      </c>
      <c r="X46" s="134">
        <v>15</v>
      </c>
      <c r="Y46" s="134">
        <v>853</v>
      </c>
      <c r="Z46" s="134">
        <v>868</v>
      </c>
      <c r="AA46" s="134">
        <v>7</v>
      </c>
      <c r="AB46" s="134">
        <v>326</v>
      </c>
      <c r="AC46" s="134">
        <v>333</v>
      </c>
      <c r="AD46" s="134">
        <v>4</v>
      </c>
      <c r="AE46" s="134">
        <v>288</v>
      </c>
      <c r="AF46" s="134">
        <v>292</v>
      </c>
      <c r="AG46" s="134">
        <v>2</v>
      </c>
      <c r="AH46" s="134">
        <v>25</v>
      </c>
      <c r="AI46" s="134">
        <v>27</v>
      </c>
      <c r="AJ46" s="134">
        <v>1</v>
      </c>
      <c r="AK46" s="134">
        <v>13</v>
      </c>
      <c r="AL46" s="134">
        <v>14</v>
      </c>
      <c r="AM46" s="134">
        <v>8</v>
      </c>
      <c r="AN46" s="134">
        <v>527</v>
      </c>
      <c r="AO46" s="134">
        <v>535</v>
      </c>
      <c r="AP46" s="134">
        <v>632</v>
      </c>
      <c r="AQ46" s="134">
        <v>11804</v>
      </c>
      <c r="AR46" s="134">
        <v>12436</v>
      </c>
      <c r="AS46" s="134">
        <v>649</v>
      </c>
      <c r="AT46" s="134">
        <v>11869</v>
      </c>
      <c r="AU46" s="134">
        <v>12518</v>
      </c>
      <c r="AV46" s="134">
        <v>-17</v>
      </c>
      <c r="AW46" s="134">
        <v>-65</v>
      </c>
      <c r="AX46" s="134">
        <v>-82</v>
      </c>
      <c r="AY46" s="134">
        <v>30</v>
      </c>
      <c r="AZ46" s="134">
        <v>1023</v>
      </c>
      <c r="BA46" s="134">
        <v>1053</v>
      </c>
      <c r="BB46" s="134">
        <v>9</v>
      </c>
      <c r="BC46" s="134">
        <v>0</v>
      </c>
      <c r="BD46" s="134">
        <v>0</v>
      </c>
      <c r="BE46" s="134">
        <v>460</v>
      </c>
      <c r="BF46" s="134">
        <v>15</v>
      </c>
      <c r="BG46" s="134">
        <v>7</v>
      </c>
      <c r="BH46" s="134">
        <v>9</v>
      </c>
      <c r="BI46" s="134">
        <v>482</v>
      </c>
      <c r="BJ46" s="134">
        <v>491</v>
      </c>
      <c r="BK46" s="134">
        <v>-15</v>
      </c>
      <c r="BL46" s="134">
        <v>15</v>
      </c>
      <c r="BM46" s="134">
        <v>0</v>
      </c>
      <c r="BN46" s="134">
        <v>19</v>
      </c>
      <c r="BO46" s="134">
        <v>20</v>
      </c>
      <c r="BP46" s="134">
        <v>39</v>
      </c>
      <c r="BQ46" s="134">
        <v>0</v>
      </c>
      <c r="BR46" s="134">
        <v>162</v>
      </c>
      <c r="BS46" s="134">
        <v>162</v>
      </c>
      <c r="BT46" s="134">
        <v>17</v>
      </c>
      <c r="BU46" s="134">
        <v>344</v>
      </c>
      <c r="BV46" s="134">
        <v>361</v>
      </c>
      <c r="BW46" s="134">
        <v>662</v>
      </c>
      <c r="BX46" s="134">
        <v>12827</v>
      </c>
      <c r="BY46" s="134">
        <v>13489</v>
      </c>
      <c r="BZ46" s="134">
        <v>646</v>
      </c>
      <c r="CA46" s="134">
        <v>12309</v>
      </c>
      <c r="CB46" s="134">
        <v>12955</v>
      </c>
      <c r="CC46" s="134">
        <v>25328</v>
      </c>
      <c r="CD46" s="134">
        <v>35</v>
      </c>
      <c r="CE46" s="134">
        <v>489</v>
      </c>
      <c r="CF46" s="134">
        <v>16</v>
      </c>
      <c r="CG46" s="134">
        <v>385</v>
      </c>
      <c r="CH46" s="134">
        <v>401</v>
      </c>
      <c r="CI46" s="134">
        <v>167</v>
      </c>
      <c r="CJ46" s="134">
        <v>10</v>
      </c>
      <c r="CK46" s="134">
        <v>0</v>
      </c>
      <c r="CL46" s="134">
        <v>133</v>
      </c>
      <c r="CM46" s="134">
        <v>133</v>
      </c>
      <c r="CN46" s="134">
        <v>46</v>
      </c>
      <c r="CO46" s="134">
        <v>1113</v>
      </c>
      <c r="CP46" s="134">
        <v>1159</v>
      </c>
      <c r="CQ46" s="134">
        <v>0</v>
      </c>
      <c r="CR46" s="134">
        <v>0</v>
      </c>
      <c r="CS46" s="134">
        <v>0</v>
      </c>
      <c r="CT46" s="134">
        <v>616</v>
      </c>
      <c r="CU46" s="134">
        <v>11714</v>
      </c>
      <c r="CV46" s="134">
        <v>12330</v>
      </c>
      <c r="CW46" s="134">
        <v>52</v>
      </c>
      <c r="CX46" s="134">
        <v>572</v>
      </c>
      <c r="CY46" s="134">
        <v>624</v>
      </c>
      <c r="CZ46" s="134">
        <v>51</v>
      </c>
      <c r="DA46" s="134">
        <v>0</v>
      </c>
      <c r="DB46" s="134">
        <v>0</v>
      </c>
      <c r="DC46" s="134">
        <v>541</v>
      </c>
      <c r="DD46" s="134">
        <v>14</v>
      </c>
      <c r="DE46" s="134">
        <v>2</v>
      </c>
      <c r="DF46" s="134">
        <v>51</v>
      </c>
      <c r="DG46" s="134">
        <v>557</v>
      </c>
      <c r="DH46" s="134">
        <v>608</v>
      </c>
      <c r="DI46" s="134">
        <v>1</v>
      </c>
      <c r="DJ46" s="134">
        <v>0</v>
      </c>
      <c r="DK46" s="134">
        <v>0</v>
      </c>
      <c r="DL46" s="134">
        <v>15</v>
      </c>
      <c r="DM46" s="134">
        <v>0</v>
      </c>
      <c r="DN46" s="134">
        <v>0</v>
      </c>
      <c r="DO46" s="134">
        <v>1</v>
      </c>
      <c r="DP46" s="134">
        <v>15</v>
      </c>
      <c r="DQ46" s="134">
        <v>16</v>
      </c>
      <c r="DR46" s="134">
        <v>0</v>
      </c>
      <c r="DS46" s="134">
        <v>0</v>
      </c>
      <c r="DT46" s="135">
        <v>0</v>
      </c>
      <c r="DV46" s="136"/>
      <c r="DW46" s="137"/>
      <c r="DX46" s="136"/>
      <c r="DY46" s="136"/>
    </row>
    <row r="47" spans="1:129" s="116" customFormat="1" ht="15.75">
      <c r="A47" s="133" t="s">
        <v>356</v>
      </c>
      <c r="B47" s="134">
        <v>1486</v>
      </c>
      <c r="C47" s="134">
        <v>851</v>
      </c>
      <c r="D47" s="134">
        <v>1211</v>
      </c>
      <c r="E47" s="134">
        <v>758</v>
      </c>
      <c r="F47" s="134">
        <v>0</v>
      </c>
      <c r="G47" s="134">
        <v>14</v>
      </c>
      <c r="H47" s="134">
        <v>14</v>
      </c>
      <c r="I47" s="134">
        <v>1</v>
      </c>
      <c r="J47" s="134">
        <v>391</v>
      </c>
      <c r="K47" s="134">
        <v>392</v>
      </c>
      <c r="L47" s="134">
        <v>0</v>
      </c>
      <c r="M47" s="134">
        <v>164</v>
      </c>
      <c r="N47" s="134">
        <v>164</v>
      </c>
      <c r="O47" s="134">
        <v>1</v>
      </c>
      <c r="P47" s="134">
        <v>227</v>
      </c>
      <c r="Q47" s="134">
        <v>228</v>
      </c>
      <c r="R47" s="134">
        <v>0</v>
      </c>
      <c r="S47" s="134">
        <v>40</v>
      </c>
      <c r="T47" s="134">
        <v>40</v>
      </c>
      <c r="U47" s="134">
        <v>0</v>
      </c>
      <c r="V47" s="134">
        <v>61</v>
      </c>
      <c r="W47" s="134">
        <v>61</v>
      </c>
      <c r="X47" s="134">
        <v>31</v>
      </c>
      <c r="Y47" s="134">
        <v>446</v>
      </c>
      <c r="Z47" s="134">
        <v>477</v>
      </c>
      <c r="AA47" s="134">
        <v>22</v>
      </c>
      <c r="AB47" s="134">
        <v>276</v>
      </c>
      <c r="AC47" s="134">
        <v>298</v>
      </c>
      <c r="AD47" s="134">
        <v>22</v>
      </c>
      <c r="AE47" s="134">
        <v>250</v>
      </c>
      <c r="AF47" s="134">
        <v>272</v>
      </c>
      <c r="AG47" s="134">
        <v>0</v>
      </c>
      <c r="AH47" s="134">
        <v>18</v>
      </c>
      <c r="AI47" s="134">
        <v>18</v>
      </c>
      <c r="AJ47" s="134">
        <v>0</v>
      </c>
      <c r="AK47" s="134">
        <v>8</v>
      </c>
      <c r="AL47" s="134">
        <v>8</v>
      </c>
      <c r="AM47" s="134">
        <v>9</v>
      </c>
      <c r="AN47" s="134">
        <v>170</v>
      </c>
      <c r="AO47" s="134">
        <v>179</v>
      </c>
      <c r="AP47" s="134">
        <v>1804</v>
      </c>
      <c r="AQ47" s="134">
        <v>14957</v>
      </c>
      <c r="AR47" s="134">
        <v>16761</v>
      </c>
      <c r="AS47" s="134">
        <v>1858</v>
      </c>
      <c r="AT47" s="134">
        <v>14602</v>
      </c>
      <c r="AU47" s="134">
        <v>16460</v>
      </c>
      <c r="AV47" s="134">
        <v>-54</v>
      </c>
      <c r="AW47" s="134">
        <v>355</v>
      </c>
      <c r="AX47" s="134">
        <v>301</v>
      </c>
      <c r="AY47" s="134">
        <v>73</v>
      </c>
      <c r="AZ47" s="134">
        <v>1316</v>
      </c>
      <c r="BA47" s="134">
        <v>1389</v>
      </c>
      <c r="BB47" s="134">
        <v>46</v>
      </c>
      <c r="BC47" s="134">
        <v>0</v>
      </c>
      <c r="BD47" s="134">
        <v>0</v>
      </c>
      <c r="BE47" s="134">
        <v>694</v>
      </c>
      <c r="BF47" s="134">
        <v>13</v>
      </c>
      <c r="BG47" s="134">
        <v>5</v>
      </c>
      <c r="BH47" s="134">
        <v>46</v>
      </c>
      <c r="BI47" s="134">
        <v>712</v>
      </c>
      <c r="BJ47" s="134">
        <v>758</v>
      </c>
      <c r="BK47" s="134">
        <v>-48</v>
      </c>
      <c r="BL47" s="134">
        <v>48</v>
      </c>
      <c r="BM47" s="134">
        <v>0</v>
      </c>
      <c r="BN47" s="134">
        <v>1</v>
      </c>
      <c r="BO47" s="134">
        <v>28</v>
      </c>
      <c r="BP47" s="134">
        <v>29</v>
      </c>
      <c r="BQ47" s="134">
        <v>16</v>
      </c>
      <c r="BR47" s="134">
        <v>179</v>
      </c>
      <c r="BS47" s="134">
        <v>195</v>
      </c>
      <c r="BT47" s="134">
        <v>58</v>
      </c>
      <c r="BU47" s="134">
        <v>349</v>
      </c>
      <c r="BV47" s="134">
        <v>407</v>
      </c>
      <c r="BW47" s="134">
        <v>1877</v>
      </c>
      <c r="BX47" s="134">
        <v>16273</v>
      </c>
      <c r="BY47" s="134">
        <v>18150</v>
      </c>
      <c r="BZ47" s="134">
        <v>1861</v>
      </c>
      <c r="CA47" s="134">
        <v>16084</v>
      </c>
      <c r="CB47" s="134">
        <v>17945</v>
      </c>
      <c r="CC47" s="134">
        <v>36703</v>
      </c>
      <c r="CD47" s="134">
        <v>16</v>
      </c>
      <c r="CE47" s="134">
        <v>144</v>
      </c>
      <c r="CF47" s="134">
        <v>16</v>
      </c>
      <c r="CG47" s="134">
        <v>131</v>
      </c>
      <c r="CH47" s="134">
        <v>147</v>
      </c>
      <c r="CI47" s="134">
        <v>0</v>
      </c>
      <c r="CJ47" s="134">
        <v>70</v>
      </c>
      <c r="CK47" s="134">
        <v>0</v>
      </c>
      <c r="CL47" s="134">
        <v>58</v>
      </c>
      <c r="CM47" s="134">
        <v>58</v>
      </c>
      <c r="CN47" s="134">
        <v>130</v>
      </c>
      <c r="CO47" s="134">
        <v>1641</v>
      </c>
      <c r="CP47" s="134">
        <v>1771</v>
      </c>
      <c r="CQ47" s="134">
        <v>0</v>
      </c>
      <c r="CR47" s="134">
        <v>0</v>
      </c>
      <c r="CS47" s="134">
        <v>0</v>
      </c>
      <c r="CT47" s="134">
        <v>1747</v>
      </c>
      <c r="CU47" s="134">
        <v>14632</v>
      </c>
      <c r="CV47" s="134">
        <v>16379</v>
      </c>
      <c r="CW47" s="134">
        <v>125</v>
      </c>
      <c r="CX47" s="134">
        <v>627</v>
      </c>
      <c r="CY47" s="134">
        <v>752</v>
      </c>
      <c r="CZ47" s="134">
        <v>120</v>
      </c>
      <c r="DA47" s="134">
        <v>0</v>
      </c>
      <c r="DB47" s="134">
        <v>0</v>
      </c>
      <c r="DC47" s="134">
        <v>586</v>
      </c>
      <c r="DD47" s="134">
        <v>9</v>
      </c>
      <c r="DE47" s="134">
        <v>0</v>
      </c>
      <c r="DF47" s="134">
        <v>120</v>
      </c>
      <c r="DG47" s="134">
        <v>595</v>
      </c>
      <c r="DH47" s="134">
        <v>715</v>
      </c>
      <c r="DI47" s="134">
        <v>5</v>
      </c>
      <c r="DJ47" s="134">
        <v>0</v>
      </c>
      <c r="DK47" s="134">
        <v>0</v>
      </c>
      <c r="DL47" s="134">
        <v>32</v>
      </c>
      <c r="DM47" s="134">
        <v>0</v>
      </c>
      <c r="DN47" s="134">
        <v>0</v>
      </c>
      <c r="DO47" s="134">
        <v>5</v>
      </c>
      <c r="DP47" s="134">
        <v>32</v>
      </c>
      <c r="DQ47" s="134">
        <v>37</v>
      </c>
      <c r="DR47" s="134">
        <v>0</v>
      </c>
      <c r="DS47" s="134">
        <v>0</v>
      </c>
      <c r="DT47" s="135">
        <v>0</v>
      </c>
      <c r="DV47" s="136"/>
      <c r="DW47" s="137"/>
      <c r="DX47" s="136"/>
      <c r="DY47" s="136"/>
    </row>
    <row r="48" spans="1:129" s="137" customFormat="1">
      <c r="A48" s="133" t="s">
        <v>317</v>
      </c>
      <c r="B48" s="134">
        <v>3157</v>
      </c>
      <c r="C48" s="134">
        <v>962</v>
      </c>
      <c r="D48" s="134">
        <v>2524</v>
      </c>
      <c r="E48" s="134">
        <v>1489</v>
      </c>
      <c r="F48" s="134">
        <v>1</v>
      </c>
      <c r="G48" s="134">
        <v>13</v>
      </c>
      <c r="H48" s="134">
        <v>14</v>
      </c>
      <c r="I48" s="134">
        <v>4</v>
      </c>
      <c r="J48" s="134">
        <v>762</v>
      </c>
      <c r="K48" s="134">
        <v>766</v>
      </c>
      <c r="L48" s="134">
        <v>1</v>
      </c>
      <c r="M48" s="134">
        <v>295</v>
      </c>
      <c r="N48" s="134">
        <v>296</v>
      </c>
      <c r="O48" s="134">
        <v>3</v>
      </c>
      <c r="P48" s="134">
        <v>467</v>
      </c>
      <c r="Q48" s="134">
        <v>470</v>
      </c>
      <c r="R48" s="134">
        <v>0</v>
      </c>
      <c r="S48" s="134">
        <v>17</v>
      </c>
      <c r="T48" s="134">
        <v>17</v>
      </c>
      <c r="U48" s="134">
        <v>0</v>
      </c>
      <c r="V48" s="134">
        <v>269</v>
      </c>
      <c r="W48" s="134">
        <v>269</v>
      </c>
      <c r="X48" s="134">
        <v>29</v>
      </c>
      <c r="Y48" s="134">
        <v>1621</v>
      </c>
      <c r="Z48" s="134">
        <v>1650</v>
      </c>
      <c r="AA48" s="134">
        <v>12</v>
      </c>
      <c r="AB48" s="134">
        <v>500</v>
      </c>
      <c r="AC48" s="134">
        <v>512</v>
      </c>
      <c r="AD48" s="134">
        <v>12</v>
      </c>
      <c r="AE48" s="134">
        <v>492</v>
      </c>
      <c r="AF48" s="134">
        <v>504</v>
      </c>
      <c r="AG48" s="134">
        <v>0</v>
      </c>
      <c r="AH48" s="134">
        <v>6</v>
      </c>
      <c r="AI48" s="134">
        <v>6</v>
      </c>
      <c r="AJ48" s="134">
        <v>0</v>
      </c>
      <c r="AK48" s="134">
        <v>2</v>
      </c>
      <c r="AL48" s="134">
        <v>2</v>
      </c>
      <c r="AM48" s="134">
        <v>17</v>
      </c>
      <c r="AN48" s="134">
        <v>1121</v>
      </c>
      <c r="AO48" s="134">
        <v>1138</v>
      </c>
      <c r="AP48" s="134">
        <v>3430</v>
      </c>
      <c r="AQ48" s="134">
        <v>40415</v>
      </c>
      <c r="AR48" s="134">
        <v>43845</v>
      </c>
      <c r="AS48" s="134">
        <v>3664</v>
      </c>
      <c r="AT48" s="134">
        <v>40045</v>
      </c>
      <c r="AU48" s="134">
        <v>43709</v>
      </c>
      <c r="AV48" s="134">
        <v>-234</v>
      </c>
      <c r="AW48" s="134">
        <v>370</v>
      </c>
      <c r="AX48" s="134">
        <v>136</v>
      </c>
      <c r="AY48" s="134">
        <v>344</v>
      </c>
      <c r="AZ48" s="134">
        <v>2788</v>
      </c>
      <c r="BA48" s="134">
        <v>3132</v>
      </c>
      <c r="BB48" s="134">
        <v>113</v>
      </c>
      <c r="BC48" s="134">
        <v>2</v>
      </c>
      <c r="BD48" s="134">
        <v>0</v>
      </c>
      <c r="BE48" s="134">
        <v>1308</v>
      </c>
      <c r="BF48" s="134">
        <v>30</v>
      </c>
      <c r="BG48" s="134">
        <v>36</v>
      </c>
      <c r="BH48" s="134">
        <v>115</v>
      </c>
      <c r="BI48" s="134">
        <v>1374</v>
      </c>
      <c r="BJ48" s="134">
        <v>1489</v>
      </c>
      <c r="BK48" s="134">
        <v>97</v>
      </c>
      <c r="BL48" s="134">
        <v>-97</v>
      </c>
      <c r="BM48" s="134">
        <v>0</v>
      </c>
      <c r="BN48" s="134">
        <v>9</v>
      </c>
      <c r="BO48" s="134">
        <v>51</v>
      </c>
      <c r="BP48" s="134">
        <v>60</v>
      </c>
      <c r="BQ48" s="134">
        <v>11</v>
      </c>
      <c r="BR48" s="134">
        <v>122</v>
      </c>
      <c r="BS48" s="134">
        <v>133</v>
      </c>
      <c r="BT48" s="134">
        <v>112</v>
      </c>
      <c r="BU48" s="134">
        <v>1338</v>
      </c>
      <c r="BV48" s="134">
        <v>1450</v>
      </c>
      <c r="BW48" s="134">
        <v>3774</v>
      </c>
      <c r="BX48" s="134">
        <v>43203</v>
      </c>
      <c r="BY48" s="134">
        <v>46977</v>
      </c>
      <c r="BZ48" s="134">
        <v>3684</v>
      </c>
      <c r="CA48" s="134">
        <v>41848</v>
      </c>
      <c r="CB48" s="134">
        <v>45532</v>
      </c>
      <c r="CC48" s="134">
        <v>89378</v>
      </c>
      <c r="CD48" s="134">
        <v>93</v>
      </c>
      <c r="CE48" s="134">
        <v>1022</v>
      </c>
      <c r="CF48" s="134">
        <v>88</v>
      </c>
      <c r="CG48" s="134">
        <v>775</v>
      </c>
      <c r="CH48" s="134">
        <v>863</v>
      </c>
      <c r="CI48" s="134">
        <v>783</v>
      </c>
      <c r="CJ48" s="134">
        <v>18</v>
      </c>
      <c r="CK48" s="134">
        <v>2</v>
      </c>
      <c r="CL48" s="134">
        <v>580</v>
      </c>
      <c r="CM48" s="134">
        <v>582</v>
      </c>
      <c r="CN48" s="134">
        <v>176</v>
      </c>
      <c r="CO48" s="134">
        <v>3422</v>
      </c>
      <c r="CP48" s="134">
        <v>3598</v>
      </c>
      <c r="CQ48" s="134">
        <v>0</v>
      </c>
      <c r="CR48" s="134">
        <v>0</v>
      </c>
      <c r="CS48" s="134">
        <v>0</v>
      </c>
      <c r="CT48" s="134">
        <v>3598</v>
      </c>
      <c r="CU48" s="134">
        <v>39781</v>
      </c>
      <c r="CV48" s="134">
        <v>43379</v>
      </c>
      <c r="CW48" s="134">
        <v>278</v>
      </c>
      <c r="CX48" s="134">
        <v>2657</v>
      </c>
      <c r="CY48" s="134">
        <v>2935</v>
      </c>
      <c r="CZ48" s="134">
        <v>262</v>
      </c>
      <c r="DA48" s="134">
        <v>4</v>
      </c>
      <c r="DB48" s="134">
        <v>0</v>
      </c>
      <c r="DC48" s="134">
        <v>2265</v>
      </c>
      <c r="DD48" s="134">
        <v>47</v>
      </c>
      <c r="DE48" s="134">
        <v>12</v>
      </c>
      <c r="DF48" s="134">
        <v>266</v>
      </c>
      <c r="DG48" s="134">
        <v>2324</v>
      </c>
      <c r="DH48" s="134">
        <v>2590</v>
      </c>
      <c r="DI48" s="134">
        <v>12</v>
      </c>
      <c r="DJ48" s="134">
        <v>0</v>
      </c>
      <c r="DK48" s="134">
        <v>0</v>
      </c>
      <c r="DL48" s="134">
        <v>324</v>
      </c>
      <c r="DM48" s="134">
        <v>7</v>
      </c>
      <c r="DN48" s="134">
        <v>2</v>
      </c>
      <c r="DO48" s="134">
        <v>12</v>
      </c>
      <c r="DP48" s="134">
        <v>333</v>
      </c>
      <c r="DQ48" s="134">
        <v>345</v>
      </c>
      <c r="DR48" s="134">
        <v>0</v>
      </c>
      <c r="DS48" s="134">
        <v>0</v>
      </c>
      <c r="DT48" s="135">
        <v>0</v>
      </c>
      <c r="DU48" s="116"/>
      <c r="DV48" s="136"/>
      <c r="DX48" s="136"/>
      <c r="DY48" s="136"/>
    </row>
    <row r="49" spans="1:129" s="137" customFormat="1">
      <c r="A49" s="133" t="s">
        <v>318</v>
      </c>
      <c r="B49" s="134">
        <v>737</v>
      </c>
      <c r="C49" s="134">
        <v>213</v>
      </c>
      <c r="D49" s="134">
        <v>693</v>
      </c>
      <c r="E49" s="134">
        <v>406</v>
      </c>
      <c r="F49" s="134">
        <v>0</v>
      </c>
      <c r="G49" s="134">
        <v>9</v>
      </c>
      <c r="H49" s="134">
        <v>9</v>
      </c>
      <c r="I49" s="134">
        <v>0</v>
      </c>
      <c r="J49" s="134">
        <v>247</v>
      </c>
      <c r="K49" s="134">
        <v>247</v>
      </c>
      <c r="L49" s="134">
        <v>0</v>
      </c>
      <c r="M49" s="134">
        <v>69</v>
      </c>
      <c r="N49" s="134">
        <v>69</v>
      </c>
      <c r="O49" s="134">
        <v>0</v>
      </c>
      <c r="P49" s="134">
        <v>178</v>
      </c>
      <c r="Q49" s="134">
        <v>178</v>
      </c>
      <c r="R49" s="134">
        <v>0</v>
      </c>
      <c r="S49" s="134">
        <v>48</v>
      </c>
      <c r="T49" s="134">
        <v>48</v>
      </c>
      <c r="U49" s="134">
        <v>0</v>
      </c>
      <c r="V49" s="134">
        <v>40</v>
      </c>
      <c r="W49" s="134">
        <v>40</v>
      </c>
      <c r="X49" s="134">
        <v>9</v>
      </c>
      <c r="Y49" s="134">
        <v>452</v>
      </c>
      <c r="Z49" s="134">
        <v>461</v>
      </c>
      <c r="AA49" s="134">
        <v>4</v>
      </c>
      <c r="AB49" s="134">
        <v>181</v>
      </c>
      <c r="AC49" s="134">
        <v>185</v>
      </c>
      <c r="AD49" s="134">
        <v>4</v>
      </c>
      <c r="AE49" s="134">
        <v>178</v>
      </c>
      <c r="AF49" s="134">
        <v>182</v>
      </c>
      <c r="AG49" s="134">
        <v>0</v>
      </c>
      <c r="AH49" s="134">
        <v>2</v>
      </c>
      <c r="AI49" s="134">
        <v>2</v>
      </c>
      <c r="AJ49" s="134">
        <v>0</v>
      </c>
      <c r="AK49" s="134">
        <v>1</v>
      </c>
      <c r="AL49" s="134">
        <v>1</v>
      </c>
      <c r="AM49" s="134">
        <v>5</v>
      </c>
      <c r="AN49" s="134">
        <v>271</v>
      </c>
      <c r="AO49" s="134">
        <v>276</v>
      </c>
      <c r="AP49" s="134">
        <v>961</v>
      </c>
      <c r="AQ49" s="134">
        <v>12356</v>
      </c>
      <c r="AR49" s="134">
        <v>13317</v>
      </c>
      <c r="AS49" s="134">
        <v>983</v>
      </c>
      <c r="AT49" s="134">
        <v>12274</v>
      </c>
      <c r="AU49" s="134">
        <v>13257</v>
      </c>
      <c r="AV49" s="134">
        <v>-22</v>
      </c>
      <c r="AW49" s="134">
        <v>82</v>
      </c>
      <c r="AX49" s="134">
        <v>60</v>
      </c>
      <c r="AY49" s="134">
        <v>29</v>
      </c>
      <c r="AZ49" s="134">
        <v>906</v>
      </c>
      <c r="BA49" s="134">
        <v>935</v>
      </c>
      <c r="BB49" s="134">
        <v>16</v>
      </c>
      <c r="BC49" s="134">
        <v>0</v>
      </c>
      <c r="BD49" s="134">
        <v>0</v>
      </c>
      <c r="BE49" s="134">
        <v>387</v>
      </c>
      <c r="BF49" s="134">
        <v>2</v>
      </c>
      <c r="BG49" s="134">
        <v>1</v>
      </c>
      <c r="BH49" s="134">
        <v>16</v>
      </c>
      <c r="BI49" s="134">
        <v>390</v>
      </c>
      <c r="BJ49" s="134">
        <v>406</v>
      </c>
      <c r="BK49" s="134">
        <v>-15</v>
      </c>
      <c r="BL49" s="134">
        <v>15</v>
      </c>
      <c r="BM49" s="134">
        <v>0</v>
      </c>
      <c r="BN49" s="134">
        <v>0</v>
      </c>
      <c r="BO49" s="134">
        <v>18</v>
      </c>
      <c r="BP49" s="134">
        <v>18</v>
      </c>
      <c r="BQ49" s="134">
        <v>0</v>
      </c>
      <c r="BR49" s="134">
        <v>5</v>
      </c>
      <c r="BS49" s="134">
        <v>5</v>
      </c>
      <c r="BT49" s="134">
        <v>28</v>
      </c>
      <c r="BU49" s="134">
        <v>478</v>
      </c>
      <c r="BV49" s="134">
        <v>506</v>
      </c>
      <c r="BW49" s="134">
        <v>990</v>
      </c>
      <c r="BX49" s="134">
        <v>13262</v>
      </c>
      <c r="BY49" s="134">
        <v>14252</v>
      </c>
      <c r="BZ49" s="134">
        <v>988</v>
      </c>
      <c r="CA49" s="134">
        <v>13204</v>
      </c>
      <c r="CB49" s="134">
        <v>14192</v>
      </c>
      <c r="CC49" s="134">
        <v>25160</v>
      </c>
      <c r="CD49" s="134">
        <v>2</v>
      </c>
      <c r="CE49" s="134">
        <v>60</v>
      </c>
      <c r="CF49" s="134">
        <v>2</v>
      </c>
      <c r="CG49" s="134">
        <v>48</v>
      </c>
      <c r="CH49" s="134">
        <v>50</v>
      </c>
      <c r="CI49" s="134">
        <v>0</v>
      </c>
      <c r="CJ49" s="134">
        <v>12</v>
      </c>
      <c r="CK49" s="134">
        <v>0</v>
      </c>
      <c r="CL49" s="134">
        <v>10</v>
      </c>
      <c r="CM49" s="134">
        <v>10</v>
      </c>
      <c r="CN49" s="134">
        <v>54</v>
      </c>
      <c r="CO49" s="134">
        <v>1241</v>
      </c>
      <c r="CP49" s="134">
        <v>1295</v>
      </c>
      <c r="CQ49" s="134">
        <v>0</v>
      </c>
      <c r="CR49" s="134">
        <v>0</v>
      </c>
      <c r="CS49" s="134">
        <v>0</v>
      </c>
      <c r="CT49" s="134">
        <v>936</v>
      </c>
      <c r="CU49" s="134">
        <v>12021</v>
      </c>
      <c r="CV49" s="134">
        <v>12957</v>
      </c>
      <c r="CW49" s="134">
        <v>72</v>
      </c>
      <c r="CX49" s="134">
        <v>518</v>
      </c>
      <c r="CY49" s="134">
        <v>590</v>
      </c>
      <c r="CZ49" s="134">
        <v>66</v>
      </c>
      <c r="DA49" s="134">
        <v>1</v>
      </c>
      <c r="DB49" s="134">
        <v>0</v>
      </c>
      <c r="DC49" s="134">
        <v>491</v>
      </c>
      <c r="DD49" s="134">
        <v>2</v>
      </c>
      <c r="DE49" s="134">
        <v>0</v>
      </c>
      <c r="DF49" s="134">
        <v>67</v>
      </c>
      <c r="DG49" s="134">
        <v>493</v>
      </c>
      <c r="DH49" s="134">
        <v>560</v>
      </c>
      <c r="DI49" s="134">
        <v>5</v>
      </c>
      <c r="DJ49" s="134">
        <v>0</v>
      </c>
      <c r="DK49" s="134">
        <v>0</v>
      </c>
      <c r="DL49" s="134">
        <v>25</v>
      </c>
      <c r="DM49" s="134">
        <v>0</v>
      </c>
      <c r="DN49" s="134">
        <v>0</v>
      </c>
      <c r="DO49" s="134">
        <v>5</v>
      </c>
      <c r="DP49" s="134">
        <v>25</v>
      </c>
      <c r="DQ49" s="134">
        <v>30</v>
      </c>
      <c r="DR49" s="134">
        <v>0</v>
      </c>
      <c r="DS49" s="134">
        <v>0</v>
      </c>
      <c r="DT49" s="135">
        <v>0</v>
      </c>
      <c r="DU49" s="116"/>
      <c r="DV49" s="136"/>
      <c r="DX49" s="136"/>
      <c r="DY49" s="136"/>
    </row>
    <row r="50" spans="1:129" s="137" customFormat="1">
      <c r="A50" s="133" t="s">
        <v>319</v>
      </c>
      <c r="B50" s="134">
        <v>1041</v>
      </c>
      <c r="C50" s="134">
        <v>260</v>
      </c>
      <c r="D50" s="134">
        <v>1012</v>
      </c>
      <c r="E50" s="134">
        <v>563</v>
      </c>
      <c r="F50" s="134">
        <v>3</v>
      </c>
      <c r="G50" s="134">
        <v>30</v>
      </c>
      <c r="H50" s="134">
        <v>33</v>
      </c>
      <c r="I50" s="134">
        <v>0</v>
      </c>
      <c r="J50" s="134">
        <v>429</v>
      </c>
      <c r="K50" s="134">
        <v>429</v>
      </c>
      <c r="L50" s="134">
        <v>0</v>
      </c>
      <c r="M50" s="134">
        <v>142</v>
      </c>
      <c r="N50" s="134">
        <v>142</v>
      </c>
      <c r="O50" s="134">
        <v>0</v>
      </c>
      <c r="P50" s="134">
        <v>287</v>
      </c>
      <c r="Q50" s="134">
        <v>287</v>
      </c>
      <c r="R50" s="134">
        <v>0</v>
      </c>
      <c r="S50" s="134">
        <v>9</v>
      </c>
      <c r="T50" s="134">
        <v>9</v>
      </c>
      <c r="U50" s="134">
        <v>0</v>
      </c>
      <c r="V50" s="134">
        <v>20</v>
      </c>
      <c r="W50" s="134">
        <v>20</v>
      </c>
      <c r="X50" s="134">
        <v>13</v>
      </c>
      <c r="Y50" s="134">
        <v>999</v>
      </c>
      <c r="Z50" s="134">
        <v>1012</v>
      </c>
      <c r="AA50" s="134">
        <v>7</v>
      </c>
      <c r="AB50" s="134">
        <v>393</v>
      </c>
      <c r="AC50" s="134">
        <v>400</v>
      </c>
      <c r="AD50" s="134">
        <v>7</v>
      </c>
      <c r="AE50" s="134">
        <v>376</v>
      </c>
      <c r="AF50" s="134">
        <v>383</v>
      </c>
      <c r="AG50" s="134">
        <v>0</v>
      </c>
      <c r="AH50" s="134">
        <v>11</v>
      </c>
      <c r="AI50" s="134">
        <v>11</v>
      </c>
      <c r="AJ50" s="134">
        <v>0</v>
      </c>
      <c r="AK50" s="134">
        <v>6</v>
      </c>
      <c r="AL50" s="134">
        <v>6</v>
      </c>
      <c r="AM50" s="134">
        <v>6</v>
      </c>
      <c r="AN50" s="134">
        <v>606</v>
      </c>
      <c r="AO50" s="134">
        <v>612</v>
      </c>
      <c r="AP50" s="134">
        <v>1087</v>
      </c>
      <c r="AQ50" s="134">
        <v>10300</v>
      </c>
      <c r="AR50" s="134">
        <v>11387</v>
      </c>
      <c r="AS50" s="134">
        <v>1087</v>
      </c>
      <c r="AT50" s="134">
        <v>10300</v>
      </c>
      <c r="AU50" s="134">
        <v>11387</v>
      </c>
      <c r="AV50" s="134">
        <v>0</v>
      </c>
      <c r="AW50" s="134">
        <v>0</v>
      </c>
      <c r="AX50" s="134">
        <v>0</v>
      </c>
      <c r="AY50" s="134">
        <v>84</v>
      </c>
      <c r="AZ50" s="134">
        <v>1045</v>
      </c>
      <c r="BA50" s="134">
        <v>1129</v>
      </c>
      <c r="BB50" s="134">
        <v>18</v>
      </c>
      <c r="BC50" s="134">
        <v>1</v>
      </c>
      <c r="BD50" s="134">
        <v>0</v>
      </c>
      <c r="BE50" s="134">
        <v>539</v>
      </c>
      <c r="BF50" s="134">
        <v>4</v>
      </c>
      <c r="BG50" s="134">
        <v>1</v>
      </c>
      <c r="BH50" s="134">
        <v>19</v>
      </c>
      <c r="BI50" s="134">
        <v>544</v>
      </c>
      <c r="BJ50" s="134">
        <v>563</v>
      </c>
      <c r="BK50" s="134">
        <v>16</v>
      </c>
      <c r="BL50" s="134">
        <v>-16</v>
      </c>
      <c r="BM50" s="134">
        <v>0</v>
      </c>
      <c r="BN50" s="134">
        <v>7</v>
      </c>
      <c r="BO50" s="134">
        <v>29</v>
      </c>
      <c r="BP50" s="134">
        <v>36</v>
      </c>
      <c r="BQ50" s="134">
        <v>5</v>
      </c>
      <c r="BR50" s="134">
        <v>189</v>
      </c>
      <c r="BS50" s="134">
        <v>194</v>
      </c>
      <c r="BT50" s="134">
        <v>37</v>
      </c>
      <c r="BU50" s="134">
        <v>299</v>
      </c>
      <c r="BV50" s="134">
        <v>336</v>
      </c>
      <c r="BW50" s="134">
        <v>1171</v>
      </c>
      <c r="BX50" s="134">
        <v>11345</v>
      </c>
      <c r="BY50" s="134">
        <v>12516</v>
      </c>
      <c r="BZ50" s="134">
        <v>1167</v>
      </c>
      <c r="CA50" s="134">
        <v>11303</v>
      </c>
      <c r="CB50" s="134">
        <v>12470</v>
      </c>
      <c r="CC50" s="134">
        <v>23330</v>
      </c>
      <c r="CD50" s="134">
        <v>5</v>
      </c>
      <c r="CE50" s="134">
        <v>26</v>
      </c>
      <c r="CF50" s="134">
        <v>4</v>
      </c>
      <c r="CG50" s="134">
        <v>25</v>
      </c>
      <c r="CH50" s="134">
        <v>29</v>
      </c>
      <c r="CI50" s="134">
        <v>18</v>
      </c>
      <c r="CJ50" s="134">
        <v>3</v>
      </c>
      <c r="CK50" s="134">
        <v>0</v>
      </c>
      <c r="CL50" s="134">
        <v>17</v>
      </c>
      <c r="CM50" s="134">
        <v>17</v>
      </c>
      <c r="CN50" s="134">
        <v>68</v>
      </c>
      <c r="CO50" s="134">
        <v>1119</v>
      </c>
      <c r="CP50" s="134">
        <v>1187</v>
      </c>
      <c r="CQ50" s="134">
        <v>0</v>
      </c>
      <c r="CR50" s="134">
        <v>6</v>
      </c>
      <c r="CS50" s="134">
        <v>6</v>
      </c>
      <c r="CT50" s="134">
        <v>1103</v>
      </c>
      <c r="CU50" s="134">
        <v>10226</v>
      </c>
      <c r="CV50" s="134">
        <v>11329</v>
      </c>
      <c r="CW50" s="134">
        <v>91</v>
      </c>
      <c r="CX50" s="134">
        <v>518</v>
      </c>
      <c r="CY50" s="134">
        <v>609</v>
      </c>
      <c r="CZ50" s="134">
        <v>91</v>
      </c>
      <c r="DA50" s="134">
        <v>0</v>
      </c>
      <c r="DB50" s="134">
        <v>0</v>
      </c>
      <c r="DC50" s="134">
        <v>506</v>
      </c>
      <c r="DD50" s="134">
        <v>2</v>
      </c>
      <c r="DE50" s="134">
        <v>2</v>
      </c>
      <c r="DF50" s="134">
        <v>91</v>
      </c>
      <c r="DG50" s="134">
        <v>510</v>
      </c>
      <c r="DH50" s="134">
        <v>601</v>
      </c>
      <c r="DI50" s="134">
        <v>0</v>
      </c>
      <c r="DJ50" s="134">
        <v>0</v>
      </c>
      <c r="DK50" s="134">
        <v>0</v>
      </c>
      <c r="DL50" s="134">
        <v>8</v>
      </c>
      <c r="DM50" s="134">
        <v>0</v>
      </c>
      <c r="DN50" s="134">
        <v>0</v>
      </c>
      <c r="DO50" s="134">
        <v>0</v>
      </c>
      <c r="DP50" s="134">
        <v>8</v>
      </c>
      <c r="DQ50" s="134">
        <v>8</v>
      </c>
      <c r="DR50" s="134">
        <v>0</v>
      </c>
      <c r="DS50" s="134">
        <v>0</v>
      </c>
      <c r="DT50" s="135">
        <v>0</v>
      </c>
      <c r="DU50" s="116"/>
      <c r="DV50" s="136"/>
      <c r="DX50" s="136"/>
      <c r="DY50" s="136"/>
    </row>
    <row r="51" spans="1:129" s="137" customFormat="1">
      <c r="A51" s="133" t="s">
        <v>320</v>
      </c>
      <c r="B51" s="134">
        <v>11</v>
      </c>
      <c r="C51" s="134">
        <v>0</v>
      </c>
      <c r="D51" s="134">
        <v>11</v>
      </c>
      <c r="E51" s="134">
        <v>8</v>
      </c>
      <c r="F51" s="134">
        <v>0</v>
      </c>
      <c r="G51" s="134">
        <v>1</v>
      </c>
      <c r="H51" s="134">
        <v>1</v>
      </c>
      <c r="I51" s="134">
        <v>0</v>
      </c>
      <c r="J51" s="134">
        <v>1</v>
      </c>
      <c r="K51" s="134">
        <v>1</v>
      </c>
      <c r="L51" s="134">
        <v>0</v>
      </c>
      <c r="M51" s="134">
        <v>1</v>
      </c>
      <c r="N51" s="134">
        <v>1</v>
      </c>
      <c r="O51" s="134">
        <v>0</v>
      </c>
      <c r="P51" s="134">
        <v>0</v>
      </c>
      <c r="Q51" s="134">
        <v>0</v>
      </c>
      <c r="R51" s="134">
        <v>0</v>
      </c>
      <c r="S51" s="134">
        <v>1</v>
      </c>
      <c r="T51" s="134">
        <v>1</v>
      </c>
      <c r="U51" s="134">
        <v>0</v>
      </c>
      <c r="V51" s="134">
        <v>2</v>
      </c>
      <c r="W51" s="134">
        <v>2</v>
      </c>
      <c r="X51" s="134">
        <v>0</v>
      </c>
      <c r="Y51" s="134">
        <v>11</v>
      </c>
      <c r="Z51" s="134">
        <v>11</v>
      </c>
      <c r="AA51" s="134">
        <v>0</v>
      </c>
      <c r="AB51" s="134">
        <v>6</v>
      </c>
      <c r="AC51" s="134">
        <v>6</v>
      </c>
      <c r="AD51" s="134">
        <v>0</v>
      </c>
      <c r="AE51" s="134">
        <v>6</v>
      </c>
      <c r="AF51" s="134">
        <v>6</v>
      </c>
      <c r="AG51" s="134">
        <v>0</v>
      </c>
      <c r="AH51" s="134">
        <v>0</v>
      </c>
      <c r="AI51" s="134">
        <v>0</v>
      </c>
      <c r="AJ51" s="134">
        <v>0</v>
      </c>
      <c r="AK51" s="134">
        <v>0</v>
      </c>
      <c r="AL51" s="134">
        <v>0</v>
      </c>
      <c r="AM51" s="134">
        <v>0</v>
      </c>
      <c r="AN51" s="134">
        <v>5</v>
      </c>
      <c r="AO51" s="134">
        <v>5</v>
      </c>
      <c r="AP51" s="134">
        <v>11</v>
      </c>
      <c r="AQ51" s="134">
        <v>138</v>
      </c>
      <c r="AR51" s="134">
        <v>149</v>
      </c>
      <c r="AS51" s="134">
        <v>11</v>
      </c>
      <c r="AT51" s="134">
        <v>138</v>
      </c>
      <c r="AU51" s="134">
        <v>149</v>
      </c>
      <c r="AV51" s="134">
        <v>0</v>
      </c>
      <c r="AW51" s="134">
        <v>0</v>
      </c>
      <c r="AX51" s="134">
        <v>0</v>
      </c>
      <c r="AY51" s="134">
        <v>0</v>
      </c>
      <c r="AZ51" s="134">
        <v>14</v>
      </c>
      <c r="BA51" s="134">
        <v>14</v>
      </c>
      <c r="BB51" s="134">
        <v>0</v>
      </c>
      <c r="BC51" s="134">
        <v>0</v>
      </c>
      <c r="BD51" s="134">
        <v>0</v>
      </c>
      <c r="BE51" s="134">
        <v>7</v>
      </c>
      <c r="BF51" s="134">
        <v>1</v>
      </c>
      <c r="BG51" s="134">
        <v>0</v>
      </c>
      <c r="BH51" s="134">
        <v>0</v>
      </c>
      <c r="BI51" s="134">
        <v>8</v>
      </c>
      <c r="BJ51" s="134">
        <v>8</v>
      </c>
      <c r="BK51" s="134">
        <v>0</v>
      </c>
      <c r="BL51" s="134">
        <v>0</v>
      </c>
      <c r="BM51" s="134">
        <v>0</v>
      </c>
      <c r="BN51" s="134">
        <v>0</v>
      </c>
      <c r="BO51" s="134">
        <v>2</v>
      </c>
      <c r="BP51" s="134">
        <v>2</v>
      </c>
      <c r="BQ51" s="134">
        <v>0</v>
      </c>
      <c r="BR51" s="134">
        <v>1</v>
      </c>
      <c r="BS51" s="134">
        <v>1</v>
      </c>
      <c r="BT51" s="134">
        <v>0</v>
      </c>
      <c r="BU51" s="134">
        <v>3</v>
      </c>
      <c r="BV51" s="134">
        <v>3</v>
      </c>
      <c r="BW51" s="134">
        <v>11</v>
      </c>
      <c r="BX51" s="134">
        <v>152</v>
      </c>
      <c r="BY51" s="134">
        <v>163</v>
      </c>
      <c r="BZ51" s="134">
        <v>11</v>
      </c>
      <c r="CA51" s="134">
        <v>151</v>
      </c>
      <c r="CB51" s="134">
        <v>162</v>
      </c>
      <c r="CC51" s="134">
        <v>270</v>
      </c>
      <c r="CD51" s="134">
        <v>0</v>
      </c>
      <c r="CE51" s="134">
        <v>1</v>
      </c>
      <c r="CF51" s="134">
        <v>0</v>
      </c>
      <c r="CG51" s="134">
        <v>1</v>
      </c>
      <c r="CH51" s="134">
        <v>1</v>
      </c>
      <c r="CI51" s="134">
        <v>0</v>
      </c>
      <c r="CJ51" s="134">
        <v>0</v>
      </c>
      <c r="CK51" s="134">
        <v>0</v>
      </c>
      <c r="CL51" s="134">
        <v>0</v>
      </c>
      <c r="CM51" s="134">
        <v>0</v>
      </c>
      <c r="CN51" s="134">
        <v>1</v>
      </c>
      <c r="CO51" s="134">
        <v>13</v>
      </c>
      <c r="CP51" s="134">
        <v>14</v>
      </c>
      <c r="CQ51" s="134">
        <v>0</v>
      </c>
      <c r="CR51" s="134">
        <v>0</v>
      </c>
      <c r="CS51" s="134">
        <v>0</v>
      </c>
      <c r="CT51" s="134">
        <v>10</v>
      </c>
      <c r="CU51" s="134">
        <v>139</v>
      </c>
      <c r="CV51" s="134">
        <v>149</v>
      </c>
      <c r="CW51" s="134">
        <v>0</v>
      </c>
      <c r="CX51" s="134">
        <v>3</v>
      </c>
      <c r="CY51" s="134">
        <v>3</v>
      </c>
      <c r="CZ51" s="134">
        <v>0</v>
      </c>
      <c r="DA51" s="134">
        <v>0</v>
      </c>
      <c r="DB51" s="134">
        <v>0</v>
      </c>
      <c r="DC51" s="134">
        <v>3</v>
      </c>
      <c r="DD51" s="134">
        <v>0</v>
      </c>
      <c r="DE51" s="134">
        <v>0</v>
      </c>
      <c r="DF51" s="134">
        <v>0</v>
      </c>
      <c r="DG51" s="134">
        <v>3</v>
      </c>
      <c r="DH51" s="134">
        <v>3</v>
      </c>
      <c r="DI51" s="134">
        <v>0</v>
      </c>
      <c r="DJ51" s="134">
        <v>0</v>
      </c>
      <c r="DK51" s="134">
        <v>0</v>
      </c>
      <c r="DL51" s="134">
        <v>0</v>
      </c>
      <c r="DM51" s="134">
        <v>0</v>
      </c>
      <c r="DN51" s="134">
        <v>0</v>
      </c>
      <c r="DO51" s="134">
        <v>0</v>
      </c>
      <c r="DP51" s="134">
        <v>0</v>
      </c>
      <c r="DQ51" s="134">
        <v>0</v>
      </c>
      <c r="DR51" s="134">
        <v>0</v>
      </c>
      <c r="DS51" s="134">
        <v>0</v>
      </c>
      <c r="DT51" s="135">
        <v>0</v>
      </c>
      <c r="DU51" s="116"/>
      <c r="DV51" s="136"/>
      <c r="DX51" s="136"/>
      <c r="DY51" s="136"/>
    </row>
    <row r="52" spans="1:129" s="137" customFormat="1">
      <c r="A52" s="133" t="s">
        <v>321</v>
      </c>
      <c r="B52" s="134">
        <v>239</v>
      </c>
      <c r="C52" s="134">
        <v>63</v>
      </c>
      <c r="D52" s="134">
        <v>231</v>
      </c>
      <c r="E52" s="134">
        <v>107</v>
      </c>
      <c r="F52" s="134">
        <v>0</v>
      </c>
      <c r="G52" s="134">
        <v>1</v>
      </c>
      <c r="H52" s="134">
        <v>1</v>
      </c>
      <c r="I52" s="134">
        <v>0</v>
      </c>
      <c r="J52" s="134">
        <v>112</v>
      </c>
      <c r="K52" s="134">
        <v>112</v>
      </c>
      <c r="L52" s="134">
        <v>0</v>
      </c>
      <c r="M52" s="134">
        <v>51</v>
      </c>
      <c r="N52" s="134">
        <v>51</v>
      </c>
      <c r="O52" s="134">
        <v>0</v>
      </c>
      <c r="P52" s="134">
        <v>61</v>
      </c>
      <c r="Q52" s="134">
        <v>61</v>
      </c>
      <c r="R52" s="134">
        <v>0</v>
      </c>
      <c r="S52" s="134">
        <v>1</v>
      </c>
      <c r="T52" s="134">
        <v>1</v>
      </c>
      <c r="U52" s="134">
        <v>0</v>
      </c>
      <c r="V52" s="134">
        <v>12</v>
      </c>
      <c r="W52" s="134">
        <v>12</v>
      </c>
      <c r="X52" s="134">
        <v>2</v>
      </c>
      <c r="Y52" s="134">
        <v>229</v>
      </c>
      <c r="Z52" s="134">
        <v>231</v>
      </c>
      <c r="AA52" s="134">
        <v>1</v>
      </c>
      <c r="AB52" s="134">
        <v>82</v>
      </c>
      <c r="AC52" s="134">
        <v>83</v>
      </c>
      <c r="AD52" s="134">
        <v>1</v>
      </c>
      <c r="AE52" s="134">
        <v>67</v>
      </c>
      <c r="AF52" s="134">
        <v>68</v>
      </c>
      <c r="AG52" s="134">
        <v>0</v>
      </c>
      <c r="AH52" s="134">
        <v>8</v>
      </c>
      <c r="AI52" s="134">
        <v>8</v>
      </c>
      <c r="AJ52" s="134">
        <v>0</v>
      </c>
      <c r="AK52" s="134">
        <v>7</v>
      </c>
      <c r="AL52" s="134">
        <v>7</v>
      </c>
      <c r="AM52" s="134">
        <v>1</v>
      </c>
      <c r="AN52" s="134">
        <v>147</v>
      </c>
      <c r="AO52" s="134">
        <v>148</v>
      </c>
      <c r="AP52" s="134">
        <v>331</v>
      </c>
      <c r="AQ52" s="134">
        <v>2563</v>
      </c>
      <c r="AR52" s="134">
        <v>2894</v>
      </c>
      <c r="AS52" s="134">
        <v>331</v>
      </c>
      <c r="AT52" s="134">
        <v>2563</v>
      </c>
      <c r="AU52" s="134">
        <v>2894</v>
      </c>
      <c r="AV52" s="134">
        <v>0</v>
      </c>
      <c r="AW52" s="134">
        <v>0</v>
      </c>
      <c r="AX52" s="134">
        <v>0</v>
      </c>
      <c r="AY52" s="134">
        <v>17</v>
      </c>
      <c r="AZ52" s="134">
        <v>205</v>
      </c>
      <c r="BA52" s="134">
        <v>222</v>
      </c>
      <c r="BB52" s="134">
        <v>3</v>
      </c>
      <c r="BC52" s="134">
        <v>0</v>
      </c>
      <c r="BD52" s="134">
        <v>0</v>
      </c>
      <c r="BE52" s="134">
        <v>102</v>
      </c>
      <c r="BF52" s="134">
        <v>2</v>
      </c>
      <c r="BG52" s="134">
        <v>0</v>
      </c>
      <c r="BH52" s="134">
        <v>3</v>
      </c>
      <c r="BI52" s="134">
        <v>104</v>
      </c>
      <c r="BJ52" s="134">
        <v>107</v>
      </c>
      <c r="BK52" s="134">
        <v>-3</v>
      </c>
      <c r="BL52" s="134">
        <v>3</v>
      </c>
      <c r="BM52" s="134">
        <v>0</v>
      </c>
      <c r="BN52" s="134">
        <v>0</v>
      </c>
      <c r="BO52" s="134">
        <v>9</v>
      </c>
      <c r="BP52" s="134">
        <v>9</v>
      </c>
      <c r="BQ52" s="134">
        <v>1</v>
      </c>
      <c r="BR52" s="134">
        <v>25</v>
      </c>
      <c r="BS52" s="134">
        <v>26</v>
      </c>
      <c r="BT52" s="134">
        <v>16</v>
      </c>
      <c r="BU52" s="134">
        <v>64</v>
      </c>
      <c r="BV52" s="134">
        <v>80</v>
      </c>
      <c r="BW52" s="134">
        <v>348</v>
      </c>
      <c r="BX52" s="134">
        <v>2768</v>
      </c>
      <c r="BY52" s="134">
        <v>3116</v>
      </c>
      <c r="BZ52" s="134">
        <v>348</v>
      </c>
      <c r="CA52" s="134">
        <v>2758</v>
      </c>
      <c r="CB52" s="134">
        <v>3106</v>
      </c>
      <c r="CC52" s="134">
        <v>6384</v>
      </c>
      <c r="CD52" s="134">
        <v>4</v>
      </c>
      <c r="CE52" s="134">
        <v>6</v>
      </c>
      <c r="CF52" s="134">
        <v>0</v>
      </c>
      <c r="CG52" s="134">
        <v>8</v>
      </c>
      <c r="CH52" s="134">
        <v>8</v>
      </c>
      <c r="CI52" s="134">
        <v>3</v>
      </c>
      <c r="CJ52" s="134">
        <v>0</v>
      </c>
      <c r="CK52" s="134">
        <v>0</v>
      </c>
      <c r="CL52" s="134">
        <v>2</v>
      </c>
      <c r="CM52" s="134">
        <v>2</v>
      </c>
      <c r="CN52" s="134">
        <v>32</v>
      </c>
      <c r="CO52" s="134">
        <v>251</v>
      </c>
      <c r="CP52" s="134">
        <v>283</v>
      </c>
      <c r="CQ52" s="134">
        <v>0</v>
      </c>
      <c r="CR52" s="134">
        <v>2</v>
      </c>
      <c r="CS52" s="134">
        <v>2</v>
      </c>
      <c r="CT52" s="134">
        <v>316</v>
      </c>
      <c r="CU52" s="134">
        <v>2517</v>
      </c>
      <c r="CV52" s="134">
        <v>2833</v>
      </c>
      <c r="CW52" s="134">
        <v>25</v>
      </c>
      <c r="CX52" s="134">
        <v>92</v>
      </c>
      <c r="CY52" s="134">
        <v>117</v>
      </c>
      <c r="CZ52" s="134">
        <v>25</v>
      </c>
      <c r="DA52" s="134">
        <v>0</v>
      </c>
      <c r="DB52" s="134">
        <v>0</v>
      </c>
      <c r="DC52" s="134">
        <v>91</v>
      </c>
      <c r="DD52" s="134">
        <v>0</v>
      </c>
      <c r="DE52" s="134">
        <v>0</v>
      </c>
      <c r="DF52" s="134">
        <v>25</v>
      </c>
      <c r="DG52" s="134">
        <v>91</v>
      </c>
      <c r="DH52" s="134">
        <v>116</v>
      </c>
      <c r="DI52" s="134">
        <v>0</v>
      </c>
      <c r="DJ52" s="134">
        <v>0</v>
      </c>
      <c r="DK52" s="134">
        <v>0</v>
      </c>
      <c r="DL52" s="134">
        <v>1</v>
      </c>
      <c r="DM52" s="134">
        <v>0</v>
      </c>
      <c r="DN52" s="134">
        <v>0</v>
      </c>
      <c r="DO52" s="134">
        <v>0</v>
      </c>
      <c r="DP52" s="134">
        <v>1</v>
      </c>
      <c r="DQ52" s="134">
        <v>1</v>
      </c>
      <c r="DR52" s="134">
        <v>0</v>
      </c>
      <c r="DS52" s="134">
        <v>0</v>
      </c>
      <c r="DT52" s="135">
        <v>0</v>
      </c>
      <c r="DU52" s="116"/>
      <c r="DV52" s="136"/>
      <c r="DX52" s="136"/>
      <c r="DY52" s="136"/>
    </row>
    <row r="53" spans="1:129" s="137" customFormat="1">
      <c r="A53" s="133" t="s">
        <v>322</v>
      </c>
      <c r="B53" s="134">
        <v>1499</v>
      </c>
      <c r="C53" s="134">
        <v>477</v>
      </c>
      <c r="D53" s="134">
        <v>1208</v>
      </c>
      <c r="E53" s="134">
        <v>739</v>
      </c>
      <c r="F53" s="134">
        <v>0</v>
      </c>
      <c r="G53" s="134">
        <v>18</v>
      </c>
      <c r="H53" s="134">
        <v>18</v>
      </c>
      <c r="I53" s="134">
        <v>0</v>
      </c>
      <c r="J53" s="134">
        <v>387</v>
      </c>
      <c r="K53" s="134">
        <v>387</v>
      </c>
      <c r="L53" s="134">
        <v>0</v>
      </c>
      <c r="M53" s="134">
        <v>123</v>
      </c>
      <c r="N53" s="134">
        <v>123</v>
      </c>
      <c r="O53" s="134">
        <v>0</v>
      </c>
      <c r="P53" s="134">
        <v>264</v>
      </c>
      <c r="Q53" s="134">
        <v>264</v>
      </c>
      <c r="R53" s="134">
        <v>0</v>
      </c>
      <c r="S53" s="134">
        <v>43</v>
      </c>
      <c r="T53" s="134">
        <v>43</v>
      </c>
      <c r="U53" s="134">
        <v>0</v>
      </c>
      <c r="V53" s="134">
        <v>82</v>
      </c>
      <c r="W53" s="134">
        <v>82</v>
      </c>
      <c r="X53" s="134">
        <v>16</v>
      </c>
      <c r="Y53" s="134">
        <v>723</v>
      </c>
      <c r="Z53" s="134">
        <v>739</v>
      </c>
      <c r="AA53" s="134">
        <v>13</v>
      </c>
      <c r="AB53" s="134">
        <v>408</v>
      </c>
      <c r="AC53" s="134">
        <v>421</v>
      </c>
      <c r="AD53" s="134">
        <v>13</v>
      </c>
      <c r="AE53" s="134">
        <v>399</v>
      </c>
      <c r="AF53" s="134">
        <v>412</v>
      </c>
      <c r="AG53" s="134">
        <v>0</v>
      </c>
      <c r="AH53" s="134">
        <v>6</v>
      </c>
      <c r="AI53" s="134">
        <v>6</v>
      </c>
      <c r="AJ53" s="134">
        <v>0</v>
      </c>
      <c r="AK53" s="134">
        <v>3</v>
      </c>
      <c r="AL53" s="134">
        <v>3</v>
      </c>
      <c r="AM53" s="134">
        <v>3</v>
      </c>
      <c r="AN53" s="134">
        <v>315</v>
      </c>
      <c r="AO53" s="134">
        <v>318</v>
      </c>
      <c r="AP53" s="134">
        <v>2155</v>
      </c>
      <c r="AQ53" s="134">
        <v>17238</v>
      </c>
      <c r="AR53" s="134">
        <v>19393</v>
      </c>
      <c r="AS53" s="134">
        <v>2228</v>
      </c>
      <c r="AT53" s="134">
        <v>16963</v>
      </c>
      <c r="AU53" s="134">
        <v>19191</v>
      </c>
      <c r="AV53" s="134">
        <v>-73</v>
      </c>
      <c r="AW53" s="134">
        <v>275</v>
      </c>
      <c r="AX53" s="134">
        <v>202</v>
      </c>
      <c r="AY53" s="134">
        <v>171</v>
      </c>
      <c r="AZ53" s="134">
        <v>1395</v>
      </c>
      <c r="BA53" s="134">
        <v>1566</v>
      </c>
      <c r="BB53" s="134">
        <v>41</v>
      </c>
      <c r="BC53" s="134">
        <v>1</v>
      </c>
      <c r="BD53" s="134">
        <v>0</v>
      </c>
      <c r="BE53" s="134">
        <v>691</v>
      </c>
      <c r="BF53" s="134">
        <v>3</v>
      </c>
      <c r="BG53" s="134">
        <v>3</v>
      </c>
      <c r="BH53" s="134">
        <v>42</v>
      </c>
      <c r="BI53" s="134">
        <v>697</v>
      </c>
      <c r="BJ53" s="134">
        <v>739</v>
      </c>
      <c r="BK53" s="134">
        <v>35</v>
      </c>
      <c r="BL53" s="134">
        <v>-35</v>
      </c>
      <c r="BM53" s="134">
        <v>0</v>
      </c>
      <c r="BN53" s="134">
        <v>10</v>
      </c>
      <c r="BO53" s="134">
        <v>38</v>
      </c>
      <c r="BP53" s="134">
        <v>48</v>
      </c>
      <c r="BQ53" s="134">
        <v>3</v>
      </c>
      <c r="BR53" s="134">
        <v>140</v>
      </c>
      <c r="BS53" s="134">
        <v>143</v>
      </c>
      <c r="BT53" s="134">
        <v>81</v>
      </c>
      <c r="BU53" s="134">
        <v>555</v>
      </c>
      <c r="BV53" s="134">
        <v>636</v>
      </c>
      <c r="BW53" s="134">
        <v>2326</v>
      </c>
      <c r="BX53" s="134">
        <v>18633</v>
      </c>
      <c r="BY53" s="134">
        <v>20959</v>
      </c>
      <c r="BZ53" s="134">
        <v>2306</v>
      </c>
      <c r="CA53" s="134">
        <v>18420</v>
      </c>
      <c r="CB53" s="134">
        <v>20726</v>
      </c>
      <c r="CC53" s="134">
        <v>39004</v>
      </c>
      <c r="CD53" s="134">
        <v>200</v>
      </c>
      <c r="CE53" s="134">
        <v>170</v>
      </c>
      <c r="CF53" s="134">
        <v>20</v>
      </c>
      <c r="CG53" s="134">
        <v>150</v>
      </c>
      <c r="CH53" s="134">
        <v>170</v>
      </c>
      <c r="CI53" s="134">
        <v>85</v>
      </c>
      <c r="CJ53" s="134">
        <v>64</v>
      </c>
      <c r="CK53" s="134">
        <v>0</v>
      </c>
      <c r="CL53" s="134">
        <v>63</v>
      </c>
      <c r="CM53" s="134">
        <v>63</v>
      </c>
      <c r="CN53" s="134">
        <v>159</v>
      </c>
      <c r="CO53" s="134">
        <v>1821</v>
      </c>
      <c r="CP53" s="134">
        <v>1980</v>
      </c>
      <c r="CQ53" s="134">
        <v>0</v>
      </c>
      <c r="CR53" s="134">
        <v>0</v>
      </c>
      <c r="CS53" s="134">
        <v>0</v>
      </c>
      <c r="CT53" s="134">
        <v>2167</v>
      </c>
      <c r="CU53" s="134">
        <v>16812</v>
      </c>
      <c r="CV53" s="134">
        <v>18979</v>
      </c>
      <c r="CW53" s="134">
        <v>143</v>
      </c>
      <c r="CX53" s="134">
        <v>899</v>
      </c>
      <c r="CY53" s="134">
        <v>1042</v>
      </c>
      <c r="CZ53" s="134">
        <v>140</v>
      </c>
      <c r="DA53" s="134">
        <v>1</v>
      </c>
      <c r="DB53" s="134">
        <v>0</v>
      </c>
      <c r="DC53" s="134">
        <v>852</v>
      </c>
      <c r="DD53" s="134">
        <v>10</v>
      </c>
      <c r="DE53" s="134">
        <v>1</v>
      </c>
      <c r="DF53" s="134">
        <v>141</v>
      </c>
      <c r="DG53" s="134">
        <v>863</v>
      </c>
      <c r="DH53" s="134">
        <v>1004</v>
      </c>
      <c r="DI53" s="134">
        <v>2</v>
      </c>
      <c r="DJ53" s="134">
        <v>0</v>
      </c>
      <c r="DK53" s="134">
        <v>0</v>
      </c>
      <c r="DL53" s="134">
        <v>35</v>
      </c>
      <c r="DM53" s="134">
        <v>1</v>
      </c>
      <c r="DN53" s="134">
        <v>0</v>
      </c>
      <c r="DO53" s="134">
        <v>2</v>
      </c>
      <c r="DP53" s="134">
        <v>36</v>
      </c>
      <c r="DQ53" s="134">
        <v>38</v>
      </c>
      <c r="DR53" s="134">
        <v>0</v>
      </c>
      <c r="DS53" s="134">
        <v>0</v>
      </c>
      <c r="DT53" s="135">
        <v>0</v>
      </c>
      <c r="DU53" s="116"/>
      <c r="DV53" s="136"/>
      <c r="DX53" s="136"/>
      <c r="DY53" s="136"/>
    </row>
    <row r="54" spans="1:129" s="137" customFormat="1">
      <c r="A54" s="133" t="s">
        <v>323</v>
      </c>
      <c r="B54" s="134">
        <v>964</v>
      </c>
      <c r="C54" s="134">
        <v>375</v>
      </c>
      <c r="D54" s="134">
        <v>822</v>
      </c>
      <c r="E54" s="134">
        <v>422</v>
      </c>
      <c r="F54" s="134">
        <v>0</v>
      </c>
      <c r="G54" s="134">
        <v>5</v>
      </c>
      <c r="H54" s="134">
        <v>5</v>
      </c>
      <c r="I54" s="134">
        <v>0</v>
      </c>
      <c r="J54" s="134">
        <v>361</v>
      </c>
      <c r="K54" s="134">
        <v>361</v>
      </c>
      <c r="L54" s="134">
        <v>0</v>
      </c>
      <c r="M54" s="134">
        <v>95</v>
      </c>
      <c r="N54" s="134">
        <v>95</v>
      </c>
      <c r="O54" s="134">
        <v>0</v>
      </c>
      <c r="P54" s="134">
        <v>266</v>
      </c>
      <c r="Q54" s="134">
        <v>266</v>
      </c>
      <c r="R54" s="134">
        <v>0</v>
      </c>
      <c r="S54" s="134">
        <v>35</v>
      </c>
      <c r="T54" s="134">
        <v>35</v>
      </c>
      <c r="U54" s="134">
        <v>0</v>
      </c>
      <c r="V54" s="134">
        <v>39</v>
      </c>
      <c r="W54" s="134">
        <v>39</v>
      </c>
      <c r="X54" s="134">
        <v>11</v>
      </c>
      <c r="Y54" s="134">
        <v>811</v>
      </c>
      <c r="Z54" s="134">
        <v>822</v>
      </c>
      <c r="AA54" s="134">
        <v>7</v>
      </c>
      <c r="AB54" s="134">
        <v>411</v>
      </c>
      <c r="AC54" s="134">
        <v>418</v>
      </c>
      <c r="AD54" s="134">
        <v>7</v>
      </c>
      <c r="AE54" s="134">
        <v>380</v>
      </c>
      <c r="AF54" s="134">
        <v>387</v>
      </c>
      <c r="AG54" s="134">
        <v>0</v>
      </c>
      <c r="AH54" s="134">
        <v>26</v>
      </c>
      <c r="AI54" s="134">
        <v>26</v>
      </c>
      <c r="AJ54" s="134">
        <v>0</v>
      </c>
      <c r="AK54" s="134">
        <v>5</v>
      </c>
      <c r="AL54" s="134">
        <v>5</v>
      </c>
      <c r="AM54" s="134">
        <v>4</v>
      </c>
      <c r="AN54" s="134">
        <v>400</v>
      </c>
      <c r="AO54" s="134">
        <v>404</v>
      </c>
      <c r="AP54" s="134">
        <v>1194</v>
      </c>
      <c r="AQ54" s="134">
        <v>15068</v>
      </c>
      <c r="AR54" s="134">
        <v>16262</v>
      </c>
      <c r="AS54" s="134">
        <v>1190</v>
      </c>
      <c r="AT54" s="134">
        <v>14591</v>
      </c>
      <c r="AU54" s="134">
        <v>15781</v>
      </c>
      <c r="AV54" s="134">
        <v>4</v>
      </c>
      <c r="AW54" s="134">
        <v>477</v>
      </c>
      <c r="AX54" s="134">
        <v>481</v>
      </c>
      <c r="AY54" s="134">
        <v>19</v>
      </c>
      <c r="AZ54" s="134">
        <v>894</v>
      </c>
      <c r="BA54" s="134">
        <v>913</v>
      </c>
      <c r="BB54" s="134">
        <v>15</v>
      </c>
      <c r="BC54" s="134">
        <v>0</v>
      </c>
      <c r="BD54" s="134">
        <v>0</v>
      </c>
      <c r="BE54" s="134">
        <v>402</v>
      </c>
      <c r="BF54" s="134">
        <v>3</v>
      </c>
      <c r="BG54" s="134">
        <v>2</v>
      </c>
      <c r="BH54" s="134">
        <v>15</v>
      </c>
      <c r="BI54" s="134">
        <v>407</v>
      </c>
      <c r="BJ54" s="134">
        <v>422</v>
      </c>
      <c r="BK54" s="134">
        <v>-32</v>
      </c>
      <c r="BL54" s="134">
        <v>32</v>
      </c>
      <c r="BM54" s="134">
        <v>0</v>
      </c>
      <c r="BN54" s="134">
        <v>4</v>
      </c>
      <c r="BO54" s="134">
        <v>11</v>
      </c>
      <c r="BP54" s="134">
        <v>15</v>
      </c>
      <c r="BQ54" s="134">
        <v>10</v>
      </c>
      <c r="BR54" s="134">
        <v>150</v>
      </c>
      <c r="BS54" s="134">
        <v>160</v>
      </c>
      <c r="BT54" s="134">
        <v>22</v>
      </c>
      <c r="BU54" s="134">
        <v>294</v>
      </c>
      <c r="BV54" s="134">
        <v>316</v>
      </c>
      <c r="BW54" s="134">
        <v>1213</v>
      </c>
      <c r="BX54" s="134">
        <v>15962</v>
      </c>
      <c r="BY54" s="134">
        <v>17175</v>
      </c>
      <c r="BZ54" s="134">
        <v>1183</v>
      </c>
      <c r="CA54" s="134">
        <v>15691</v>
      </c>
      <c r="CB54" s="134">
        <v>16874</v>
      </c>
      <c r="CC54" s="134">
        <v>30326</v>
      </c>
      <c r="CD54" s="134">
        <v>19</v>
      </c>
      <c r="CE54" s="134">
        <v>286</v>
      </c>
      <c r="CF54" s="134">
        <v>30</v>
      </c>
      <c r="CG54" s="134">
        <v>228</v>
      </c>
      <c r="CH54" s="134">
        <v>258</v>
      </c>
      <c r="CI54" s="134">
        <v>56</v>
      </c>
      <c r="CJ54" s="134">
        <v>3</v>
      </c>
      <c r="CK54" s="134">
        <v>0</v>
      </c>
      <c r="CL54" s="134">
        <v>43</v>
      </c>
      <c r="CM54" s="134">
        <v>43</v>
      </c>
      <c r="CN54" s="134">
        <v>59</v>
      </c>
      <c r="CO54" s="134">
        <v>1400</v>
      </c>
      <c r="CP54" s="134">
        <v>1459</v>
      </c>
      <c r="CQ54" s="134">
        <v>0</v>
      </c>
      <c r="CR54" s="134">
        <v>0</v>
      </c>
      <c r="CS54" s="134">
        <v>0</v>
      </c>
      <c r="CT54" s="134">
        <v>1154</v>
      </c>
      <c r="CU54" s="134">
        <v>14562</v>
      </c>
      <c r="CV54" s="134">
        <v>15716</v>
      </c>
      <c r="CW54" s="134">
        <v>82</v>
      </c>
      <c r="CX54" s="134">
        <v>706</v>
      </c>
      <c r="CY54" s="134">
        <v>788</v>
      </c>
      <c r="CZ54" s="134">
        <v>78</v>
      </c>
      <c r="DA54" s="134">
        <v>1</v>
      </c>
      <c r="DB54" s="134">
        <v>0</v>
      </c>
      <c r="DC54" s="134">
        <v>658</v>
      </c>
      <c r="DD54" s="134">
        <v>14</v>
      </c>
      <c r="DE54" s="134">
        <v>3</v>
      </c>
      <c r="DF54" s="134">
        <v>79</v>
      </c>
      <c r="DG54" s="134">
        <v>675</v>
      </c>
      <c r="DH54" s="134">
        <v>754</v>
      </c>
      <c r="DI54" s="134">
        <v>3</v>
      </c>
      <c r="DJ54" s="134">
        <v>0</v>
      </c>
      <c r="DK54" s="134">
        <v>0</v>
      </c>
      <c r="DL54" s="134">
        <v>29</v>
      </c>
      <c r="DM54" s="134">
        <v>2</v>
      </c>
      <c r="DN54" s="134">
        <v>0</v>
      </c>
      <c r="DO54" s="134">
        <v>3</v>
      </c>
      <c r="DP54" s="134">
        <v>31</v>
      </c>
      <c r="DQ54" s="134">
        <v>34</v>
      </c>
      <c r="DR54" s="134">
        <v>0</v>
      </c>
      <c r="DS54" s="134">
        <v>3</v>
      </c>
      <c r="DT54" s="135">
        <v>3</v>
      </c>
      <c r="DU54" s="116"/>
      <c r="DV54" s="136"/>
      <c r="DX54" s="136"/>
      <c r="DY54" s="136"/>
    </row>
    <row r="55" spans="1:129" s="137" customFormat="1">
      <c r="A55" s="133" t="s">
        <v>324</v>
      </c>
      <c r="B55" s="134">
        <v>2804</v>
      </c>
      <c r="C55" s="134">
        <v>697</v>
      </c>
      <c r="D55" s="134">
        <v>2785</v>
      </c>
      <c r="E55" s="134">
        <v>1761</v>
      </c>
      <c r="F55" s="134">
        <v>5</v>
      </c>
      <c r="G55" s="134">
        <v>22</v>
      </c>
      <c r="H55" s="134">
        <v>27</v>
      </c>
      <c r="I55" s="134">
        <v>1</v>
      </c>
      <c r="J55" s="134">
        <v>929</v>
      </c>
      <c r="K55" s="134">
        <v>930</v>
      </c>
      <c r="L55" s="134">
        <v>1</v>
      </c>
      <c r="M55" s="134">
        <v>524</v>
      </c>
      <c r="N55" s="134">
        <v>525</v>
      </c>
      <c r="O55" s="134">
        <v>0</v>
      </c>
      <c r="P55" s="134">
        <v>405</v>
      </c>
      <c r="Q55" s="134">
        <v>405</v>
      </c>
      <c r="R55" s="134">
        <v>0</v>
      </c>
      <c r="S55" s="134">
        <v>10</v>
      </c>
      <c r="T55" s="134">
        <v>10</v>
      </c>
      <c r="U55" s="134">
        <v>0</v>
      </c>
      <c r="V55" s="134">
        <v>94</v>
      </c>
      <c r="W55" s="134">
        <v>94</v>
      </c>
      <c r="X55" s="134">
        <v>59</v>
      </c>
      <c r="Y55" s="134">
        <v>2726</v>
      </c>
      <c r="Z55" s="134">
        <v>2785</v>
      </c>
      <c r="AA55" s="134">
        <v>30</v>
      </c>
      <c r="AB55" s="134">
        <v>1202</v>
      </c>
      <c r="AC55" s="134">
        <v>1232</v>
      </c>
      <c r="AD55" s="134">
        <v>25</v>
      </c>
      <c r="AE55" s="134">
        <v>1149</v>
      </c>
      <c r="AF55" s="134">
        <v>1174</v>
      </c>
      <c r="AG55" s="134">
        <v>4</v>
      </c>
      <c r="AH55" s="134">
        <v>39</v>
      </c>
      <c r="AI55" s="134">
        <v>43</v>
      </c>
      <c r="AJ55" s="134">
        <v>1</v>
      </c>
      <c r="AK55" s="134">
        <v>14</v>
      </c>
      <c r="AL55" s="134">
        <v>15</v>
      </c>
      <c r="AM55" s="134">
        <v>29</v>
      </c>
      <c r="AN55" s="134">
        <v>1524</v>
      </c>
      <c r="AO55" s="134">
        <v>1553</v>
      </c>
      <c r="AP55" s="134">
        <v>4906</v>
      </c>
      <c r="AQ55" s="134">
        <v>32339</v>
      </c>
      <c r="AR55" s="134">
        <v>37245</v>
      </c>
      <c r="AS55" s="134">
        <v>4906</v>
      </c>
      <c r="AT55" s="134">
        <v>32339</v>
      </c>
      <c r="AU55" s="134">
        <v>37245</v>
      </c>
      <c r="AV55" s="134">
        <v>0</v>
      </c>
      <c r="AW55" s="134">
        <v>0</v>
      </c>
      <c r="AX55" s="134">
        <v>0</v>
      </c>
      <c r="AY55" s="134">
        <v>205</v>
      </c>
      <c r="AZ55" s="134">
        <v>2846</v>
      </c>
      <c r="BA55" s="134">
        <v>3051</v>
      </c>
      <c r="BB55" s="134">
        <v>76</v>
      </c>
      <c r="BC55" s="134">
        <v>0</v>
      </c>
      <c r="BD55" s="134">
        <v>1</v>
      </c>
      <c r="BE55" s="134">
        <v>1675</v>
      </c>
      <c r="BF55" s="134">
        <v>8</v>
      </c>
      <c r="BG55" s="134">
        <v>1</v>
      </c>
      <c r="BH55" s="134">
        <v>77</v>
      </c>
      <c r="BI55" s="134">
        <v>1684</v>
      </c>
      <c r="BJ55" s="134">
        <v>1761</v>
      </c>
      <c r="BK55" s="134">
        <v>-26</v>
      </c>
      <c r="BL55" s="134">
        <v>26</v>
      </c>
      <c r="BM55" s="134">
        <v>0</v>
      </c>
      <c r="BN55" s="134">
        <v>15</v>
      </c>
      <c r="BO55" s="134">
        <v>90</v>
      </c>
      <c r="BP55" s="134">
        <v>105</v>
      </c>
      <c r="BQ55" s="134">
        <v>31</v>
      </c>
      <c r="BR55" s="134">
        <v>488</v>
      </c>
      <c r="BS55" s="134">
        <v>519</v>
      </c>
      <c r="BT55" s="134">
        <v>108</v>
      </c>
      <c r="BU55" s="134">
        <v>558</v>
      </c>
      <c r="BV55" s="134">
        <v>666</v>
      </c>
      <c r="BW55" s="134">
        <v>5111</v>
      </c>
      <c r="BX55" s="134">
        <v>35185</v>
      </c>
      <c r="BY55" s="134">
        <v>40296</v>
      </c>
      <c r="BZ55" s="134">
        <v>5078</v>
      </c>
      <c r="CA55" s="134">
        <v>34983</v>
      </c>
      <c r="CB55" s="134">
        <v>40061</v>
      </c>
      <c r="CC55" s="134">
        <v>83415</v>
      </c>
      <c r="CD55" s="134">
        <v>13</v>
      </c>
      <c r="CE55" s="134">
        <v>225</v>
      </c>
      <c r="CF55" s="134">
        <v>32</v>
      </c>
      <c r="CG55" s="134">
        <v>175</v>
      </c>
      <c r="CH55" s="134">
        <v>207</v>
      </c>
      <c r="CI55" s="134">
        <v>30</v>
      </c>
      <c r="CJ55" s="134">
        <v>5</v>
      </c>
      <c r="CK55" s="134">
        <v>1</v>
      </c>
      <c r="CL55" s="134">
        <v>27</v>
      </c>
      <c r="CM55" s="134">
        <v>28</v>
      </c>
      <c r="CN55" s="134">
        <v>295</v>
      </c>
      <c r="CO55" s="134">
        <v>3257</v>
      </c>
      <c r="CP55" s="134">
        <v>3552</v>
      </c>
      <c r="CQ55" s="134">
        <v>0</v>
      </c>
      <c r="CR55" s="134">
        <v>0</v>
      </c>
      <c r="CS55" s="134">
        <v>0</v>
      </c>
      <c r="CT55" s="134">
        <v>4816</v>
      </c>
      <c r="CU55" s="134">
        <v>31928</v>
      </c>
      <c r="CV55" s="134">
        <v>36744</v>
      </c>
      <c r="CW55" s="134">
        <v>371</v>
      </c>
      <c r="CX55" s="134">
        <v>1397</v>
      </c>
      <c r="CY55" s="134">
        <v>1768</v>
      </c>
      <c r="CZ55" s="134">
        <v>370</v>
      </c>
      <c r="DA55" s="134">
        <v>1</v>
      </c>
      <c r="DB55" s="134">
        <v>0</v>
      </c>
      <c r="DC55" s="134">
        <v>1379</v>
      </c>
      <c r="DD55" s="134">
        <v>10</v>
      </c>
      <c r="DE55" s="134">
        <v>0</v>
      </c>
      <c r="DF55" s="134">
        <v>371</v>
      </c>
      <c r="DG55" s="134">
        <v>1389</v>
      </c>
      <c r="DH55" s="134">
        <v>1760</v>
      </c>
      <c r="DI55" s="134">
        <v>0</v>
      </c>
      <c r="DJ55" s="134">
        <v>0</v>
      </c>
      <c r="DK55" s="134">
        <v>0</v>
      </c>
      <c r="DL55" s="134">
        <v>8</v>
      </c>
      <c r="DM55" s="134">
        <v>0</v>
      </c>
      <c r="DN55" s="134">
        <v>0</v>
      </c>
      <c r="DO55" s="134">
        <v>0</v>
      </c>
      <c r="DP55" s="134">
        <v>8</v>
      </c>
      <c r="DQ55" s="134">
        <v>8</v>
      </c>
      <c r="DR55" s="134">
        <v>0</v>
      </c>
      <c r="DS55" s="134">
        <v>0</v>
      </c>
      <c r="DT55" s="135">
        <v>0</v>
      </c>
      <c r="DU55" s="116"/>
      <c r="DV55" s="136"/>
      <c r="DX55" s="136"/>
      <c r="DY55" s="136"/>
    </row>
    <row r="56" spans="1:129" s="137" customFormat="1">
      <c r="A56" s="133" t="s">
        <v>325</v>
      </c>
      <c r="B56" s="134">
        <v>345</v>
      </c>
      <c r="C56" s="134">
        <v>95</v>
      </c>
      <c r="D56" s="134">
        <v>349</v>
      </c>
      <c r="E56" s="134">
        <v>186</v>
      </c>
      <c r="F56" s="134">
        <v>0</v>
      </c>
      <c r="G56" s="134">
        <v>2</v>
      </c>
      <c r="H56" s="134">
        <v>2</v>
      </c>
      <c r="I56" s="134">
        <v>0</v>
      </c>
      <c r="J56" s="134">
        <v>143</v>
      </c>
      <c r="K56" s="134">
        <v>143</v>
      </c>
      <c r="L56" s="134">
        <v>0</v>
      </c>
      <c r="M56" s="134">
        <v>62</v>
      </c>
      <c r="N56" s="134">
        <v>62</v>
      </c>
      <c r="O56" s="134">
        <v>0</v>
      </c>
      <c r="P56" s="134">
        <v>81</v>
      </c>
      <c r="Q56" s="134">
        <v>81</v>
      </c>
      <c r="R56" s="134">
        <v>0</v>
      </c>
      <c r="S56" s="134">
        <v>3</v>
      </c>
      <c r="T56" s="134">
        <v>3</v>
      </c>
      <c r="U56" s="134">
        <v>0</v>
      </c>
      <c r="V56" s="134">
        <v>20</v>
      </c>
      <c r="W56" s="134">
        <v>20</v>
      </c>
      <c r="X56" s="134">
        <v>7</v>
      </c>
      <c r="Y56" s="134">
        <v>342</v>
      </c>
      <c r="Z56" s="134">
        <v>349</v>
      </c>
      <c r="AA56" s="134">
        <v>5</v>
      </c>
      <c r="AB56" s="134">
        <v>137</v>
      </c>
      <c r="AC56" s="134">
        <v>142</v>
      </c>
      <c r="AD56" s="134">
        <v>4</v>
      </c>
      <c r="AE56" s="134">
        <v>127</v>
      </c>
      <c r="AF56" s="134">
        <v>131</v>
      </c>
      <c r="AG56" s="134">
        <v>1</v>
      </c>
      <c r="AH56" s="134">
        <v>8</v>
      </c>
      <c r="AI56" s="134">
        <v>9</v>
      </c>
      <c r="AJ56" s="134">
        <v>0</v>
      </c>
      <c r="AK56" s="134">
        <v>2</v>
      </c>
      <c r="AL56" s="134">
        <v>2</v>
      </c>
      <c r="AM56" s="134">
        <v>2</v>
      </c>
      <c r="AN56" s="134">
        <v>205</v>
      </c>
      <c r="AO56" s="134">
        <v>207</v>
      </c>
      <c r="AP56" s="134">
        <v>666</v>
      </c>
      <c r="AQ56" s="134">
        <v>4391</v>
      </c>
      <c r="AR56" s="134">
        <v>5057</v>
      </c>
      <c r="AS56" s="134">
        <v>666</v>
      </c>
      <c r="AT56" s="134">
        <v>4391</v>
      </c>
      <c r="AU56" s="134">
        <v>5057</v>
      </c>
      <c r="AV56" s="134">
        <v>0</v>
      </c>
      <c r="AW56" s="134">
        <v>0</v>
      </c>
      <c r="AX56" s="134">
        <v>0</v>
      </c>
      <c r="AY56" s="134">
        <v>24</v>
      </c>
      <c r="AZ56" s="134">
        <v>439</v>
      </c>
      <c r="BA56" s="134">
        <v>463</v>
      </c>
      <c r="BB56" s="134">
        <v>7</v>
      </c>
      <c r="BC56" s="134">
        <v>0</v>
      </c>
      <c r="BD56" s="134">
        <v>0</v>
      </c>
      <c r="BE56" s="134">
        <v>176</v>
      </c>
      <c r="BF56" s="134">
        <v>3</v>
      </c>
      <c r="BG56" s="134">
        <v>0</v>
      </c>
      <c r="BH56" s="134">
        <v>7</v>
      </c>
      <c r="BI56" s="134">
        <v>179</v>
      </c>
      <c r="BJ56" s="134">
        <v>186</v>
      </c>
      <c r="BK56" s="134">
        <v>-12</v>
      </c>
      <c r="BL56" s="134">
        <v>12</v>
      </c>
      <c r="BM56" s="134">
        <v>0</v>
      </c>
      <c r="BN56" s="134">
        <v>5</v>
      </c>
      <c r="BO56" s="134">
        <v>27</v>
      </c>
      <c r="BP56" s="134">
        <v>32</v>
      </c>
      <c r="BQ56" s="134">
        <v>2</v>
      </c>
      <c r="BR56" s="134">
        <v>84</v>
      </c>
      <c r="BS56" s="134">
        <v>86</v>
      </c>
      <c r="BT56" s="134">
        <v>22</v>
      </c>
      <c r="BU56" s="134">
        <v>137</v>
      </c>
      <c r="BV56" s="134">
        <v>159</v>
      </c>
      <c r="BW56" s="134">
        <v>690</v>
      </c>
      <c r="BX56" s="134">
        <v>4830</v>
      </c>
      <c r="BY56" s="134">
        <v>5520</v>
      </c>
      <c r="BZ56" s="134">
        <v>675</v>
      </c>
      <c r="CA56" s="134">
        <v>4781</v>
      </c>
      <c r="CB56" s="134">
        <v>5456</v>
      </c>
      <c r="CC56" s="134">
        <v>12571</v>
      </c>
      <c r="CD56" s="134">
        <v>4</v>
      </c>
      <c r="CE56" s="134">
        <v>58</v>
      </c>
      <c r="CF56" s="134">
        <v>14</v>
      </c>
      <c r="CG56" s="134">
        <v>38</v>
      </c>
      <c r="CH56" s="134">
        <v>52</v>
      </c>
      <c r="CI56" s="134">
        <v>14</v>
      </c>
      <c r="CJ56" s="134">
        <v>2</v>
      </c>
      <c r="CK56" s="134">
        <v>1</v>
      </c>
      <c r="CL56" s="134">
        <v>11</v>
      </c>
      <c r="CM56" s="134">
        <v>12</v>
      </c>
      <c r="CN56" s="134">
        <v>53</v>
      </c>
      <c r="CO56" s="134">
        <v>442</v>
      </c>
      <c r="CP56" s="134">
        <v>495</v>
      </c>
      <c r="CQ56" s="134">
        <v>0</v>
      </c>
      <c r="CR56" s="134">
        <v>0</v>
      </c>
      <c r="CS56" s="134">
        <v>0</v>
      </c>
      <c r="CT56" s="134">
        <v>637</v>
      </c>
      <c r="CU56" s="134">
        <v>4388</v>
      </c>
      <c r="CV56" s="134">
        <v>5025</v>
      </c>
      <c r="CW56" s="134">
        <v>44</v>
      </c>
      <c r="CX56" s="134">
        <v>226</v>
      </c>
      <c r="CY56" s="134">
        <v>270</v>
      </c>
      <c r="CZ56" s="134">
        <v>41</v>
      </c>
      <c r="DA56" s="134">
        <v>2</v>
      </c>
      <c r="DB56" s="134">
        <v>0</v>
      </c>
      <c r="DC56" s="134">
        <v>214</v>
      </c>
      <c r="DD56" s="134">
        <v>2</v>
      </c>
      <c r="DE56" s="134">
        <v>0</v>
      </c>
      <c r="DF56" s="134">
        <v>43</v>
      </c>
      <c r="DG56" s="134">
        <v>216</v>
      </c>
      <c r="DH56" s="134">
        <v>259</v>
      </c>
      <c r="DI56" s="134">
        <v>1</v>
      </c>
      <c r="DJ56" s="134">
        <v>0</v>
      </c>
      <c r="DK56" s="134">
        <v>0</v>
      </c>
      <c r="DL56" s="134">
        <v>10</v>
      </c>
      <c r="DM56" s="134">
        <v>0</v>
      </c>
      <c r="DN56" s="134">
        <v>0</v>
      </c>
      <c r="DO56" s="134">
        <v>1</v>
      </c>
      <c r="DP56" s="134">
        <v>10</v>
      </c>
      <c r="DQ56" s="134">
        <v>11</v>
      </c>
      <c r="DR56" s="134">
        <v>0</v>
      </c>
      <c r="DS56" s="134">
        <v>0</v>
      </c>
      <c r="DT56" s="135">
        <v>0</v>
      </c>
      <c r="DU56" s="116"/>
      <c r="DV56" s="136"/>
      <c r="DX56" s="136"/>
      <c r="DY56" s="136"/>
    </row>
    <row r="57" spans="1:129" s="137" customFormat="1">
      <c r="A57" s="133" t="s">
        <v>326</v>
      </c>
      <c r="B57" s="134">
        <v>408</v>
      </c>
      <c r="C57" s="134">
        <v>70</v>
      </c>
      <c r="D57" s="134">
        <v>334</v>
      </c>
      <c r="E57" s="134">
        <v>196</v>
      </c>
      <c r="F57" s="134">
        <v>1</v>
      </c>
      <c r="G57" s="134">
        <v>15</v>
      </c>
      <c r="H57" s="134">
        <v>16</v>
      </c>
      <c r="I57" s="134">
        <v>0</v>
      </c>
      <c r="J57" s="134">
        <v>117</v>
      </c>
      <c r="K57" s="134">
        <v>117</v>
      </c>
      <c r="L57" s="134">
        <v>0</v>
      </c>
      <c r="M57" s="134">
        <v>24</v>
      </c>
      <c r="N57" s="134">
        <v>24</v>
      </c>
      <c r="O57" s="134">
        <v>0</v>
      </c>
      <c r="P57" s="134">
        <v>93</v>
      </c>
      <c r="Q57" s="134">
        <v>93</v>
      </c>
      <c r="R57" s="134">
        <v>0</v>
      </c>
      <c r="S57" s="134">
        <v>4</v>
      </c>
      <c r="T57" s="134">
        <v>4</v>
      </c>
      <c r="U57" s="134">
        <v>0</v>
      </c>
      <c r="V57" s="134">
        <v>21</v>
      </c>
      <c r="W57" s="134">
        <v>21</v>
      </c>
      <c r="X57" s="134">
        <v>3</v>
      </c>
      <c r="Y57" s="134">
        <v>331</v>
      </c>
      <c r="Z57" s="134">
        <v>334</v>
      </c>
      <c r="AA57" s="134">
        <v>2</v>
      </c>
      <c r="AB57" s="134">
        <v>140</v>
      </c>
      <c r="AC57" s="134">
        <v>142</v>
      </c>
      <c r="AD57" s="134">
        <v>2</v>
      </c>
      <c r="AE57" s="134">
        <v>134</v>
      </c>
      <c r="AF57" s="134">
        <v>136</v>
      </c>
      <c r="AG57" s="134">
        <v>0</v>
      </c>
      <c r="AH57" s="134">
        <v>5</v>
      </c>
      <c r="AI57" s="134">
        <v>5</v>
      </c>
      <c r="AJ57" s="134">
        <v>0</v>
      </c>
      <c r="AK57" s="134">
        <v>1</v>
      </c>
      <c r="AL57" s="134">
        <v>1</v>
      </c>
      <c r="AM57" s="134">
        <v>1</v>
      </c>
      <c r="AN57" s="134">
        <v>191</v>
      </c>
      <c r="AO57" s="134">
        <v>192</v>
      </c>
      <c r="AP57" s="134">
        <v>451</v>
      </c>
      <c r="AQ57" s="134">
        <v>3529</v>
      </c>
      <c r="AR57" s="134">
        <v>3980</v>
      </c>
      <c r="AS57" s="134">
        <v>451</v>
      </c>
      <c r="AT57" s="134">
        <v>3529</v>
      </c>
      <c r="AU57" s="134">
        <v>3980</v>
      </c>
      <c r="AV57" s="134">
        <v>0</v>
      </c>
      <c r="AW57" s="134">
        <v>0</v>
      </c>
      <c r="AX57" s="134">
        <v>0</v>
      </c>
      <c r="AY57" s="134">
        <v>-10</v>
      </c>
      <c r="AZ57" s="134">
        <v>384</v>
      </c>
      <c r="BA57" s="134">
        <v>374</v>
      </c>
      <c r="BB57" s="134">
        <v>5</v>
      </c>
      <c r="BC57" s="134">
        <v>0</v>
      </c>
      <c r="BD57" s="134">
        <v>0</v>
      </c>
      <c r="BE57" s="134">
        <v>191</v>
      </c>
      <c r="BF57" s="134">
        <v>0</v>
      </c>
      <c r="BG57" s="134">
        <v>0</v>
      </c>
      <c r="BH57" s="134">
        <v>5</v>
      </c>
      <c r="BI57" s="134">
        <v>191</v>
      </c>
      <c r="BJ57" s="134">
        <v>196</v>
      </c>
      <c r="BK57" s="134">
        <v>-23</v>
      </c>
      <c r="BL57" s="134">
        <v>23</v>
      </c>
      <c r="BM57" s="134">
        <v>0</v>
      </c>
      <c r="BN57" s="134">
        <v>1</v>
      </c>
      <c r="BO57" s="134">
        <v>20</v>
      </c>
      <c r="BP57" s="134">
        <v>21</v>
      </c>
      <c r="BQ57" s="134">
        <v>3</v>
      </c>
      <c r="BR57" s="134">
        <v>42</v>
      </c>
      <c r="BS57" s="134">
        <v>45</v>
      </c>
      <c r="BT57" s="134">
        <v>4</v>
      </c>
      <c r="BU57" s="134">
        <v>108</v>
      </c>
      <c r="BV57" s="134">
        <v>112</v>
      </c>
      <c r="BW57" s="134">
        <v>441</v>
      </c>
      <c r="BX57" s="134">
        <v>3913</v>
      </c>
      <c r="BY57" s="134">
        <v>4354</v>
      </c>
      <c r="BZ57" s="134">
        <v>441</v>
      </c>
      <c r="CA57" s="134">
        <v>3902</v>
      </c>
      <c r="CB57" s="134">
        <v>4343</v>
      </c>
      <c r="CC57" s="134">
        <v>9379</v>
      </c>
      <c r="CD57" s="134">
        <v>0</v>
      </c>
      <c r="CE57" s="134">
        <v>10</v>
      </c>
      <c r="CF57" s="134">
        <v>0</v>
      </c>
      <c r="CG57" s="134">
        <v>10</v>
      </c>
      <c r="CH57" s="134">
        <v>10</v>
      </c>
      <c r="CI57" s="134">
        <v>1</v>
      </c>
      <c r="CJ57" s="134">
        <v>0</v>
      </c>
      <c r="CK57" s="134">
        <v>0</v>
      </c>
      <c r="CL57" s="134">
        <v>1</v>
      </c>
      <c r="CM57" s="134">
        <v>1</v>
      </c>
      <c r="CN57" s="134">
        <v>18</v>
      </c>
      <c r="CO57" s="134">
        <v>353</v>
      </c>
      <c r="CP57" s="134">
        <v>371</v>
      </c>
      <c r="CQ57" s="134">
        <v>0</v>
      </c>
      <c r="CR57" s="134">
        <v>5</v>
      </c>
      <c r="CS57" s="134">
        <v>5</v>
      </c>
      <c r="CT57" s="134">
        <v>423</v>
      </c>
      <c r="CU57" s="134">
        <v>3560</v>
      </c>
      <c r="CV57" s="134">
        <v>3983</v>
      </c>
      <c r="CW57" s="134">
        <v>28</v>
      </c>
      <c r="CX57" s="134">
        <v>168</v>
      </c>
      <c r="CY57" s="134">
        <v>196</v>
      </c>
      <c r="CZ57" s="134">
        <v>28</v>
      </c>
      <c r="DA57" s="134">
        <v>0</v>
      </c>
      <c r="DB57" s="134">
        <v>0</v>
      </c>
      <c r="DC57" s="134">
        <v>164</v>
      </c>
      <c r="DD57" s="134">
        <v>0</v>
      </c>
      <c r="DE57" s="134">
        <v>0</v>
      </c>
      <c r="DF57" s="134">
        <v>28</v>
      </c>
      <c r="DG57" s="134">
        <v>164</v>
      </c>
      <c r="DH57" s="134">
        <v>192</v>
      </c>
      <c r="DI57" s="134">
        <v>0</v>
      </c>
      <c r="DJ57" s="134">
        <v>0</v>
      </c>
      <c r="DK57" s="134">
        <v>0</v>
      </c>
      <c r="DL57" s="134">
        <v>4</v>
      </c>
      <c r="DM57" s="134">
        <v>0</v>
      </c>
      <c r="DN57" s="134">
        <v>0</v>
      </c>
      <c r="DO57" s="134">
        <v>0</v>
      </c>
      <c r="DP57" s="134">
        <v>4</v>
      </c>
      <c r="DQ57" s="134">
        <v>4</v>
      </c>
      <c r="DR57" s="134">
        <v>0</v>
      </c>
      <c r="DS57" s="134">
        <v>0</v>
      </c>
      <c r="DT57" s="135">
        <v>0</v>
      </c>
      <c r="DU57" s="116"/>
      <c r="DV57" s="136"/>
      <c r="DX57" s="136"/>
      <c r="DY57" s="136"/>
    </row>
    <row r="58" spans="1:129" s="137" customFormat="1">
      <c r="A58" s="133" t="s">
        <v>327</v>
      </c>
      <c r="B58" s="134">
        <v>75</v>
      </c>
      <c r="C58" s="134">
        <v>7</v>
      </c>
      <c r="D58" s="134">
        <v>68</v>
      </c>
      <c r="E58" s="134">
        <v>40</v>
      </c>
      <c r="F58" s="134">
        <v>0</v>
      </c>
      <c r="G58" s="134">
        <v>2</v>
      </c>
      <c r="H58" s="134">
        <v>2</v>
      </c>
      <c r="I58" s="134">
        <v>0</v>
      </c>
      <c r="J58" s="134">
        <v>28</v>
      </c>
      <c r="K58" s="134">
        <v>28</v>
      </c>
      <c r="L58" s="134">
        <v>0</v>
      </c>
      <c r="M58" s="134">
        <v>10</v>
      </c>
      <c r="N58" s="134">
        <v>10</v>
      </c>
      <c r="O58" s="134">
        <v>0</v>
      </c>
      <c r="P58" s="134">
        <v>18</v>
      </c>
      <c r="Q58" s="134">
        <v>18</v>
      </c>
      <c r="R58" s="134">
        <v>0</v>
      </c>
      <c r="S58" s="134">
        <v>0</v>
      </c>
      <c r="T58" s="134">
        <v>0</v>
      </c>
      <c r="U58" s="134">
        <v>0</v>
      </c>
      <c r="V58" s="134">
        <v>0</v>
      </c>
      <c r="W58" s="134">
        <v>0</v>
      </c>
      <c r="X58" s="134">
        <v>1</v>
      </c>
      <c r="Y58" s="134">
        <v>67</v>
      </c>
      <c r="Z58" s="134">
        <v>68</v>
      </c>
      <c r="AA58" s="134">
        <v>0</v>
      </c>
      <c r="AB58" s="134">
        <v>28</v>
      </c>
      <c r="AC58" s="134">
        <v>28</v>
      </c>
      <c r="AD58" s="134">
        <v>0</v>
      </c>
      <c r="AE58" s="134">
        <v>17</v>
      </c>
      <c r="AF58" s="134">
        <v>17</v>
      </c>
      <c r="AG58" s="134">
        <v>0</v>
      </c>
      <c r="AH58" s="134">
        <v>9</v>
      </c>
      <c r="AI58" s="134">
        <v>9</v>
      </c>
      <c r="AJ58" s="134">
        <v>0</v>
      </c>
      <c r="AK58" s="134">
        <v>2</v>
      </c>
      <c r="AL58" s="134">
        <v>2</v>
      </c>
      <c r="AM58" s="134">
        <v>1</v>
      </c>
      <c r="AN58" s="134">
        <v>39</v>
      </c>
      <c r="AO58" s="134">
        <v>40</v>
      </c>
      <c r="AP58" s="134">
        <v>59</v>
      </c>
      <c r="AQ58" s="134">
        <v>821</v>
      </c>
      <c r="AR58" s="134">
        <v>880</v>
      </c>
      <c r="AS58" s="134">
        <v>59</v>
      </c>
      <c r="AT58" s="134">
        <v>821</v>
      </c>
      <c r="AU58" s="134">
        <v>880</v>
      </c>
      <c r="AV58" s="134">
        <v>0</v>
      </c>
      <c r="AW58" s="134">
        <v>0</v>
      </c>
      <c r="AX58" s="134">
        <v>0</v>
      </c>
      <c r="AY58" s="134">
        <v>5</v>
      </c>
      <c r="AZ58" s="134">
        <v>81</v>
      </c>
      <c r="BA58" s="134">
        <v>86</v>
      </c>
      <c r="BB58" s="134">
        <v>1</v>
      </c>
      <c r="BC58" s="134">
        <v>0</v>
      </c>
      <c r="BD58" s="134">
        <v>0</v>
      </c>
      <c r="BE58" s="134">
        <v>39</v>
      </c>
      <c r="BF58" s="134">
        <v>0</v>
      </c>
      <c r="BG58" s="134">
        <v>0</v>
      </c>
      <c r="BH58" s="134">
        <v>1</v>
      </c>
      <c r="BI58" s="134">
        <v>39</v>
      </c>
      <c r="BJ58" s="134">
        <v>40</v>
      </c>
      <c r="BK58" s="134">
        <v>4</v>
      </c>
      <c r="BL58" s="134">
        <v>-4</v>
      </c>
      <c r="BM58" s="134">
        <v>0</v>
      </c>
      <c r="BN58" s="134">
        <v>0</v>
      </c>
      <c r="BO58" s="134">
        <v>4</v>
      </c>
      <c r="BP58" s="134">
        <v>4</v>
      </c>
      <c r="BQ58" s="134">
        <v>0</v>
      </c>
      <c r="BR58" s="134">
        <v>22</v>
      </c>
      <c r="BS58" s="134">
        <v>22</v>
      </c>
      <c r="BT58" s="134">
        <v>0</v>
      </c>
      <c r="BU58" s="134">
        <v>20</v>
      </c>
      <c r="BV58" s="134">
        <v>20</v>
      </c>
      <c r="BW58" s="134">
        <v>64</v>
      </c>
      <c r="BX58" s="134">
        <v>902</v>
      </c>
      <c r="BY58" s="134">
        <v>966</v>
      </c>
      <c r="BZ58" s="134">
        <v>64</v>
      </c>
      <c r="CA58" s="134">
        <v>900</v>
      </c>
      <c r="CB58" s="134">
        <v>964</v>
      </c>
      <c r="CC58" s="134">
        <v>1685</v>
      </c>
      <c r="CD58" s="134">
        <v>0</v>
      </c>
      <c r="CE58" s="134">
        <v>2</v>
      </c>
      <c r="CF58" s="134">
        <v>0</v>
      </c>
      <c r="CG58" s="134">
        <v>2</v>
      </c>
      <c r="CH58" s="134">
        <v>2</v>
      </c>
      <c r="CI58" s="134">
        <v>0</v>
      </c>
      <c r="CJ58" s="134">
        <v>0</v>
      </c>
      <c r="CK58" s="134">
        <v>0</v>
      </c>
      <c r="CL58" s="134">
        <v>0</v>
      </c>
      <c r="CM58" s="134">
        <v>0</v>
      </c>
      <c r="CN58" s="134">
        <v>1</v>
      </c>
      <c r="CO58" s="134">
        <v>109</v>
      </c>
      <c r="CP58" s="134">
        <v>110</v>
      </c>
      <c r="CQ58" s="134">
        <v>0</v>
      </c>
      <c r="CR58" s="134">
        <v>0</v>
      </c>
      <c r="CS58" s="134">
        <v>0</v>
      </c>
      <c r="CT58" s="134">
        <v>63</v>
      </c>
      <c r="CU58" s="134">
        <v>793</v>
      </c>
      <c r="CV58" s="134">
        <v>856</v>
      </c>
      <c r="CW58" s="134">
        <v>2</v>
      </c>
      <c r="CX58" s="134">
        <v>25</v>
      </c>
      <c r="CY58" s="134">
        <v>27</v>
      </c>
      <c r="CZ58" s="134">
        <v>2</v>
      </c>
      <c r="DA58" s="134">
        <v>0</v>
      </c>
      <c r="DB58" s="134">
        <v>0</v>
      </c>
      <c r="DC58" s="134">
        <v>25</v>
      </c>
      <c r="DD58" s="134">
        <v>0</v>
      </c>
      <c r="DE58" s="134">
        <v>0</v>
      </c>
      <c r="DF58" s="134">
        <v>2</v>
      </c>
      <c r="DG58" s="134">
        <v>25</v>
      </c>
      <c r="DH58" s="134">
        <v>27</v>
      </c>
      <c r="DI58" s="134">
        <v>0</v>
      </c>
      <c r="DJ58" s="134">
        <v>0</v>
      </c>
      <c r="DK58" s="134">
        <v>0</v>
      </c>
      <c r="DL58" s="134">
        <v>0</v>
      </c>
      <c r="DM58" s="134">
        <v>0</v>
      </c>
      <c r="DN58" s="134">
        <v>0</v>
      </c>
      <c r="DO58" s="134">
        <v>0</v>
      </c>
      <c r="DP58" s="134">
        <v>0</v>
      </c>
      <c r="DQ58" s="134">
        <v>0</v>
      </c>
      <c r="DR58" s="134">
        <v>0</v>
      </c>
      <c r="DS58" s="134">
        <v>0</v>
      </c>
      <c r="DT58" s="135">
        <v>0</v>
      </c>
      <c r="DU58" s="116"/>
      <c r="DV58" s="136"/>
      <c r="DX58" s="136"/>
      <c r="DY58" s="136"/>
    </row>
    <row r="59" spans="1:129" s="137" customFormat="1">
      <c r="A59" s="133" t="s">
        <v>328</v>
      </c>
      <c r="B59" s="134">
        <v>2676</v>
      </c>
      <c r="C59" s="134">
        <v>384</v>
      </c>
      <c r="D59" s="134">
        <v>2352</v>
      </c>
      <c r="E59" s="134">
        <v>1855</v>
      </c>
      <c r="F59" s="134">
        <v>5</v>
      </c>
      <c r="G59" s="134">
        <v>27</v>
      </c>
      <c r="H59" s="134">
        <v>32</v>
      </c>
      <c r="I59" s="134">
        <v>0</v>
      </c>
      <c r="J59" s="134">
        <v>432</v>
      </c>
      <c r="K59" s="134">
        <v>432</v>
      </c>
      <c r="L59" s="134">
        <v>0</v>
      </c>
      <c r="M59" s="134">
        <v>371</v>
      </c>
      <c r="N59" s="134">
        <v>371</v>
      </c>
      <c r="O59" s="134">
        <v>0</v>
      </c>
      <c r="P59" s="134">
        <v>61</v>
      </c>
      <c r="Q59" s="134">
        <v>61</v>
      </c>
      <c r="R59" s="134">
        <v>0</v>
      </c>
      <c r="S59" s="134">
        <v>38</v>
      </c>
      <c r="T59" s="134">
        <v>38</v>
      </c>
      <c r="U59" s="134">
        <v>0</v>
      </c>
      <c r="V59" s="134">
        <v>65</v>
      </c>
      <c r="W59" s="134">
        <v>65</v>
      </c>
      <c r="X59" s="134">
        <v>41</v>
      </c>
      <c r="Y59" s="134">
        <v>1510</v>
      </c>
      <c r="Z59" s="134">
        <v>1551</v>
      </c>
      <c r="AA59" s="134">
        <v>11</v>
      </c>
      <c r="AB59" s="134">
        <v>791</v>
      </c>
      <c r="AC59" s="134">
        <v>802</v>
      </c>
      <c r="AD59" s="134">
        <v>10</v>
      </c>
      <c r="AE59" s="134">
        <v>728</v>
      </c>
      <c r="AF59" s="134">
        <v>738</v>
      </c>
      <c r="AG59" s="134">
        <v>1</v>
      </c>
      <c r="AH59" s="134">
        <v>52</v>
      </c>
      <c r="AI59" s="134">
        <v>53</v>
      </c>
      <c r="AJ59" s="134">
        <v>0</v>
      </c>
      <c r="AK59" s="134">
        <v>11</v>
      </c>
      <c r="AL59" s="134">
        <v>11</v>
      </c>
      <c r="AM59" s="134">
        <v>30</v>
      </c>
      <c r="AN59" s="134">
        <v>719</v>
      </c>
      <c r="AO59" s="134">
        <v>749</v>
      </c>
      <c r="AP59" s="134">
        <v>7048</v>
      </c>
      <c r="AQ59" s="134">
        <v>43564</v>
      </c>
      <c r="AR59" s="134">
        <v>50612</v>
      </c>
      <c r="AS59" s="134">
        <v>7085</v>
      </c>
      <c r="AT59" s="134">
        <v>43688</v>
      </c>
      <c r="AU59" s="134">
        <v>50773</v>
      </c>
      <c r="AV59" s="134">
        <v>-37</v>
      </c>
      <c r="AW59" s="134">
        <v>-124</v>
      </c>
      <c r="AX59" s="134">
        <v>-161</v>
      </c>
      <c r="AY59" s="134">
        <v>369</v>
      </c>
      <c r="AZ59" s="134">
        <v>3691</v>
      </c>
      <c r="BA59" s="134">
        <v>4060</v>
      </c>
      <c r="BB59" s="134">
        <v>135</v>
      </c>
      <c r="BC59" s="134">
        <v>1</v>
      </c>
      <c r="BD59" s="134">
        <v>0</v>
      </c>
      <c r="BE59" s="134">
        <v>1675</v>
      </c>
      <c r="BF59" s="134">
        <v>30</v>
      </c>
      <c r="BG59" s="134">
        <v>14</v>
      </c>
      <c r="BH59" s="134">
        <v>136</v>
      </c>
      <c r="BI59" s="134">
        <v>1719</v>
      </c>
      <c r="BJ59" s="134">
        <v>1855</v>
      </c>
      <c r="BK59" s="134">
        <v>-32</v>
      </c>
      <c r="BL59" s="134">
        <v>32</v>
      </c>
      <c r="BM59" s="134">
        <v>0</v>
      </c>
      <c r="BN59" s="134">
        <v>19</v>
      </c>
      <c r="BO59" s="134">
        <v>52</v>
      </c>
      <c r="BP59" s="134">
        <v>71</v>
      </c>
      <c r="BQ59" s="134">
        <v>38</v>
      </c>
      <c r="BR59" s="134">
        <v>487</v>
      </c>
      <c r="BS59" s="134">
        <v>525</v>
      </c>
      <c r="BT59" s="134">
        <v>208</v>
      </c>
      <c r="BU59" s="134">
        <v>1401</v>
      </c>
      <c r="BV59" s="134">
        <v>1609</v>
      </c>
      <c r="BW59" s="134">
        <v>7417</v>
      </c>
      <c r="BX59" s="134">
        <v>47255</v>
      </c>
      <c r="BY59" s="134">
        <v>54672</v>
      </c>
      <c r="BZ59" s="134">
        <v>7354</v>
      </c>
      <c r="CA59" s="134">
        <v>46340</v>
      </c>
      <c r="CB59" s="134">
        <v>53694</v>
      </c>
      <c r="CC59" s="134">
        <v>118293</v>
      </c>
      <c r="CD59" s="134">
        <v>120</v>
      </c>
      <c r="CE59" s="134">
        <v>888</v>
      </c>
      <c r="CF59" s="134">
        <v>62</v>
      </c>
      <c r="CG59" s="134">
        <v>709</v>
      </c>
      <c r="CH59" s="134">
        <v>771</v>
      </c>
      <c r="CI59" s="134">
        <v>253</v>
      </c>
      <c r="CJ59" s="134">
        <v>2</v>
      </c>
      <c r="CK59" s="134">
        <v>1</v>
      </c>
      <c r="CL59" s="134">
        <v>206</v>
      </c>
      <c r="CM59" s="134">
        <v>207</v>
      </c>
      <c r="CN59" s="134">
        <v>400</v>
      </c>
      <c r="CO59" s="134">
        <v>3809</v>
      </c>
      <c r="CP59" s="134">
        <v>4209</v>
      </c>
      <c r="CQ59" s="134">
        <v>0</v>
      </c>
      <c r="CR59" s="134">
        <v>0</v>
      </c>
      <c r="CS59" s="134">
        <v>0</v>
      </c>
      <c r="CT59" s="134">
        <v>7017</v>
      </c>
      <c r="CU59" s="134">
        <v>43446</v>
      </c>
      <c r="CV59" s="134">
        <v>50463</v>
      </c>
      <c r="CW59" s="134">
        <v>454</v>
      </c>
      <c r="CX59" s="134">
        <v>2315</v>
      </c>
      <c r="CY59" s="134">
        <v>2769</v>
      </c>
      <c r="CZ59" s="134">
        <v>445</v>
      </c>
      <c r="DA59" s="134">
        <v>3</v>
      </c>
      <c r="DB59" s="134">
        <v>0</v>
      </c>
      <c r="DC59" s="134">
        <v>2198</v>
      </c>
      <c r="DD59" s="134">
        <v>32</v>
      </c>
      <c r="DE59" s="134">
        <v>3</v>
      </c>
      <c r="DF59" s="134">
        <v>448</v>
      </c>
      <c r="DG59" s="134">
        <v>2233</v>
      </c>
      <c r="DH59" s="134">
        <v>2681</v>
      </c>
      <c r="DI59" s="134">
        <v>6</v>
      </c>
      <c r="DJ59" s="134">
        <v>0</v>
      </c>
      <c r="DK59" s="134">
        <v>0</v>
      </c>
      <c r="DL59" s="134">
        <v>76</v>
      </c>
      <c r="DM59" s="134">
        <v>6</v>
      </c>
      <c r="DN59" s="134">
        <v>0</v>
      </c>
      <c r="DO59" s="134">
        <v>6</v>
      </c>
      <c r="DP59" s="134">
        <v>82</v>
      </c>
      <c r="DQ59" s="134">
        <v>88</v>
      </c>
      <c r="DR59" s="134">
        <v>0</v>
      </c>
      <c r="DS59" s="134">
        <v>0</v>
      </c>
      <c r="DT59" s="135">
        <v>0</v>
      </c>
      <c r="DU59" s="116"/>
      <c r="DV59" s="136"/>
      <c r="DX59" s="136"/>
      <c r="DY59" s="136"/>
    </row>
    <row r="60" spans="1:129" s="137" customFormat="1">
      <c r="A60" s="133" t="s">
        <v>329</v>
      </c>
      <c r="B60" s="134">
        <v>222</v>
      </c>
      <c r="C60" s="134">
        <v>22</v>
      </c>
      <c r="D60" s="134">
        <v>206</v>
      </c>
      <c r="E60" s="134">
        <v>119</v>
      </c>
      <c r="F60" s="134">
        <v>0</v>
      </c>
      <c r="G60" s="134">
        <v>3</v>
      </c>
      <c r="H60" s="134">
        <v>3</v>
      </c>
      <c r="I60" s="134">
        <v>0</v>
      </c>
      <c r="J60" s="134">
        <v>76</v>
      </c>
      <c r="K60" s="134">
        <v>76</v>
      </c>
      <c r="L60" s="134">
        <v>0</v>
      </c>
      <c r="M60" s="134">
        <v>28</v>
      </c>
      <c r="N60" s="134">
        <v>28</v>
      </c>
      <c r="O60" s="134">
        <v>0</v>
      </c>
      <c r="P60" s="134">
        <v>48</v>
      </c>
      <c r="Q60" s="134">
        <v>48</v>
      </c>
      <c r="R60" s="134">
        <v>0</v>
      </c>
      <c r="S60" s="134">
        <v>1</v>
      </c>
      <c r="T60" s="134">
        <v>1</v>
      </c>
      <c r="U60" s="134">
        <v>0</v>
      </c>
      <c r="V60" s="134">
        <v>11</v>
      </c>
      <c r="W60" s="134">
        <v>11</v>
      </c>
      <c r="X60" s="134">
        <v>5</v>
      </c>
      <c r="Y60" s="134">
        <v>200</v>
      </c>
      <c r="Z60" s="134">
        <v>205</v>
      </c>
      <c r="AA60" s="134">
        <v>3</v>
      </c>
      <c r="AB60" s="134">
        <v>72</v>
      </c>
      <c r="AC60" s="134">
        <v>75</v>
      </c>
      <c r="AD60" s="134">
        <v>2</v>
      </c>
      <c r="AE60" s="134">
        <v>70</v>
      </c>
      <c r="AF60" s="134">
        <v>72</v>
      </c>
      <c r="AG60" s="134">
        <v>0</v>
      </c>
      <c r="AH60" s="134">
        <v>0</v>
      </c>
      <c r="AI60" s="134">
        <v>0</v>
      </c>
      <c r="AJ60" s="134">
        <v>1</v>
      </c>
      <c r="AK60" s="134">
        <v>2</v>
      </c>
      <c r="AL60" s="134">
        <v>3</v>
      </c>
      <c r="AM60" s="134">
        <v>2</v>
      </c>
      <c r="AN60" s="134">
        <v>128</v>
      </c>
      <c r="AO60" s="134">
        <v>130</v>
      </c>
      <c r="AP60" s="134">
        <v>245</v>
      </c>
      <c r="AQ60" s="134">
        <v>2394</v>
      </c>
      <c r="AR60" s="134">
        <v>2639</v>
      </c>
      <c r="AS60" s="134">
        <v>245</v>
      </c>
      <c r="AT60" s="134">
        <v>2395</v>
      </c>
      <c r="AU60" s="134">
        <v>2640</v>
      </c>
      <c r="AV60" s="134">
        <v>0</v>
      </c>
      <c r="AW60" s="134">
        <v>-1</v>
      </c>
      <c r="AX60" s="134">
        <v>-1</v>
      </c>
      <c r="AY60" s="134">
        <v>3</v>
      </c>
      <c r="AZ60" s="134">
        <v>223</v>
      </c>
      <c r="BA60" s="134">
        <v>226</v>
      </c>
      <c r="BB60" s="134">
        <v>6</v>
      </c>
      <c r="BC60" s="134">
        <v>0</v>
      </c>
      <c r="BD60" s="134">
        <v>0</v>
      </c>
      <c r="BE60" s="134">
        <v>113</v>
      </c>
      <c r="BF60" s="134">
        <v>0</v>
      </c>
      <c r="BG60" s="134">
        <v>0</v>
      </c>
      <c r="BH60" s="134">
        <v>6</v>
      </c>
      <c r="BI60" s="134">
        <v>113</v>
      </c>
      <c r="BJ60" s="134">
        <v>119</v>
      </c>
      <c r="BK60" s="134">
        <v>-11</v>
      </c>
      <c r="BL60" s="134">
        <v>11</v>
      </c>
      <c r="BM60" s="134">
        <v>0</v>
      </c>
      <c r="BN60" s="134">
        <v>1</v>
      </c>
      <c r="BO60" s="134">
        <v>8</v>
      </c>
      <c r="BP60" s="134">
        <v>9</v>
      </c>
      <c r="BQ60" s="134">
        <v>3</v>
      </c>
      <c r="BR60" s="134">
        <v>49</v>
      </c>
      <c r="BS60" s="134">
        <v>52</v>
      </c>
      <c r="BT60" s="134">
        <v>4</v>
      </c>
      <c r="BU60" s="134">
        <v>42</v>
      </c>
      <c r="BV60" s="134">
        <v>46</v>
      </c>
      <c r="BW60" s="134">
        <v>248</v>
      </c>
      <c r="BX60" s="134">
        <v>2617</v>
      </c>
      <c r="BY60" s="134">
        <v>2865</v>
      </c>
      <c r="BZ60" s="134">
        <v>247</v>
      </c>
      <c r="CA60" s="134">
        <v>2613</v>
      </c>
      <c r="CB60" s="134">
        <v>2860</v>
      </c>
      <c r="CC60" s="134">
        <v>5050</v>
      </c>
      <c r="CD60" s="134">
        <v>2</v>
      </c>
      <c r="CE60" s="134">
        <v>2</v>
      </c>
      <c r="CF60" s="134">
        <v>1</v>
      </c>
      <c r="CG60" s="134">
        <v>2</v>
      </c>
      <c r="CH60" s="134">
        <v>3</v>
      </c>
      <c r="CI60" s="134">
        <v>3</v>
      </c>
      <c r="CJ60" s="134">
        <v>0</v>
      </c>
      <c r="CK60" s="134">
        <v>0</v>
      </c>
      <c r="CL60" s="134">
        <v>2</v>
      </c>
      <c r="CM60" s="134">
        <v>2</v>
      </c>
      <c r="CN60" s="134">
        <v>13</v>
      </c>
      <c r="CO60" s="134">
        <v>278</v>
      </c>
      <c r="CP60" s="134">
        <v>291</v>
      </c>
      <c r="CQ60" s="134">
        <v>11</v>
      </c>
      <c r="CR60" s="134">
        <v>218</v>
      </c>
      <c r="CS60" s="134">
        <v>229</v>
      </c>
      <c r="CT60" s="134">
        <v>235</v>
      </c>
      <c r="CU60" s="134">
        <v>2339</v>
      </c>
      <c r="CV60" s="134">
        <v>2574</v>
      </c>
      <c r="CW60" s="134">
        <v>19</v>
      </c>
      <c r="CX60" s="134">
        <v>96</v>
      </c>
      <c r="CY60" s="134">
        <v>115</v>
      </c>
      <c r="CZ60" s="134">
        <v>19</v>
      </c>
      <c r="DA60" s="134">
        <v>0</v>
      </c>
      <c r="DB60" s="134">
        <v>0</v>
      </c>
      <c r="DC60" s="134">
        <v>94</v>
      </c>
      <c r="DD60" s="134">
        <v>0</v>
      </c>
      <c r="DE60" s="134">
        <v>0</v>
      </c>
      <c r="DF60" s="134">
        <v>19</v>
      </c>
      <c r="DG60" s="134">
        <v>94</v>
      </c>
      <c r="DH60" s="134">
        <v>113</v>
      </c>
      <c r="DI60" s="134">
        <v>0</v>
      </c>
      <c r="DJ60" s="134">
        <v>0</v>
      </c>
      <c r="DK60" s="134">
        <v>0</v>
      </c>
      <c r="DL60" s="134">
        <v>2</v>
      </c>
      <c r="DM60" s="134">
        <v>0</v>
      </c>
      <c r="DN60" s="134">
        <v>0</v>
      </c>
      <c r="DO60" s="134">
        <v>0</v>
      </c>
      <c r="DP60" s="134">
        <v>2</v>
      </c>
      <c r="DQ60" s="134">
        <v>2</v>
      </c>
      <c r="DR60" s="134">
        <v>0</v>
      </c>
      <c r="DS60" s="134">
        <v>0</v>
      </c>
      <c r="DT60" s="135">
        <v>0</v>
      </c>
      <c r="DU60" s="116"/>
      <c r="DV60" s="136"/>
      <c r="DX60" s="136"/>
      <c r="DY60" s="136"/>
    </row>
    <row r="61" spans="1:129" s="137" customFormat="1">
      <c r="A61" s="133" t="s">
        <v>330</v>
      </c>
      <c r="B61" s="134">
        <v>2796</v>
      </c>
      <c r="C61" s="134">
        <v>421</v>
      </c>
      <c r="D61" s="134">
        <v>1868</v>
      </c>
      <c r="E61" s="134">
        <v>1229</v>
      </c>
      <c r="F61" s="134">
        <v>0</v>
      </c>
      <c r="G61" s="134">
        <v>18</v>
      </c>
      <c r="H61" s="134">
        <v>18</v>
      </c>
      <c r="I61" s="134">
        <v>0</v>
      </c>
      <c r="J61" s="134">
        <v>557</v>
      </c>
      <c r="K61" s="134">
        <v>557</v>
      </c>
      <c r="L61" s="134">
        <v>0</v>
      </c>
      <c r="M61" s="134">
        <v>208</v>
      </c>
      <c r="N61" s="134">
        <v>208</v>
      </c>
      <c r="O61" s="134">
        <v>0</v>
      </c>
      <c r="P61" s="134">
        <v>349</v>
      </c>
      <c r="Q61" s="134">
        <v>349</v>
      </c>
      <c r="R61" s="134">
        <v>0</v>
      </c>
      <c r="S61" s="134">
        <v>52</v>
      </c>
      <c r="T61" s="134">
        <v>52</v>
      </c>
      <c r="U61" s="134">
        <v>0</v>
      </c>
      <c r="V61" s="134">
        <v>82</v>
      </c>
      <c r="W61" s="134">
        <v>82</v>
      </c>
      <c r="X61" s="134">
        <v>37</v>
      </c>
      <c r="Y61" s="134">
        <v>1465</v>
      </c>
      <c r="Z61" s="134">
        <v>1502</v>
      </c>
      <c r="AA61" s="134">
        <v>23</v>
      </c>
      <c r="AB61" s="134">
        <v>807</v>
      </c>
      <c r="AC61" s="134">
        <v>830</v>
      </c>
      <c r="AD61" s="134">
        <v>21</v>
      </c>
      <c r="AE61" s="134">
        <v>781</v>
      </c>
      <c r="AF61" s="134">
        <v>802</v>
      </c>
      <c r="AG61" s="134">
        <v>1</v>
      </c>
      <c r="AH61" s="134">
        <v>15</v>
      </c>
      <c r="AI61" s="134">
        <v>16</v>
      </c>
      <c r="AJ61" s="134">
        <v>1</v>
      </c>
      <c r="AK61" s="134">
        <v>11</v>
      </c>
      <c r="AL61" s="134">
        <v>12</v>
      </c>
      <c r="AM61" s="134">
        <v>14</v>
      </c>
      <c r="AN61" s="134">
        <v>658</v>
      </c>
      <c r="AO61" s="134">
        <v>672</v>
      </c>
      <c r="AP61" s="134">
        <v>2496</v>
      </c>
      <c r="AQ61" s="134">
        <v>29784</v>
      </c>
      <c r="AR61" s="134">
        <v>32280</v>
      </c>
      <c r="AS61" s="134">
        <v>2480</v>
      </c>
      <c r="AT61" s="134">
        <v>29709</v>
      </c>
      <c r="AU61" s="134">
        <v>32189</v>
      </c>
      <c r="AV61" s="134">
        <v>16</v>
      </c>
      <c r="AW61" s="134">
        <v>75</v>
      </c>
      <c r="AX61" s="134">
        <v>91</v>
      </c>
      <c r="AY61" s="134">
        <v>99</v>
      </c>
      <c r="AZ61" s="134">
        <v>2621</v>
      </c>
      <c r="BA61" s="134">
        <v>2720</v>
      </c>
      <c r="BB61" s="134">
        <v>58</v>
      </c>
      <c r="BC61" s="134">
        <v>1</v>
      </c>
      <c r="BD61" s="134">
        <v>0</v>
      </c>
      <c r="BE61" s="134">
        <v>1136</v>
      </c>
      <c r="BF61" s="134">
        <v>26</v>
      </c>
      <c r="BG61" s="134">
        <v>8</v>
      </c>
      <c r="BH61" s="134">
        <v>59</v>
      </c>
      <c r="BI61" s="134">
        <v>1170</v>
      </c>
      <c r="BJ61" s="134">
        <v>1229</v>
      </c>
      <c r="BK61" s="134">
        <v>-41</v>
      </c>
      <c r="BL61" s="134">
        <v>41</v>
      </c>
      <c r="BM61" s="134">
        <v>0</v>
      </c>
      <c r="BN61" s="134">
        <v>0</v>
      </c>
      <c r="BO61" s="134">
        <v>27</v>
      </c>
      <c r="BP61" s="134">
        <v>27</v>
      </c>
      <c r="BQ61" s="134">
        <v>27</v>
      </c>
      <c r="BR61" s="134">
        <v>438</v>
      </c>
      <c r="BS61" s="134">
        <v>465</v>
      </c>
      <c r="BT61" s="134">
        <v>54</v>
      </c>
      <c r="BU61" s="134">
        <v>945</v>
      </c>
      <c r="BV61" s="134">
        <v>999</v>
      </c>
      <c r="BW61" s="134">
        <v>2595</v>
      </c>
      <c r="BX61" s="134">
        <v>32405</v>
      </c>
      <c r="BY61" s="134">
        <v>35000</v>
      </c>
      <c r="BZ61" s="134">
        <v>2573</v>
      </c>
      <c r="CA61" s="134">
        <v>31870</v>
      </c>
      <c r="CB61" s="134">
        <v>34443</v>
      </c>
      <c r="CC61" s="134">
        <v>69754</v>
      </c>
      <c r="CD61" s="134">
        <v>52</v>
      </c>
      <c r="CE61" s="134">
        <v>564</v>
      </c>
      <c r="CF61" s="134">
        <v>22</v>
      </c>
      <c r="CG61" s="134">
        <v>313</v>
      </c>
      <c r="CH61" s="134">
        <v>335</v>
      </c>
      <c r="CI61" s="134">
        <v>279</v>
      </c>
      <c r="CJ61" s="134">
        <v>6</v>
      </c>
      <c r="CK61" s="134">
        <v>0</v>
      </c>
      <c r="CL61" s="134">
        <v>222</v>
      </c>
      <c r="CM61" s="134">
        <v>222</v>
      </c>
      <c r="CN61" s="134">
        <v>145</v>
      </c>
      <c r="CO61" s="134">
        <v>3045</v>
      </c>
      <c r="CP61" s="134">
        <v>3190</v>
      </c>
      <c r="CQ61" s="134">
        <v>0</v>
      </c>
      <c r="CR61" s="134">
        <v>0</v>
      </c>
      <c r="CS61" s="134">
        <v>0</v>
      </c>
      <c r="CT61" s="134">
        <v>2450</v>
      </c>
      <c r="CU61" s="134">
        <v>29360</v>
      </c>
      <c r="CV61" s="134">
        <v>31810</v>
      </c>
      <c r="CW61" s="134">
        <v>199</v>
      </c>
      <c r="CX61" s="134">
        <v>1552</v>
      </c>
      <c r="CY61" s="134">
        <v>1751</v>
      </c>
      <c r="CZ61" s="134">
        <v>196</v>
      </c>
      <c r="DA61" s="134">
        <v>1</v>
      </c>
      <c r="DB61" s="134">
        <v>0</v>
      </c>
      <c r="DC61" s="134">
        <v>1460</v>
      </c>
      <c r="DD61" s="134">
        <v>16</v>
      </c>
      <c r="DE61" s="134">
        <v>5</v>
      </c>
      <c r="DF61" s="134">
        <v>197</v>
      </c>
      <c r="DG61" s="134">
        <v>1481</v>
      </c>
      <c r="DH61" s="134">
        <v>1678</v>
      </c>
      <c r="DI61" s="134">
        <v>2</v>
      </c>
      <c r="DJ61" s="134">
        <v>0</v>
      </c>
      <c r="DK61" s="134">
        <v>0</v>
      </c>
      <c r="DL61" s="134">
        <v>69</v>
      </c>
      <c r="DM61" s="134">
        <v>2</v>
      </c>
      <c r="DN61" s="134">
        <v>0</v>
      </c>
      <c r="DO61" s="134">
        <v>2</v>
      </c>
      <c r="DP61" s="134">
        <v>71</v>
      </c>
      <c r="DQ61" s="134">
        <v>73</v>
      </c>
      <c r="DR61" s="134">
        <v>0</v>
      </c>
      <c r="DS61" s="134">
        <v>1</v>
      </c>
      <c r="DT61" s="135">
        <v>1</v>
      </c>
      <c r="DU61" s="116"/>
      <c r="DV61" s="136"/>
      <c r="DX61" s="136"/>
      <c r="DY61" s="136"/>
    </row>
    <row r="62" spans="1:129" s="137" customFormat="1">
      <c r="A62" s="133" t="s">
        <v>331</v>
      </c>
      <c r="B62" s="134">
        <v>689</v>
      </c>
      <c r="C62" s="134">
        <v>53</v>
      </c>
      <c r="D62" s="134">
        <v>581</v>
      </c>
      <c r="E62" s="134">
        <v>351</v>
      </c>
      <c r="F62" s="134">
        <v>3</v>
      </c>
      <c r="G62" s="134">
        <v>15</v>
      </c>
      <c r="H62" s="134">
        <v>18</v>
      </c>
      <c r="I62" s="134">
        <v>0</v>
      </c>
      <c r="J62" s="134">
        <v>205</v>
      </c>
      <c r="K62" s="134">
        <v>205</v>
      </c>
      <c r="L62" s="134">
        <v>0</v>
      </c>
      <c r="M62" s="134">
        <v>51</v>
      </c>
      <c r="N62" s="134">
        <v>51</v>
      </c>
      <c r="O62" s="134">
        <v>0</v>
      </c>
      <c r="P62" s="134">
        <v>154</v>
      </c>
      <c r="Q62" s="134">
        <v>154</v>
      </c>
      <c r="R62" s="134">
        <v>0</v>
      </c>
      <c r="S62" s="134">
        <v>24</v>
      </c>
      <c r="T62" s="134">
        <v>24</v>
      </c>
      <c r="U62" s="134">
        <v>0</v>
      </c>
      <c r="V62" s="134">
        <v>25</v>
      </c>
      <c r="W62" s="134">
        <v>25</v>
      </c>
      <c r="X62" s="134">
        <v>2</v>
      </c>
      <c r="Y62" s="134">
        <v>206</v>
      </c>
      <c r="Z62" s="134">
        <v>208</v>
      </c>
      <c r="AA62" s="134">
        <v>2</v>
      </c>
      <c r="AB62" s="134">
        <v>206</v>
      </c>
      <c r="AC62" s="134">
        <v>208</v>
      </c>
      <c r="AD62" s="134">
        <v>2</v>
      </c>
      <c r="AE62" s="134">
        <v>193</v>
      </c>
      <c r="AF62" s="134">
        <v>195</v>
      </c>
      <c r="AG62" s="134">
        <v>0</v>
      </c>
      <c r="AH62" s="134">
        <v>7</v>
      </c>
      <c r="AI62" s="134">
        <v>7</v>
      </c>
      <c r="AJ62" s="134">
        <v>0</v>
      </c>
      <c r="AK62" s="134">
        <v>6</v>
      </c>
      <c r="AL62" s="134">
        <v>6</v>
      </c>
      <c r="AM62" s="134">
        <v>0</v>
      </c>
      <c r="AN62" s="134">
        <v>0</v>
      </c>
      <c r="AO62" s="134">
        <v>0</v>
      </c>
      <c r="AP62" s="134">
        <v>768</v>
      </c>
      <c r="AQ62" s="134">
        <v>8348</v>
      </c>
      <c r="AR62" s="134">
        <v>9116</v>
      </c>
      <c r="AS62" s="134">
        <v>798</v>
      </c>
      <c r="AT62" s="134">
        <v>8308</v>
      </c>
      <c r="AU62" s="134">
        <v>9106</v>
      </c>
      <c r="AV62" s="134">
        <v>-30</v>
      </c>
      <c r="AW62" s="134">
        <v>40</v>
      </c>
      <c r="AX62" s="134">
        <v>10</v>
      </c>
      <c r="AY62" s="134">
        <v>44</v>
      </c>
      <c r="AZ62" s="134">
        <v>731</v>
      </c>
      <c r="BA62" s="134">
        <v>775</v>
      </c>
      <c r="BB62" s="134">
        <v>24</v>
      </c>
      <c r="BC62" s="134">
        <v>2</v>
      </c>
      <c r="BD62" s="134">
        <v>0</v>
      </c>
      <c r="BE62" s="134">
        <v>323</v>
      </c>
      <c r="BF62" s="134">
        <v>1</v>
      </c>
      <c r="BG62" s="134">
        <v>1</v>
      </c>
      <c r="BH62" s="134">
        <v>26</v>
      </c>
      <c r="BI62" s="134">
        <v>325</v>
      </c>
      <c r="BJ62" s="134">
        <v>351</v>
      </c>
      <c r="BK62" s="134">
        <v>-8</v>
      </c>
      <c r="BL62" s="134">
        <v>8</v>
      </c>
      <c r="BM62" s="134">
        <v>0</v>
      </c>
      <c r="BN62" s="134">
        <v>4</v>
      </c>
      <c r="BO62" s="134">
        <v>23</v>
      </c>
      <c r="BP62" s="134">
        <v>27</v>
      </c>
      <c r="BQ62" s="134">
        <v>4</v>
      </c>
      <c r="BR62" s="134">
        <v>90</v>
      </c>
      <c r="BS62" s="134">
        <v>94</v>
      </c>
      <c r="BT62" s="134">
        <v>18</v>
      </c>
      <c r="BU62" s="134">
        <v>285</v>
      </c>
      <c r="BV62" s="134">
        <v>303</v>
      </c>
      <c r="BW62" s="134">
        <v>812</v>
      </c>
      <c r="BX62" s="134">
        <v>9079</v>
      </c>
      <c r="BY62" s="134">
        <v>9891</v>
      </c>
      <c r="BZ62" s="134">
        <v>761</v>
      </c>
      <c r="CA62" s="134">
        <v>8874</v>
      </c>
      <c r="CB62" s="134">
        <v>9635</v>
      </c>
      <c r="CC62" s="134">
        <v>18544</v>
      </c>
      <c r="CD62" s="134">
        <v>16</v>
      </c>
      <c r="CE62" s="134">
        <v>297</v>
      </c>
      <c r="CF62" s="134">
        <v>51</v>
      </c>
      <c r="CG62" s="134">
        <v>149</v>
      </c>
      <c r="CH62" s="134">
        <v>200</v>
      </c>
      <c r="CI62" s="134">
        <v>75</v>
      </c>
      <c r="CJ62" s="134">
        <v>0</v>
      </c>
      <c r="CK62" s="134">
        <v>0</v>
      </c>
      <c r="CL62" s="134">
        <v>56</v>
      </c>
      <c r="CM62" s="134">
        <v>56</v>
      </c>
      <c r="CN62" s="134">
        <v>56</v>
      </c>
      <c r="CO62" s="134">
        <v>913</v>
      </c>
      <c r="CP62" s="134">
        <v>969</v>
      </c>
      <c r="CQ62" s="134">
        <v>0</v>
      </c>
      <c r="CR62" s="134">
        <v>0</v>
      </c>
      <c r="CS62" s="134">
        <v>0</v>
      </c>
      <c r="CT62" s="134">
        <v>756</v>
      </c>
      <c r="CU62" s="134">
        <v>8166</v>
      </c>
      <c r="CV62" s="134">
        <v>8922</v>
      </c>
      <c r="CW62" s="134">
        <v>48</v>
      </c>
      <c r="CX62" s="134">
        <v>484</v>
      </c>
      <c r="CY62" s="134">
        <v>532</v>
      </c>
      <c r="CZ62" s="134">
        <v>46</v>
      </c>
      <c r="DA62" s="134">
        <v>2</v>
      </c>
      <c r="DB62" s="134">
        <v>0</v>
      </c>
      <c r="DC62" s="134">
        <v>375</v>
      </c>
      <c r="DD62" s="134">
        <v>9</v>
      </c>
      <c r="DE62" s="134">
        <v>2</v>
      </c>
      <c r="DF62" s="134">
        <v>48</v>
      </c>
      <c r="DG62" s="134">
        <v>386</v>
      </c>
      <c r="DH62" s="134">
        <v>434</v>
      </c>
      <c r="DI62" s="134">
        <v>0</v>
      </c>
      <c r="DJ62" s="134">
        <v>0</v>
      </c>
      <c r="DK62" s="134">
        <v>0</v>
      </c>
      <c r="DL62" s="134">
        <v>96</v>
      </c>
      <c r="DM62" s="134">
        <v>2</v>
      </c>
      <c r="DN62" s="134">
        <v>0</v>
      </c>
      <c r="DO62" s="134">
        <v>0</v>
      </c>
      <c r="DP62" s="134">
        <v>98</v>
      </c>
      <c r="DQ62" s="134">
        <v>98</v>
      </c>
      <c r="DR62" s="134">
        <v>0</v>
      </c>
      <c r="DS62" s="134">
        <v>0</v>
      </c>
      <c r="DT62" s="135">
        <v>0</v>
      </c>
      <c r="DU62" s="116"/>
      <c r="DV62" s="136"/>
      <c r="DX62" s="136"/>
      <c r="DY62" s="136"/>
    </row>
    <row r="63" spans="1:129" s="137" customFormat="1" ht="18" customHeight="1" thickBot="1">
      <c r="A63" s="138" t="s">
        <v>332</v>
      </c>
      <c r="B63" s="139">
        <v>466</v>
      </c>
      <c r="C63" s="139">
        <v>79</v>
      </c>
      <c r="D63" s="139">
        <v>477</v>
      </c>
      <c r="E63" s="139">
        <v>324</v>
      </c>
      <c r="F63" s="139">
        <v>1</v>
      </c>
      <c r="G63" s="139">
        <v>0</v>
      </c>
      <c r="H63" s="139">
        <v>1</v>
      </c>
      <c r="I63" s="139">
        <v>0</v>
      </c>
      <c r="J63" s="139">
        <v>130</v>
      </c>
      <c r="K63" s="139">
        <v>130</v>
      </c>
      <c r="L63" s="139">
        <v>0</v>
      </c>
      <c r="M63" s="139">
        <v>70</v>
      </c>
      <c r="N63" s="139">
        <v>70</v>
      </c>
      <c r="O63" s="139">
        <v>0</v>
      </c>
      <c r="P63" s="139">
        <v>60</v>
      </c>
      <c r="Q63" s="139">
        <v>60</v>
      </c>
      <c r="R63" s="139">
        <v>0</v>
      </c>
      <c r="S63" s="139">
        <v>0</v>
      </c>
      <c r="T63" s="139">
        <v>0</v>
      </c>
      <c r="U63" s="139">
        <v>0</v>
      </c>
      <c r="V63" s="139">
        <v>23</v>
      </c>
      <c r="W63" s="139">
        <v>23</v>
      </c>
      <c r="X63" s="139">
        <v>11</v>
      </c>
      <c r="Y63" s="139">
        <v>466</v>
      </c>
      <c r="Z63" s="139">
        <v>477</v>
      </c>
      <c r="AA63" s="139">
        <v>6</v>
      </c>
      <c r="AB63" s="139">
        <v>235</v>
      </c>
      <c r="AC63" s="139">
        <v>241</v>
      </c>
      <c r="AD63" s="139">
        <v>6</v>
      </c>
      <c r="AE63" s="139">
        <v>224</v>
      </c>
      <c r="AF63" s="139">
        <v>230</v>
      </c>
      <c r="AG63" s="139">
        <v>0</v>
      </c>
      <c r="AH63" s="139">
        <v>7</v>
      </c>
      <c r="AI63" s="139">
        <v>7</v>
      </c>
      <c r="AJ63" s="139">
        <v>0</v>
      </c>
      <c r="AK63" s="139">
        <v>4</v>
      </c>
      <c r="AL63" s="139">
        <v>4</v>
      </c>
      <c r="AM63" s="139">
        <v>5</v>
      </c>
      <c r="AN63" s="139">
        <v>231</v>
      </c>
      <c r="AO63" s="139">
        <v>236</v>
      </c>
      <c r="AP63" s="139">
        <v>746</v>
      </c>
      <c r="AQ63" s="139">
        <v>4852</v>
      </c>
      <c r="AR63" s="139">
        <v>5598</v>
      </c>
      <c r="AS63" s="139">
        <v>746</v>
      </c>
      <c r="AT63" s="139">
        <v>4852</v>
      </c>
      <c r="AU63" s="139">
        <v>5598</v>
      </c>
      <c r="AV63" s="139">
        <v>0</v>
      </c>
      <c r="AW63" s="139">
        <v>0</v>
      </c>
      <c r="AX63" s="139">
        <v>0</v>
      </c>
      <c r="AY63" s="139">
        <v>65</v>
      </c>
      <c r="AZ63" s="139">
        <v>502</v>
      </c>
      <c r="BA63" s="139">
        <v>567</v>
      </c>
      <c r="BB63" s="139">
        <v>12</v>
      </c>
      <c r="BC63" s="139">
        <v>0</v>
      </c>
      <c r="BD63" s="139">
        <v>0</v>
      </c>
      <c r="BE63" s="139">
        <v>310</v>
      </c>
      <c r="BF63" s="139">
        <v>2</v>
      </c>
      <c r="BG63" s="139">
        <v>0</v>
      </c>
      <c r="BH63" s="139">
        <v>12</v>
      </c>
      <c r="BI63" s="139">
        <v>312</v>
      </c>
      <c r="BJ63" s="139">
        <v>324</v>
      </c>
      <c r="BK63" s="139">
        <v>14</v>
      </c>
      <c r="BL63" s="139">
        <v>-14</v>
      </c>
      <c r="BM63" s="139">
        <v>0</v>
      </c>
      <c r="BN63" s="139">
        <v>5</v>
      </c>
      <c r="BO63" s="139">
        <v>25</v>
      </c>
      <c r="BP63" s="139">
        <v>30</v>
      </c>
      <c r="BQ63" s="139">
        <v>6</v>
      </c>
      <c r="BR63" s="139">
        <v>60</v>
      </c>
      <c r="BS63" s="139">
        <v>66</v>
      </c>
      <c r="BT63" s="139">
        <v>28</v>
      </c>
      <c r="BU63" s="139">
        <v>119</v>
      </c>
      <c r="BV63" s="139">
        <v>147</v>
      </c>
      <c r="BW63" s="139">
        <v>811</v>
      </c>
      <c r="BX63" s="139">
        <v>5354</v>
      </c>
      <c r="BY63" s="139">
        <v>6165</v>
      </c>
      <c r="BZ63" s="139">
        <v>807</v>
      </c>
      <c r="CA63" s="139">
        <v>5320</v>
      </c>
      <c r="CB63" s="139">
        <v>6127</v>
      </c>
      <c r="CC63" s="139">
        <v>13231</v>
      </c>
      <c r="CD63" s="139">
        <v>2</v>
      </c>
      <c r="CE63" s="139">
        <v>40</v>
      </c>
      <c r="CF63" s="139">
        <v>4</v>
      </c>
      <c r="CG63" s="139">
        <v>26</v>
      </c>
      <c r="CH63" s="139">
        <v>30</v>
      </c>
      <c r="CI63" s="139">
        <v>8</v>
      </c>
      <c r="CJ63" s="139">
        <v>0</v>
      </c>
      <c r="CK63" s="139">
        <v>0</v>
      </c>
      <c r="CL63" s="139">
        <v>8</v>
      </c>
      <c r="CM63" s="139">
        <v>8</v>
      </c>
      <c r="CN63" s="139">
        <v>45</v>
      </c>
      <c r="CO63" s="139">
        <v>452</v>
      </c>
      <c r="CP63" s="139">
        <v>497</v>
      </c>
      <c r="CQ63" s="139">
        <v>0</v>
      </c>
      <c r="CR63" s="139">
        <v>17</v>
      </c>
      <c r="CS63" s="139">
        <v>17</v>
      </c>
      <c r="CT63" s="139">
        <v>766</v>
      </c>
      <c r="CU63" s="139">
        <v>4902</v>
      </c>
      <c r="CV63" s="139">
        <v>5668</v>
      </c>
      <c r="CW63" s="139">
        <v>66</v>
      </c>
      <c r="CX63" s="139">
        <v>199</v>
      </c>
      <c r="CY63" s="139">
        <v>265</v>
      </c>
      <c r="CZ63" s="139">
        <v>64</v>
      </c>
      <c r="DA63" s="139">
        <v>1</v>
      </c>
      <c r="DB63" s="139">
        <v>0</v>
      </c>
      <c r="DC63" s="139">
        <v>196</v>
      </c>
      <c r="DD63" s="139">
        <v>0</v>
      </c>
      <c r="DE63" s="139">
        <v>0</v>
      </c>
      <c r="DF63" s="139">
        <v>65</v>
      </c>
      <c r="DG63" s="139">
        <v>196</v>
      </c>
      <c r="DH63" s="139">
        <v>261</v>
      </c>
      <c r="DI63" s="139">
        <v>1</v>
      </c>
      <c r="DJ63" s="139">
        <v>0</v>
      </c>
      <c r="DK63" s="139">
        <v>0</v>
      </c>
      <c r="DL63" s="139">
        <v>3</v>
      </c>
      <c r="DM63" s="139">
        <v>0</v>
      </c>
      <c r="DN63" s="139">
        <v>0</v>
      </c>
      <c r="DO63" s="139">
        <v>1</v>
      </c>
      <c r="DP63" s="139">
        <v>3</v>
      </c>
      <c r="DQ63" s="139">
        <v>4</v>
      </c>
      <c r="DR63" s="139">
        <v>0</v>
      </c>
      <c r="DS63" s="139">
        <v>0</v>
      </c>
      <c r="DT63" s="140">
        <v>0</v>
      </c>
      <c r="DU63" s="116"/>
      <c r="DV63" s="141" t="s">
        <v>333</v>
      </c>
      <c r="DX63" s="136"/>
      <c r="DY63" s="136"/>
    </row>
    <row r="64" spans="1:129" s="137" customFormat="1" ht="15.75" thickTop="1">
      <c r="A64" s="142" t="s">
        <v>334</v>
      </c>
      <c r="B64" s="143">
        <f>SUBTOTAL(109,Jul17Data[Cell 1])</f>
        <v>144961</v>
      </c>
      <c r="C64" s="143">
        <f>SUBTOTAL(109,Jul17Data[Cell 2])</f>
        <v>41857</v>
      </c>
      <c r="D64" s="143">
        <f>SUBTOTAL(109,Jul17Data[Cell 3])</f>
        <v>131790</v>
      </c>
      <c r="E64" s="143">
        <f>SUBTOTAL(109,Jul17Data[Cell 4])</f>
        <v>86806</v>
      </c>
      <c r="F64" s="143">
        <f>SUBTOTAL(109,Jul17Data[Cell 5])</f>
        <v>122</v>
      </c>
      <c r="G64" s="143">
        <f>SUBTOTAL(109,Jul17Data[Cell 6])</f>
        <v>1055</v>
      </c>
      <c r="H64" s="143">
        <f>SUBTOTAL(109,Jul17Data[Cell 7])</f>
        <v>1177</v>
      </c>
      <c r="I64" s="143">
        <f>SUBTOTAL(109,Jul17Data[Cell 8])</f>
        <v>143</v>
      </c>
      <c r="J64" s="143">
        <f>SUBTOTAL(109,Jul17Data[Cell 9])</f>
        <v>39479</v>
      </c>
      <c r="K64" s="143">
        <f>SUBTOTAL(109,Jul17Data[Cell 10])</f>
        <v>39622</v>
      </c>
      <c r="L64" s="143">
        <f>SUBTOTAL(109,Jul17Data[Cell 11])</f>
        <v>81</v>
      </c>
      <c r="M64" s="143">
        <f>SUBTOTAL(109,Jul17Data[Cell 12])</f>
        <v>18911</v>
      </c>
      <c r="N64" s="143">
        <f>SUBTOTAL(109,Jul17Data[Cell 13])</f>
        <v>18992</v>
      </c>
      <c r="O64" s="143">
        <f>SUBTOTAL(109,Jul17Data[Cell 14])</f>
        <v>62</v>
      </c>
      <c r="P64" s="143">
        <f>SUBTOTAL(109,Jul17Data[Cell 15])</f>
        <v>20568</v>
      </c>
      <c r="Q64" s="143">
        <f>SUBTOTAL(109,Jul17Data[Cell 16])</f>
        <v>20630</v>
      </c>
      <c r="R64" s="143">
        <f>SUBTOTAL(109,Jul17Data[Cell 17])</f>
        <v>2</v>
      </c>
      <c r="S64" s="143">
        <f>SUBTOTAL(109,Jul17Data[Cell 18])</f>
        <v>1789</v>
      </c>
      <c r="T64" s="143">
        <f>SUBTOTAL(109,Jul17Data[Cell 19])</f>
        <v>1791</v>
      </c>
      <c r="U64" s="143">
        <f>SUBTOTAL(109,Jul17Data[Cell 20])</f>
        <v>45</v>
      </c>
      <c r="V64" s="143">
        <f>SUBTOTAL(109,Jul17Data[Cell 21])</f>
        <v>5317</v>
      </c>
      <c r="W64" s="143">
        <f>SUBTOTAL(109,Jul17Data[Cell 22])</f>
        <v>5362</v>
      </c>
      <c r="X64" s="143">
        <f>SUBTOTAL(109,Jul17Data[Cell 23])</f>
        <v>4364</v>
      </c>
      <c r="Y64" s="143">
        <f>SUBTOTAL(109,Jul17Data[Cell 24])</f>
        <v>114627</v>
      </c>
      <c r="Z64" s="143">
        <f>SUBTOTAL(109,Jul17Data[Cell 25])</f>
        <v>118991</v>
      </c>
      <c r="AA64" s="143">
        <f>SUBTOTAL(109,Jul17Data[Cell 26])</f>
        <v>2781</v>
      </c>
      <c r="AB64" s="143">
        <f>SUBTOTAL(109,Jul17Data[Cell 27])</f>
        <v>50505</v>
      </c>
      <c r="AC64" s="143">
        <f>SUBTOTAL(109,Jul17Data[Cell 28])</f>
        <v>53286</v>
      </c>
      <c r="AD64" s="143">
        <f>SUBTOTAL(109,Jul17Data[Cell 29])</f>
        <v>2419</v>
      </c>
      <c r="AE64" s="143">
        <f>SUBTOTAL(109,Jul17Data[Cell 30])</f>
        <v>47208</v>
      </c>
      <c r="AF64" s="143">
        <f>SUBTOTAL(109,Jul17Data[Cell 31])</f>
        <v>49627</v>
      </c>
      <c r="AG64" s="143">
        <f>SUBTOTAL(109,Jul17Data[Cell 32])</f>
        <v>149</v>
      </c>
      <c r="AH64" s="143">
        <f>SUBTOTAL(109,Jul17Data[Cell 33])</f>
        <v>1865</v>
      </c>
      <c r="AI64" s="143">
        <f>SUBTOTAL(109,Jul17Data[Cell 34])</f>
        <v>2014</v>
      </c>
      <c r="AJ64" s="143">
        <f>SUBTOTAL(109,Jul17Data[Cell 35])</f>
        <v>213</v>
      </c>
      <c r="AK64" s="143">
        <f>SUBTOTAL(109,Jul17Data[Cell 36])</f>
        <v>1432</v>
      </c>
      <c r="AL64" s="143">
        <f>SUBTOTAL(109,Jul17Data[Cell 37])</f>
        <v>1645</v>
      </c>
      <c r="AM64" s="143">
        <f>SUBTOTAL(109,Jul17Data[Cell 38])</f>
        <v>1583</v>
      </c>
      <c r="AN64" s="143">
        <f>SUBTOTAL(109,Jul17Data[Cell 39])</f>
        <v>64122</v>
      </c>
      <c r="AO64" s="143">
        <f>SUBTOTAL(109,Jul17Data[Cell 40])</f>
        <v>65705</v>
      </c>
      <c r="AP64" s="143">
        <f>SUBTOTAL(109,Jul17Data[Cell 41])</f>
        <v>228096</v>
      </c>
      <c r="AQ64" s="143">
        <f>SUBTOTAL(109,Jul17Data[Cell 42])</f>
        <v>1564094</v>
      </c>
      <c r="AR64" s="143">
        <f>SUBTOTAL(109,Jul17Data[Cell 43])</f>
        <v>1792190</v>
      </c>
      <c r="AS64" s="143">
        <f>SUBTOTAL(109,Jul17Data[Cell 44])</f>
        <v>230191</v>
      </c>
      <c r="AT64" s="143">
        <f>SUBTOTAL(109,Jul17Data[Cell 45])</f>
        <v>1578750</v>
      </c>
      <c r="AU64" s="143">
        <f>SUBTOTAL(109,Jul17Data[Cell 46])</f>
        <v>1808941</v>
      </c>
      <c r="AV64" s="143">
        <f>SUBTOTAL(109,Jul17Data[Cell 47])</f>
        <v>-2095</v>
      </c>
      <c r="AW64" s="143">
        <f>SUBTOTAL(109,Jul17Data[Cell 48])</f>
        <v>-14656</v>
      </c>
      <c r="AX64" s="143">
        <f>SUBTOTAL(109,Jul17Data[Cell 49])</f>
        <v>-16751</v>
      </c>
      <c r="AY64" s="143">
        <f>SUBTOTAL(109,Jul17Data[Cell 50])</f>
        <v>8895</v>
      </c>
      <c r="AZ64" s="143">
        <f>SUBTOTAL(109,Jul17Data[Cell 51])</f>
        <v>141799</v>
      </c>
      <c r="BA64" s="143">
        <f>SUBTOTAL(109,Jul17Data[Cell 52])</f>
        <v>150694</v>
      </c>
      <c r="BB64" s="143">
        <f>SUBTOTAL(109,Jul17Data[Cell 53])</f>
        <v>5449</v>
      </c>
      <c r="BC64" s="143">
        <f>SUBTOTAL(109,Jul17Data[Cell 54])</f>
        <v>105</v>
      </c>
      <c r="BD64" s="143">
        <f>SUBTOTAL(109,Jul17Data[Cell 55])</f>
        <v>12</v>
      </c>
      <c r="BE64" s="143">
        <f>SUBTOTAL(109,Jul17Data[Cell 56])</f>
        <v>79733</v>
      </c>
      <c r="BF64" s="143">
        <f>SUBTOTAL(109,Jul17Data[Cell 57])</f>
        <v>932</v>
      </c>
      <c r="BG64" s="143">
        <f>SUBTOTAL(109,Jul17Data[Cell 58])</f>
        <v>575</v>
      </c>
      <c r="BH64" s="143">
        <f>SUBTOTAL(109,Jul17Data[Cell 59])</f>
        <v>5566</v>
      </c>
      <c r="BI64" s="143">
        <f>SUBTOTAL(109,Jul17Data[Cell 60])</f>
        <v>81240</v>
      </c>
      <c r="BJ64" s="143">
        <f>SUBTOTAL(109,Jul17Data[Cell 61])</f>
        <v>86806</v>
      </c>
      <c r="BK64" s="143">
        <f>SUBTOTAL(109,Jul17Data[Cell 62])</f>
        <v>-3998</v>
      </c>
      <c r="BL64" s="143">
        <f>SUBTOTAL(109,Jul17Data[Cell 63])</f>
        <v>3998</v>
      </c>
      <c r="BM64" s="143">
        <f>SUBTOTAL(109,Jul17Data[Cell 64])</f>
        <v>0</v>
      </c>
      <c r="BN64" s="143">
        <f>SUBTOTAL(109,Jul17Data[Cell 65])</f>
        <v>416</v>
      </c>
      <c r="BO64" s="143">
        <f>SUBTOTAL(109,Jul17Data[Cell 66])</f>
        <v>2273</v>
      </c>
      <c r="BP64" s="143">
        <f>SUBTOTAL(109,Jul17Data[Cell 67])</f>
        <v>2689</v>
      </c>
      <c r="BQ64" s="143">
        <f>SUBTOTAL(109,Jul17Data[Cell 68])</f>
        <v>1035</v>
      </c>
      <c r="BR64" s="143">
        <f>SUBTOTAL(109,Jul17Data[Cell 69])</f>
        <v>14421</v>
      </c>
      <c r="BS64" s="143">
        <f>SUBTOTAL(109,Jul17Data[Cell 70])</f>
        <v>15456</v>
      </c>
      <c r="BT64" s="143">
        <f>SUBTOTAL(109,Jul17Data[Cell 71])</f>
        <v>5876</v>
      </c>
      <c r="BU64" s="143">
        <f>SUBTOTAL(109,Jul17Data[Cell 72])</f>
        <v>39867</v>
      </c>
      <c r="BV64" s="143">
        <f>SUBTOTAL(109,Jul17Data[Cell 73])</f>
        <v>45743</v>
      </c>
      <c r="BW64" s="143">
        <f>SUBTOTAL(109,Jul17Data[Cell 74])</f>
        <v>236991</v>
      </c>
      <c r="BX64" s="143">
        <f>SUBTOTAL(109,Jul17Data[Cell 75])</f>
        <v>1705893</v>
      </c>
      <c r="BY64" s="143">
        <f>SUBTOTAL(109,Jul17Data[Cell 76])</f>
        <v>1942884</v>
      </c>
      <c r="BZ64" s="143">
        <f>SUBTOTAL(109,Jul17Data[Cell 77])</f>
        <v>232277</v>
      </c>
      <c r="CA64" s="143">
        <f>SUBTOTAL(109,Jul17Data[Cell 78])</f>
        <v>1677195</v>
      </c>
      <c r="CB64" s="143">
        <f>SUBTOTAL(109,Jul17Data[Cell 79])</f>
        <v>1909472</v>
      </c>
      <c r="CC64" s="143">
        <f>SUBTOTAL(109,Jul17Data[Cell 80])</f>
        <v>3974070</v>
      </c>
      <c r="CD64" s="143">
        <f>SUBTOTAL(109,Jul17Data[Cell 81])</f>
        <v>2442</v>
      </c>
      <c r="CE64" s="143">
        <f>SUBTOTAL(109,Jul17Data[Cell 82])</f>
        <v>28707</v>
      </c>
      <c r="CF64" s="143">
        <f>SUBTOTAL(109,Jul17Data[Cell 83])</f>
        <v>4451</v>
      </c>
      <c r="CG64" s="143">
        <f>SUBTOTAL(109,Jul17Data[Cell 84])</f>
        <v>19145</v>
      </c>
      <c r="CH64" s="143">
        <f>SUBTOTAL(109,Jul17Data[Cell 85])</f>
        <v>23596</v>
      </c>
      <c r="CI64" s="143">
        <f>SUBTOTAL(109,Jul17Data[Cell 86])</f>
        <v>11886</v>
      </c>
      <c r="CJ64" s="143">
        <f>SUBTOTAL(109,Jul17Data[Cell 87])</f>
        <v>1042</v>
      </c>
      <c r="CK64" s="143">
        <f>SUBTOTAL(109,Jul17Data[Cell 88])</f>
        <v>263</v>
      </c>
      <c r="CL64" s="143">
        <f>SUBTOTAL(109,Jul17Data[Cell 89])</f>
        <v>9553</v>
      </c>
      <c r="CM64" s="143">
        <f>SUBTOTAL(109,Jul17Data[Cell 90])</f>
        <v>9816</v>
      </c>
      <c r="CN64" s="143">
        <f>SUBTOTAL(109,Jul17Data[Cell 91])</f>
        <v>12776</v>
      </c>
      <c r="CO64" s="143">
        <f>SUBTOTAL(109,Jul17Data[Cell 92])</f>
        <v>138272</v>
      </c>
      <c r="CP64" s="143">
        <f>SUBTOTAL(109,Jul17Data[Cell 93])</f>
        <v>151048</v>
      </c>
      <c r="CQ64" s="143">
        <f>SUBTOTAL(109,Jul17Data[Cell 94])</f>
        <v>90</v>
      </c>
      <c r="CR64" s="143">
        <f>SUBTOTAL(109,Jul17Data[Cell 95])</f>
        <v>787</v>
      </c>
      <c r="CS64" s="143">
        <f>SUBTOTAL(109,Jul17Data[Cell 96])</f>
        <v>877</v>
      </c>
      <c r="CT64" s="143">
        <f>SUBTOTAL(109,Jul17Data[Cell 97])</f>
        <v>224215</v>
      </c>
      <c r="CU64" s="143">
        <f>SUBTOTAL(109,Jul17Data[Cell 98])</f>
        <v>1567621</v>
      </c>
      <c r="CV64" s="143">
        <f>SUBTOTAL(109,Jul17Data[Cell 99])</f>
        <v>1791836</v>
      </c>
      <c r="CW64" s="143">
        <f>SUBTOTAL(109,Jul17Data[Cell 100])</f>
        <v>16323</v>
      </c>
      <c r="CX64" s="143">
        <f>SUBTOTAL(109,Jul17Data[Cell 101])</f>
        <v>75955</v>
      </c>
      <c r="CY64" s="143">
        <f>SUBTOTAL(109,Jul17Data[Cell 102])</f>
        <v>92278</v>
      </c>
      <c r="CZ64" s="143">
        <f>SUBTOTAL(109,Jul17Data[Cell 103])</f>
        <v>15666</v>
      </c>
      <c r="DA64" s="143">
        <f>SUBTOTAL(109,Jul17Data[Cell 104])</f>
        <v>302</v>
      </c>
      <c r="DB64" s="143">
        <f>SUBTOTAL(109,Jul17Data[Cell 105])</f>
        <v>5</v>
      </c>
      <c r="DC64" s="143">
        <f>SUBTOTAL(109,Jul17Data[Cell 106])</f>
        <v>70243</v>
      </c>
      <c r="DD64" s="143">
        <f>SUBTOTAL(109,Jul17Data[Cell 107])</f>
        <v>1041</v>
      </c>
      <c r="DE64" s="143">
        <f>SUBTOTAL(109,Jul17Data[Cell 108])</f>
        <v>235</v>
      </c>
      <c r="DF64" s="143">
        <f>SUBTOTAL(109,Jul17Data[Cell 109])</f>
        <v>15973</v>
      </c>
      <c r="DG64" s="143">
        <f>SUBTOTAL(109,Jul17Data[Cell 110])</f>
        <v>71519</v>
      </c>
      <c r="DH64" s="143">
        <f>SUBTOTAL(109,Jul17Data[Cell 111])</f>
        <v>87492</v>
      </c>
      <c r="DI64" s="143">
        <f>SUBTOTAL(109,Jul17Data[Cell 112])</f>
        <v>346</v>
      </c>
      <c r="DJ64" s="143">
        <f>SUBTOTAL(109,Jul17Data[Cell 113])</f>
        <v>4</v>
      </c>
      <c r="DK64" s="143">
        <f>SUBTOTAL(109,Jul17Data[Cell 114])</f>
        <v>0</v>
      </c>
      <c r="DL64" s="143">
        <f>SUBTOTAL(109,Jul17Data[Cell 115])</f>
        <v>4321</v>
      </c>
      <c r="DM64" s="143">
        <f>SUBTOTAL(109,Jul17Data[Cell 116])</f>
        <v>92</v>
      </c>
      <c r="DN64" s="143">
        <f>SUBTOTAL(109,Jul17Data[Cell 117])</f>
        <v>23</v>
      </c>
      <c r="DO64" s="143">
        <f>SUBTOTAL(109,Jul17Data[Cell 118])</f>
        <v>350</v>
      </c>
      <c r="DP64" s="143">
        <f>SUBTOTAL(109,Jul17Data[Cell 119])</f>
        <v>4436</v>
      </c>
      <c r="DQ64" s="143">
        <f>SUBTOTAL(109,Jul17Data[Cell 120])</f>
        <v>4786</v>
      </c>
      <c r="DR64" s="143">
        <f>SUBTOTAL(109,Jul17Data[Cell 121])</f>
        <v>2</v>
      </c>
      <c r="DS64" s="143">
        <f>SUBTOTAL(109,Jul17Data[Cell 122])</f>
        <v>15</v>
      </c>
      <c r="DT64" s="143">
        <f>SUBTOTAL(109,Jul17Data[Cell 123])</f>
        <v>17</v>
      </c>
      <c r="DU64" s="116"/>
      <c r="DV64" s="144">
        <v>25160069</v>
      </c>
      <c r="DX64" s="136"/>
      <c r="DY64" s="136"/>
    </row>
  </sheetData>
  <conditionalFormatting sqref="B6:DT63">
    <cfRule type="containsBlanks" dxfId="1523" priority="1">
      <formula>LEN(TRIM(B6))=0</formula>
    </cfRule>
  </conditionalFormatting>
  <dataValidations count="123">
    <dataValidation allowBlank="1" prompt="Part D.  RECERTIFICATIONS_x000a_ Item 10. Overdue recertifications during the month_x000a_ Column C. Total" sqref="DT5"/>
    <dataValidation allowBlank="1" prompt="Part D.  RECERTIFICATIONS_x000a_ Item 10. Overdue recertifications during the month_x000a_ Column B. NACF" sqref="DS5"/>
    <dataValidation allowBlank="1" prompt="Part D.  RECERTIFICATIONS_x000a_ Item 10. Overdue recertifications during the month_x000a_ Column A. PACF" sqref="DR5"/>
    <dataValidation allowBlank="1" prompt="Part D.  RECERTIFICATIONS_x000a_ Item 9B. Determined ineligible_x000a_ Column C. Total" sqref="DQ5"/>
    <dataValidation allowBlank="1" prompt="Part D.  RECERTIFICATIONS_x000a_ Item 9B. Determined ineligible_x000a_ Column B. NACF" sqref="DP5"/>
    <dataValidation allowBlank="1" prompt="Part D.  RECERTIFICATIONS_x000a_ Item 9B. Determined ineligible_x000a_ Column A. PACF" sqref="DO5"/>
    <dataValidation allowBlank="1" prompt="Part D.  RECERTIFICATIONS_x000a_ Item 9B. Determined ineligible_x000a_ Column NACF: State" sqref="DN5"/>
    <dataValidation allowBlank="1" prompt="Part D.  RECERTIFICATIONS_x000a_ Item 9B. Determined ineligible_x000a_ Column NACF: Federal/State" sqref="DM5"/>
    <dataValidation allowBlank="1" prompt="Part D.  RECERTIFICATIONS_x000a_ Item 9B. Determined ineligible_x000a_ Column NACF: Federal" sqref="DL5"/>
    <dataValidation allowBlank="1" prompt="Part D.  RECERTIFICATIONS_x000a_ Item 9B. Determined ineligible_x000a_ Column PACF: State" sqref="DK5"/>
    <dataValidation allowBlank="1" prompt="Part D.  RECERTIFICATIONS_x000a_ Item 9B. Determined ineligible_x000a_ Column PACF: Federal/State" sqref="DJ5"/>
    <dataValidation allowBlank="1" prompt="Part D.  RECERTIFICATIONS_x000a_ Item 9B. Determined ineligible_x000a_ Column PACF: Federal" sqref="DI5"/>
    <dataValidation allowBlank="1" prompt="Part D.  RECERTIFICATIONS_x000a_ Item 9A. Determined continuing eligible_x000a_ Column C. Total" sqref="DH5"/>
    <dataValidation allowBlank="1" prompt="Part D.  RECERTIFICATIONS_x000a_ Item 9A. Determined continuing eligible_x000a_ Column B. NACF" sqref="DG5"/>
    <dataValidation allowBlank="1" prompt="Part D.  RECERTIFICATIONS_x000a_ Item 9A. Determined continuing eligible_x000a_ Column A. PACF" sqref="DF5"/>
    <dataValidation allowBlank="1" prompt="Part D.  RECERTIFICATIONS_x000a_ Item 9A. Determined continuing eligible_x000a_ Column NACF: State" sqref="DE5"/>
    <dataValidation allowBlank="1" prompt="Part D.  RECERTIFICATIONS_x000a_ Item 9A. Determined continuing eligible_x000a_ Column NACF: Federal/State" sqref="DD5"/>
    <dataValidation allowBlank="1" prompt="Part D.  RECERTIFICATIONS_x000a_ Item 9A. Determined continuing eligible_x000a_ Column NACF: Federal" sqref="DC5"/>
    <dataValidation allowBlank="1" prompt="Part D.  RECERTIFICATIONS_x000a_ Item 9A. Determined continuing eligible_x000a_ Column PACF: State" sqref="DB5"/>
    <dataValidation allowBlank="1" prompt="Part D.  RECERTIFICATIONS_x000a_ Item 9A. Determined continuing eligible_x000a_ Column PACF: Federal/State" sqref="DA5"/>
    <dataValidation allowBlank="1" prompt="Part D.  RECERTIFICATIONS_x000a_ Item 9A. Determined continuing eligible_x000a_ Column PACF: Federal" sqref="CZ5"/>
    <dataValidation allowBlank="1" prompt="Part D.  RECERTIFICATIONS_x000a_ Item 9. Recertifications disposed of during the month _x000a_ Column C. Total" sqref="CY5"/>
    <dataValidation allowBlank="1" prompt="Part D.  RECERTIFICATIONS_x000a_ Item 9. Recertifications disposed of during the month _x000a_ Column B. NACF" sqref="CX5"/>
    <dataValidation allowBlank="1" prompt="Part D.  RECERTIFICATIONS_x000a_ Item 9. Recertifications disposed of during the month _x000a_ Column A. PACF" sqref="CW5"/>
    <dataValidation allowBlank="1" prompt="Part C.  CERTIFIED CASELOAD MOVEMENT_x000a_ Item 8. Cases brought forward at the end of the month_x000a_ Column C. Total" sqref="CV5"/>
    <dataValidation allowBlank="1" prompt="Part C.  CERTIFIED CASELOAD MOVEMENT_x000a_ Item 8. Cases brought forward at the end of the month_x000a_ Column B. NACF" sqref="CU5"/>
    <dataValidation allowBlank="1" prompt="Part C.  CERTIFIED CASELOAD MOVEMENT_x000a_ Item 8. Cases brought forward at the end of the month_x000a_ Column A. PACF" sqref="CT5"/>
    <dataValidation allowBlank="1" prompt="Part C.  CERTIFIED CASELOAD MOVEMENT_x000a_ Item 7A. Households discontinued due to recipient failure to complete application process for ongoing benefits (Expedited services only)_x000a_ Column C. Total" sqref="CS5"/>
    <dataValidation allowBlank="1" prompt="Part C.  CERTIFIED CASELOAD MOVEMENT_x000a_ Item 7A. Households discontinued due to recipient failure to complete application process for ongoing benefits (Expedited services only)_x000a_ Column B. NACF" sqref="CR5"/>
    <dataValidation allowBlank="1" prompt="Part C.  CERTIFIED CASELOAD MOVEMENT_x000a_ Item 7A. Households discontinued due to recipient failure to complete application process for ongoing benefits (Expedited services only)_x000a_ Column A. PACF" sqref="CQ5"/>
    <dataValidation allowBlank="1" prompt="Part C.  CERTIFIED CASELOAD MOVEMENT_x000a_ Item 7. Cases discontinued during the month_x000a_ Column C. Total" sqref="CP5"/>
    <dataValidation allowBlank="1" prompt="Part C.  CERTIFIED CASELOAD MOVEMENT_x000a_ Item 7. Cases discontinued during the month_x000a_ Column B. NACF" sqref="CO5"/>
    <dataValidation allowBlank="1" prompt="Part C.  CERTIFIED CASELOAD MOVEMENT_x000a_ Item 7. Cases discontinued during the month_x000a_ Column A. PACF" sqref="CN5"/>
    <dataValidation allowBlank="1" prompt="Part C.  CERTIFIED CASELOAD MOVEMENT_x000a_ Item 6C. Pure state cases_x000a_ Column C. Total" sqref="CM5"/>
    <dataValidation allowBlank="1" prompt="Part C.  CERTIFIED CASELOAD MOVEMENT_x000a_ Item 6C. Pure state cases_x000a_ Column B. NACF" sqref="CL5"/>
    <dataValidation allowBlank="1" prompt="Part C.  CERTIFIED CASELOAD MOVEMENT_x000a_ Item 6C. Pure state cases_x000a_ Column A. PACF" sqref="CK5"/>
    <dataValidation allowBlank="1" prompt="Part C.  CERTIFIED CASELOAD MOVEMENT_x000a_ Item 6C. Pure state cases_x000a_ Column State Persons: Families" sqref="CJ5"/>
    <dataValidation allowBlank="1" prompt="Part C.  CERTIFIED CASELOAD MOVEMENT_x000a_ Item 6C. Pure state cases_x000a_ Column State Persons: Single" sqref="CI5"/>
    <dataValidation allowBlank="1" prompt="Part C.  CERTIFIED CASELOAD MOVEMENT_x000a_ Item 6B. Federal/State combined cases_x000a_ Column C. Total" sqref="CH5"/>
    <dataValidation allowBlank="1" prompt="Part C.  CERTIFIED CASELOAD MOVEMENT_x000a_ Item 6B. Federal/State combined cases_x000a_ Column B. NACF" sqref="CG5"/>
    <dataValidation allowBlank="1" prompt="Part C.  CERTIFIED CASELOAD MOVEMENT_x000a_ Item 6B. Federal/State combined cases_x000a_ Column A. PACF" sqref="CF5"/>
    <dataValidation allowBlank="1" prompt="Part C.  CERTIFIED CASELOAD MOVEMENT_x000a_ Item 6B. Federal/State combined cases_x000a_ Column State Persons: Families" sqref="CE5"/>
    <dataValidation allowBlank="1" prompt="Part C.  CERTIFIED CASELOAD MOVEMENT_x000a_ Item 6B. Federal/State combined cases_x000a_ Column State Persons: Single" sqref="CD5"/>
    <dataValidation allowBlank="1" prompt="Part C.  CERTIFIED CASELOAD MOVEMENT_x000a_ Item 6A.1) Federal persons in Item 6A cases plus federal persons in Item 6B cases_x000a_ Column Federal Persons" sqref="CC5"/>
    <dataValidation allowBlank="1" prompt="Part C.  CERTIFIED CASELOAD MOVEMENT_x000a_ Item 6A. Pure federal cases_x000a_ Column C. Total" sqref="CB5"/>
    <dataValidation allowBlank="1" prompt="Part C.  CERTIFIED CASELOAD MOVEMENT_x000a_ Item 6A. Pure federal cases_x000a_ Column B. NACF" sqref="CA5"/>
    <dataValidation allowBlank="1" prompt="Part C.  CERTIFIED CASELOAD MOVEMENT_x000a_ Item 6A. Pure federal cases_x000a_ Column A. PACF" sqref="BZ5"/>
    <dataValidation allowBlank="1" prompt="Part C.  CERTIFIED CASELOAD MOVEMENT_x000a_ Item 6. Total cases open during the month _x000a_ Column C. Total" sqref="BY5"/>
    <dataValidation allowBlank="1" prompt="Part C.  CERTIFIED CASELOAD MOVEMENT_x000a_ Item 6. Total cases open during the month _x000a_ Column B. NACF" sqref="BX5"/>
    <dataValidation allowBlank="1" prompt="Part C.  CERTIFIED CASELOAD MOVEMENT_x000a_ Item 6. Total cases open during the month _x000a_ Column A. PACF" sqref="BW5"/>
    <dataValidation allowBlank="1" prompt="Part C.  CERTIFIED CASELOAD MOVEMENT_x000a_ Item 5E. Other Approvals_x000a_ Column C. Total" sqref="BV5"/>
    <dataValidation allowBlank="1" prompt="Part C.  CERTIFIED CASELOAD MOVEMENT_x000a_ Item 5E. Other Approvals_x000a_ Column B. NACF" sqref="BU5"/>
    <dataValidation allowBlank="1" prompt="Part C.  CERTIFIED CASELOAD MOVEMENT_x000a_ Item 5E. Other Approvals_x000a_ Column A. PACF" sqref="BT5"/>
    <dataValidation allowBlank="1" prompt="Part C.  CERTIFIED CASELOAD MOVEMENT_x000a_ Item 5D. Cases with eligibility reinstated and benefits pro-rated during the month_x000a_ Column C. Total" sqref="BS5"/>
    <dataValidation allowBlank="1" prompt="Part C.  CERTIFIED CASELOAD MOVEMENT_x000a_ Item 5D. Cases with eligibility reinstated and benefits pro-rated during the month_x000a_ Column B. NACF" sqref="BR5"/>
    <dataValidation allowBlank="1" prompt="Part C.  CERTIFIED CASELOAD MOVEMENT_x000a_ Item 5D. Cases with eligibility reinstated and benefits pro-rated during the month_x000a_ Column A. PACF" sqref="BQ5"/>
    <dataValidation allowBlank="1" prompt="Part C.  CERTIFIED CASELOAD MOVEMENT_x000a_ Item 5C. Inter-County Transfers_x000a_ Column C. Total" sqref="BP5"/>
    <dataValidation allowBlank="1" prompt="Part C.  CERTIFIED CASELOAD MOVEMENT_x000a_ Item 5C. Inter-County Transfers_x000a_ Column B. NACF" sqref="BO5"/>
    <dataValidation allowBlank="1" prompt="Part C.  CERTIFIED CASELOAD MOVEMENT_x000a_ Item 5C. Inter-County Transfers_x000a_ Column A. PACF" sqref="BN5"/>
    <dataValidation allowBlank="1" prompt="Part C.  CERTIFIED CASELOAD MOVEMENT_x000a_ Item 5B. Change in asssistance status from PACF or NACF_x000a_ Column C. Total" sqref="BM5"/>
    <dataValidation allowBlank="1" prompt="Part C.  CERTIFIED CASELOAD MOVEMENT_x000a_ Item 5B. Change in asssistance status from PACF or NACF_x000a_ Column B. NACF" sqref="BL5"/>
    <dataValidation allowBlank="1" prompt="Part C.  CERTIFIED CASELOAD MOVEMENT_x000a_ Item 5B. Change in asssistance status from PACF or NACF_x000a_ Column A. PACF" sqref="BK5"/>
    <dataValidation allowBlank="1" prompt="Part C.  CERTIFIED CASELOAD MOVEMENT_x000a_ Item 5A. Applications Approved_x000a_ Column C. Total" sqref="BJ5"/>
    <dataValidation allowBlank="1" prompt="Part C.  CERTIFIED CASELOAD MOVEMENT_x000a_ Item 5A. Applications Approved_x000a_ Column B. NACF" sqref="BI5"/>
    <dataValidation allowBlank="1" prompt="Part C.  CERTIFIED CASELOAD MOVEMENT_x000a_ Item 5A. Applications Approved_x000a_ Column A. PACF" sqref="BH5"/>
    <dataValidation allowBlank="1" prompt="Part C.  CERTIFIED CASELOAD MOVEMENT_x000a_ Item 5A. Applications Approved_x000a_ Column NACF (State)" sqref="BG5"/>
    <dataValidation allowBlank="1" prompt="Part C.  CERTIFIED CASELOAD MOVEMENT_x000a_ Item 5A. Applications Approved_x000a_ Column NACF (Federal/State)" sqref="BF5"/>
    <dataValidation allowBlank="1" prompt="Part C.  CERTIFIED CASELOAD MOVEMENT_x000a_ Item 5A. Applications Approved_x000a_ Column NACF (Federal)" sqref="BE5"/>
    <dataValidation allowBlank="1" prompt="Part C.  CERTIFIED CASELOAD MOVEMENT_x000a_ Item 5A. Applications Approved_x000a_ Column PACF (State)" sqref="BD5"/>
    <dataValidation allowBlank="1" prompt="Part C.  CERTIFIED CASELOAD MOVEMENT_x000a_ Item 5A. Applications Approved_x000a_ Column PACF (Federal/State)" sqref="BC5"/>
    <dataValidation allowBlank="1" prompt="Part C.  CERTIFIED CASELOAD MOVEMENT_x000a_ Item 5A. Applications Approved_x000a_ Column PACF (Federal)" sqref="BB5"/>
    <dataValidation allowBlank="1" prompt="Part C.  CERTIFIED CASELOAD MOVEMENT_x000a_ Item 5. Cases added during the month _x000a_ Column C. Total" sqref="BA5"/>
    <dataValidation allowBlank="1" prompt="Part C.  CERTIFIED CASELOAD MOVEMENT_x000a_ Item 5. Cases added during the month _x000a_ Column B. NACF" sqref="AZ5"/>
    <dataValidation allowBlank="1" prompt="Part C.  CERTIFIED CASELOAD MOVEMENT_x000a_ Item 5. Cases added during the month _x000a_ Column A. PACF" sqref="AY5"/>
    <dataValidation allowBlank="1" prompt="Part C.  CERTIFIED CASELOAD MOVEMENT_x000a_ Item 4B. Adjustment_x000a_ Column C. Total" sqref="AX5"/>
    <dataValidation allowBlank="1" prompt="Part C.  CERTIFIED CASELOAD MOVEMENT_x000a_ Item 4B. Adjustment_x000a_ Column B. NACF" sqref="AW5"/>
    <dataValidation allowBlank="1" prompt="Part C.  CERTIFIED CASELOAD MOVEMENT_x000a_ Item 4B. Adjustment_x000a_ Column A. PACF" sqref="AV5"/>
    <dataValidation allowBlank="1" prompt="Part C.  CERTIFIED CASELOAD MOVEMENT_x000a_ Item 4A. Item 8 from last month's report, as reported to CDSS_x000a_ Column C. Total" sqref="AU5"/>
    <dataValidation allowBlank="1" prompt="Part C.  CERTIFIED CASELOAD MOVEMENT_x000a_ Item 4A. Item 8 from last month's report, as reported to CDSS_x000a_ Column B. NACF" sqref="AT5"/>
    <dataValidation allowBlank="1" prompt="Part C.  CERTIFIED CASELOAD MOVEMENT_x000a_ Item 4A. Item 8 from last month's report, as reported to CDSS_x000a_ Column A. PACF" sqref="AS5"/>
    <dataValidation allowBlank="1" prompt="Part C.  CERTIFIED CASELOAD MOVEMENT_x000a_ Item 4. Cases brought forward at the beginning of the month_x000a_ Column C. Total" sqref="AR5"/>
    <dataValidation allowBlank="1" prompt="Part C.  CERTIFIED CASELOAD MOVEMENT_x000a_ Item 4. Cases brought forward at the beginning of the month_x000a_ Column B. NACF" sqref="AQ5"/>
    <dataValidation allowBlank="1" prompt="Part C.  CERTIFIED CASELOAD MOVEMENT_x000a_ Item 4. Cases brought forward at the beginning of the month_x000a_ Column A. PACF" sqref="AP5"/>
    <dataValidation allowBlank="1" prompt="Part B.  APPLICATIONS PROCESSED UNDER EXPEDITED SERVICES (ES)_x000a_ Item 3B. Found not entitled to expedited services_x000a_ Column C. Total" sqref="AO5"/>
    <dataValidation allowBlank="1" prompt="Part B.  APPLICATIONS PROCESSED UNDER EXPEDITED SERVICES (ES)_x000a_ Item 3B. Found not entitled to expedited services_x000a_ Column B. NACF" sqref="AN5"/>
    <dataValidation allowBlank="1" prompt="Part B.  APPLICATIONS PROCESSED UNDER EXPEDITED SERVICES (ES)_x000a_ Item 3B. Found not entitled to expedited services_x000a_ Column A. PACF" sqref="AM5"/>
    <dataValidation allowBlank="1" prompt="Part B.  APPLICATIONS PROCESSED UNDER EXPEDITED SERVICES (ES)_x000a_ Item 3A.3) Benefits issued in over 7 days_x000a_ Column C. Total" sqref="AL5"/>
    <dataValidation allowBlank="1" prompt="Part B.  APPLICATIONS PROCESSED UNDER EXPEDITED SERVICES (ES)_x000a_ Item 3A.3) Benefits issued in over 7 days_x000a_ Column B. NACF" sqref="AK5"/>
    <dataValidation allowBlank="1" prompt="Part B.  APPLICATIONS PROCESSED UNDER EXPEDITED SERVICES (ES)_x000a_ Item 3A.3) Benefits issued in over 7 days_x000a_ Column A. PACF" sqref="AJ5"/>
    <dataValidation allowBlank="1" prompt="Part B.  APPLICATIONS PROCESSED UNDER EXPEDITED SERVICES (ES)_x000a_ Item 3A.2) Benefits issued in 4 to 7 days_x000a_ Column C. Total" sqref="AI5"/>
    <dataValidation allowBlank="1" prompt="Part B.  APPLICATIONS PROCESSED UNDER EXPEDITED SERVICES (ES)_x000a_ Item 3A.2) Benefits issued in 4 to 7 days_x000a_ Column B. NACF" sqref="AH5"/>
    <dataValidation allowBlank="1" prompt="Part B.  APPLICATIONS PROCESSED UNDER EXPEDITED SERVICES (ES)_x000a_ Item 3A.2) Benefits issued in 4 to 7 days_x000a_ Column A. PACF" sqref="AG5"/>
    <dataValidation allowBlank="1" prompt="Part B.  APPLICATIONS PROCESSED UNDER EXPEDITED SERVICES (ES)_x000a_ Item 3A.1) Benefits issued in 1 to 3 days_x000a_ Column C. Total" sqref="AF5"/>
    <dataValidation allowBlank="1" prompt="Part B.  APPLICATIONS PROCESSED UNDER EXPEDITED SERVICES (ES)_x000a_ Item 3A.1) Benefits issued in 1 to 3 days_x000a_ Column B. NACF" sqref="AE5"/>
    <dataValidation allowBlank="1" prompt="Part B.  APPLICATIONS PROCESSED UNDER EXPEDITED SERVICES (ES)_x000a_ Item 3A.1) Benefits issued in 1 to 3 days_x000a_ Column A. PACF" sqref="AD5"/>
    <dataValidation allowBlank="1" prompt="Part B.  APPLICATIONS PROCESSED UNDER EXPEDITED SERVICES (ES)_x000a_ Item 3A. Found entitled to expedited services_x000a_ Column C. Total" sqref="AC5"/>
    <dataValidation allowBlank="1" prompt="Part B.  APPLICATIONS PROCESSED UNDER EXPEDITED SERVICES (ES)_x000a_ Item 3A. Found entitled to expedited services_x000a_ Column B. NACF" sqref="AB5"/>
    <dataValidation allowBlank="1" prompt="Part B.  APPLICATIONS PROCESSED UNDER EXPEDITED SERVICES (ES)_x000a_ Item 3A. Found entitled to expedited services_x000a_ Column A. PACF" sqref="AA5"/>
    <dataValidation allowBlank="1" prompt="Part B.  APPLICATIONS PROCESSED UNDER EXPEDITED SERVICES (ES)_x000a_ Item 3. Of the applications disposed of during the month in Item 2, applications processed under expedited services_x000a_ Column C. Total" sqref="Z5"/>
    <dataValidation allowBlank="1" prompt="Part B.  APPLICATIONS PROCESSED UNDER EXPEDITED SERVICES (ES)_x000a_ Item 3. Of the applications disposed of during the month in Item 2, applications processed under expedited services_x000a_ Column B. NACF" sqref="Y5"/>
    <dataValidation allowBlank="1" prompt="Part B.  APPLICATIONS PROCESSED UNDER EXPEDITED SERVICES (ES)_x000a_ Item 3. Of the applications disposed of during the month in Item 2, applications processed under expedited services_x000a_ Column A. PACF" sqref="X5"/>
    <dataValidation allowBlank="1" prompt="Part A.  APPLICATIONS FOR CALFRESH_x000a_ Item 2C. Applications withdrawn_x000a_ Column C. Total" sqref="W5"/>
    <dataValidation allowBlank="1" prompt="Part A.  APPLICATIONS FOR CALFRESH_x000a_ Item 2C. Applications withdrawn_x000a_ Column B. NACF" sqref="V5"/>
    <dataValidation allowBlank="1" prompt="Part A.  APPLICATIONS FOR CALFRESH_x000a_ Item 2C. Applications withdrawn_x000a_ Column A. PACF" sqref="U5"/>
    <dataValidation allowBlank="1" prompt="Part A.  APPLICATIONS FOR CALFRESH_x000a_ Item 2B.3) Applications denied in over 30 days_x000a_ Column C. Total" sqref="T5"/>
    <dataValidation allowBlank="1" prompt="Part A.  APPLICATIONS FOR CALFRESH_x000a_ Item 2B.3) Applications denied in over 30 days_x000a_ Column B. NACF" sqref="S5"/>
    <dataValidation allowBlank="1" prompt="Part A.  APPLICATIONS FOR CALFRESH_x000a_ Item 2B.3) Applications denied in over 30 days_x000a_ Column A. PACF" sqref="R5"/>
    <dataValidation allowBlank="1" prompt="Part A.  APPLICATIONS FOR CALFRESH_x000a_ Item 2B.2) Applications denied for procedural reasons_x000a_ Column C. Total" sqref="Q5"/>
    <dataValidation allowBlank="1" prompt="Part A.  APPLICATIONS FOR CALFRESH_x000a_ Item 2B.2) Applications denied for procedural reasons_x000a_ Column B. NACF" sqref="P5"/>
    <dataValidation allowBlank="1" prompt="Part A.  APPLICATIONS FOR CALFRESH_x000a_ Item 2B.2) Applications denied for procedural reasons_x000a_ Column A. PACF" sqref="O5"/>
    <dataValidation allowBlank="1" prompt="Part A.  APPLICATIONS FOR CALFRESH_x000a_ Item 2B.1) Applications denied because determined ineligible_x000a_ Column C. Total" sqref="N5"/>
    <dataValidation allowBlank="1" prompt="Part A.  APPLICATIONS FOR CALFRESH_x000a_ Item 2B.1) Applications denied because determined ineligible_x000a_ Column B. NACF" sqref="M5"/>
    <dataValidation allowBlank="1" prompt="Part A.  APPLICATIONS FOR CALFRESH_x000a_ Item 2B.1) Applications denied because determined ineligible_x000a_ Column A. PACF" sqref="L5"/>
    <dataValidation allowBlank="1" prompt="Part A.  APPLICATIONS FOR CALFRESH_x000a_ Item 2B. Applications denied (Item 2B1 plus Item 2B2)_x000a_ Column C. Total" sqref="K5"/>
    <dataValidation allowBlank="1" prompt="Part A.  APPLICATIONS FOR CALFRESH_x000a_ Item 2B. Applications denied (Item 2B1 plus Item 2B2)_x000a_ Column B. NACF" sqref="J5"/>
    <dataValidation allowBlank="1" prompt="Part A.  APPLICATIONS FOR CALFRESH_x000a_ Item 2B. Applications denied (Item 2B1 plus Item 2B2)_x000a_ Column A. PACF" sqref="I5"/>
    <dataValidation allowBlank="1" prompt="Part A.  APPLICATIONS FOR CALFRESH_x000a_ Item 2A.1) Applications approved in over 30 days_x000a_ Column C. Total" sqref="H5"/>
    <dataValidation allowBlank="1" prompt="Part A.  APPLICATIONS FOR CALFRESH_x000a_ Item 2A.1) Applications approved in over 30 days _x000a_ Column B. NACF" sqref="G5"/>
    <dataValidation allowBlank="1" prompt="Part A.  APPLICATIONS FOR CALFRESH_x000a_ Item 2A.1) Applications approved in over 30 days _x000a_ Column A. PACF" sqref="F5"/>
    <dataValidation allowBlank="1" prompt="Part A.  APPLICATIONS FOR CALFRESH_x000a_ Item 2A. Applications approved _x000a_ Column Total" sqref="E5"/>
    <dataValidation allowBlank="1" prompt="Part A.  APPLICATIONS FOR CALFRESH_x000a_ Item 2. Applications disposed of during the month _x000a_ Column Total" sqref="D5"/>
    <dataValidation allowBlank="1" prompt="Part A.  APPLICATIONS FOR CALFRESH_x000a_ Item 1A. Online applications received during the month_x000a_ Column Total" sqref="C5"/>
    <dataValidation allowBlank="1" prompt="Part A.  APPLICATIONS FOR CALFRESH_x000a_ Item 1. Applications received during the month_x000a_ Column Total" sqref="B5"/>
  </dataValidations>
  <printOptions horizontalCentered="1"/>
  <pageMargins left="0.25" right="0.25" top="0.81708333333333305" bottom="0.5" header="0.25" footer="0.25"/>
  <pageSetup scale="10" orientation="portrait" r:id="rId1"/>
  <headerFooter scaleWithDoc="0" alignWithMargins="0"/>
  <rowBreaks count="1" manualBreakCount="1">
    <brk id="64" max="16383" man="1"/>
  </rowBreaks>
  <colBreaks count="12" manualBreakCount="12">
    <brk id="7" max="64" man="1"/>
    <brk id="13" max="64" man="1"/>
    <brk id="19" max="64" man="1"/>
    <brk id="25" max="64" man="1"/>
    <brk id="31" max="64" man="1"/>
    <brk id="37" max="64" man="1"/>
    <brk id="43" max="64" man="1"/>
    <brk id="49" max="64" man="1"/>
    <brk id="55" max="1048575" man="1"/>
    <brk id="61" max="1048575" man="1"/>
    <brk id="80" max="64" man="1"/>
    <brk id="115" max="64" man="1"/>
  </colBreaks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0">
    <pageSetUpPr fitToPage="1"/>
  </sheetPr>
  <dimension ref="A1:AO57"/>
  <sheetViews>
    <sheetView showGridLines="0" zoomScaleNormal="100" workbookViewId="0"/>
  </sheetViews>
  <sheetFormatPr defaultColWidth="9" defaultRowHeight="12.75"/>
  <cols>
    <col min="1" max="1" width="2.7109375" style="111" customWidth="1"/>
    <col min="2" max="2" width="2.7109375" style="31" customWidth="1"/>
    <col min="3" max="3" width="2.7109375" style="22" customWidth="1"/>
    <col min="4" max="4" width="17.140625" style="22" customWidth="1"/>
    <col min="5" max="5" width="8.5703125" style="21" customWidth="1"/>
    <col min="6" max="6" width="3" style="22" customWidth="1"/>
    <col min="7" max="7" width="8.5703125" style="22" customWidth="1"/>
    <col min="8" max="8" width="3" style="22" customWidth="1"/>
    <col min="9" max="9" width="8.5703125" style="23" customWidth="1"/>
    <col min="10" max="10" width="3" style="21" customWidth="1"/>
    <col min="11" max="11" width="8.5703125" style="22" customWidth="1"/>
    <col min="12" max="12" width="3" style="22" customWidth="1"/>
    <col min="13" max="13" width="12.85546875" style="21" customWidth="1"/>
    <col min="14" max="14" width="3" style="23" customWidth="1"/>
    <col min="15" max="15" width="8.5703125" style="22" customWidth="1"/>
    <col min="16" max="16" width="3" style="21" customWidth="1"/>
    <col min="17" max="17" width="8.42578125" style="21" customWidth="1"/>
    <col min="18" max="18" width="3" style="22" customWidth="1"/>
    <col min="19" max="19" width="8.5703125" style="23" customWidth="1"/>
    <col min="20" max="20" width="3" style="22" customWidth="1"/>
    <col min="21" max="21" width="8.5703125" style="21" customWidth="1"/>
    <col min="22" max="22" width="3" style="21" customWidth="1"/>
    <col min="23" max="23" width="11.140625" style="22" customWidth="1"/>
    <col min="24" max="24" width="2.7109375" style="21" customWidth="1"/>
    <col min="25" max="25" width="2.42578125" style="22" customWidth="1"/>
    <col min="26" max="26" width="2.140625" style="22" customWidth="1"/>
    <col min="27" max="27" width="2.7109375" style="22" customWidth="1"/>
    <col min="28" max="28" width="3" style="23" customWidth="1"/>
    <col min="29" max="29" width="10.85546875" style="24" customWidth="1"/>
    <col min="30" max="30" width="3" style="23" customWidth="1"/>
    <col min="31" max="31" width="10.85546875" style="25" customWidth="1"/>
    <col min="32" max="32" width="9" style="26" customWidth="1"/>
    <col min="33" max="33" width="3.7109375" style="26" customWidth="1"/>
    <col min="34" max="41" width="9" style="26"/>
    <col min="42" max="16384" width="9" style="22"/>
  </cols>
  <sheetData>
    <row r="1" spans="1:41">
      <c r="A1" s="15" t="s">
        <v>94</v>
      </c>
      <c r="B1" s="16"/>
      <c r="C1" s="17"/>
      <c r="D1" s="17"/>
      <c r="E1" s="18"/>
      <c r="F1" s="17"/>
      <c r="G1" s="17"/>
      <c r="H1" s="17"/>
      <c r="I1" s="19"/>
      <c r="J1" s="18"/>
      <c r="K1" s="17"/>
      <c r="L1" s="17"/>
      <c r="M1" s="18"/>
      <c r="N1" s="19"/>
      <c r="O1" s="17"/>
      <c r="P1" s="18"/>
      <c r="Q1" s="18"/>
      <c r="R1" s="17"/>
      <c r="S1" s="19"/>
      <c r="T1" s="17"/>
      <c r="U1" s="18"/>
      <c r="V1" s="18"/>
      <c r="W1" s="20"/>
    </row>
    <row r="2" spans="1:41" s="31" customFormat="1" ht="21" customHeight="1">
      <c r="A2" s="203" t="s">
        <v>7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7"/>
      <c r="Q2" s="27"/>
      <c r="R2" s="27"/>
      <c r="S2" s="27"/>
      <c r="T2" s="27"/>
      <c r="U2" s="27"/>
      <c r="V2" s="28"/>
      <c r="W2" s="29"/>
      <c r="X2" s="30"/>
      <c r="Y2" s="30"/>
      <c r="Z2" s="30"/>
      <c r="AA2" s="30"/>
      <c r="AB2" s="30"/>
      <c r="AC2" s="30"/>
      <c r="AD2" s="30"/>
      <c r="AE2" s="30"/>
    </row>
    <row r="3" spans="1:41" s="35" customFormat="1" ht="16.149999999999999" customHeight="1">
      <c r="A3" s="32" t="s">
        <v>8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4"/>
    </row>
    <row r="4" spans="1:41" s="31" customFormat="1" ht="15.6" customHeight="1">
      <c r="A4" s="32" t="s">
        <v>9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28"/>
      <c r="W4" s="29"/>
      <c r="X4" s="30"/>
      <c r="Y4" s="30"/>
      <c r="Z4" s="30"/>
      <c r="AA4" s="30"/>
      <c r="AB4" s="30"/>
      <c r="AC4" s="30"/>
      <c r="AD4" s="30"/>
      <c r="AE4" s="30"/>
    </row>
    <row r="5" spans="1:41" ht="6" customHeight="1">
      <c r="A5" s="36"/>
      <c r="B5" s="37"/>
      <c r="C5" s="37"/>
      <c r="D5" s="37"/>
      <c r="E5" s="38"/>
      <c r="F5" s="37"/>
      <c r="G5" s="37"/>
      <c r="H5" s="37"/>
      <c r="I5" s="39"/>
      <c r="J5" s="38"/>
      <c r="K5" s="37"/>
      <c r="L5" s="37"/>
      <c r="M5" s="38"/>
      <c r="N5" s="39"/>
      <c r="O5" s="37"/>
      <c r="P5" s="38"/>
      <c r="Q5" s="38"/>
      <c r="R5" s="37"/>
      <c r="S5" s="39"/>
      <c r="T5" s="37"/>
      <c r="U5" s="38"/>
      <c r="V5" s="38"/>
      <c r="W5" s="40"/>
      <c r="X5" s="26"/>
      <c r="Y5" s="26"/>
      <c r="Z5" s="26"/>
      <c r="AA5" s="26"/>
      <c r="AB5" s="26"/>
      <c r="AC5" s="26"/>
      <c r="AD5" s="26"/>
      <c r="AE5" s="26"/>
      <c r="AF5" s="22"/>
      <c r="AG5" s="22"/>
      <c r="AH5" s="22"/>
      <c r="AI5" s="22"/>
      <c r="AJ5" s="22"/>
      <c r="AK5" s="22"/>
      <c r="AL5" s="22"/>
      <c r="AM5" s="22"/>
      <c r="AN5" s="22"/>
      <c r="AO5" s="22"/>
    </row>
    <row r="6" spans="1:41" s="42" customFormat="1" ht="23.25">
      <c r="A6" s="205" t="s">
        <v>10</v>
      </c>
      <c r="B6" s="206"/>
      <c r="C6" s="206"/>
      <c r="D6" s="206"/>
      <c r="E6" s="206"/>
      <c r="F6" s="206"/>
      <c r="G6" s="206"/>
      <c r="H6" s="206"/>
      <c r="I6" s="206"/>
      <c r="J6" s="206"/>
      <c r="K6" s="206"/>
      <c r="L6" s="207" t="s">
        <v>337</v>
      </c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9"/>
      <c r="X6" s="41"/>
      <c r="Y6" s="41"/>
      <c r="Z6" s="41"/>
      <c r="AA6" s="41"/>
      <c r="AB6" s="41"/>
      <c r="AC6" s="41"/>
      <c r="AD6" s="41"/>
      <c r="AE6" s="41"/>
    </row>
    <row r="7" spans="1:41" s="26" customFormat="1" ht="15.75" customHeight="1">
      <c r="A7" s="176" t="s">
        <v>12</v>
      </c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8"/>
      <c r="R7" s="182"/>
      <c r="S7" s="210"/>
      <c r="T7" s="210"/>
      <c r="U7" s="183"/>
      <c r="V7" s="182" t="s">
        <v>13</v>
      </c>
      <c r="W7" s="183"/>
    </row>
    <row r="8" spans="1:41" s="30" customFormat="1">
      <c r="A8" s="43" t="s">
        <v>14</v>
      </c>
      <c r="B8" s="197" t="s">
        <v>15</v>
      </c>
      <c r="C8" s="197"/>
      <c r="D8" s="197"/>
      <c r="E8" s="197"/>
      <c r="F8" s="197"/>
      <c r="G8" s="197"/>
      <c r="H8" s="197"/>
      <c r="I8" s="197"/>
      <c r="J8" s="197"/>
      <c r="K8" s="197"/>
      <c r="L8" s="197"/>
      <c r="M8" s="197"/>
      <c r="N8" s="197"/>
      <c r="O8" s="197"/>
      <c r="P8" s="197"/>
      <c r="Q8" s="198"/>
      <c r="R8" s="44"/>
      <c r="S8" s="45"/>
      <c r="T8" s="45"/>
      <c r="U8" s="46"/>
      <c r="V8" s="47">
        <v>1</v>
      </c>
      <c r="W8" s="48">
        <v>173062</v>
      </c>
      <c r="X8" s="26"/>
      <c r="Y8" s="26"/>
      <c r="Z8" s="26"/>
      <c r="AA8" s="26"/>
      <c r="AB8" s="26"/>
      <c r="AC8" s="26"/>
      <c r="AD8" s="26"/>
      <c r="AE8" s="26"/>
    </row>
    <row r="9" spans="1:41" s="55" customFormat="1">
      <c r="A9" s="43"/>
      <c r="B9" s="49" t="s">
        <v>16</v>
      </c>
      <c r="C9" s="189" t="s">
        <v>17</v>
      </c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90"/>
      <c r="R9" s="50"/>
      <c r="S9" s="51"/>
      <c r="T9" s="51"/>
      <c r="U9" s="52"/>
      <c r="V9" s="53">
        <v>2</v>
      </c>
      <c r="W9" s="54">
        <v>52990</v>
      </c>
      <c r="X9" s="26"/>
      <c r="Y9" s="26"/>
      <c r="Z9" s="26"/>
      <c r="AA9" s="26"/>
      <c r="AB9" s="26"/>
      <c r="AC9" s="26"/>
      <c r="AD9" s="26"/>
      <c r="AE9" s="26"/>
    </row>
    <row r="10" spans="1:41" s="55" customFormat="1">
      <c r="A10" s="43" t="s">
        <v>18</v>
      </c>
      <c r="B10" s="201" t="s">
        <v>19</v>
      </c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2"/>
      <c r="R10" s="50"/>
      <c r="S10" s="51"/>
      <c r="T10" s="51"/>
      <c r="U10" s="52"/>
      <c r="V10" s="70">
        <v>3</v>
      </c>
      <c r="W10" s="152">
        <v>159883</v>
      </c>
      <c r="X10" s="26"/>
      <c r="Y10" s="26"/>
      <c r="Z10" s="26"/>
      <c r="AA10" s="26"/>
      <c r="AB10" s="26"/>
      <c r="AC10" s="26"/>
      <c r="AD10" s="26"/>
      <c r="AE10" s="26"/>
    </row>
    <row r="11" spans="1:41" s="55" customFormat="1">
      <c r="A11" s="43"/>
      <c r="B11" s="56" t="s">
        <v>20</v>
      </c>
      <c r="C11" s="189" t="s">
        <v>21</v>
      </c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90"/>
      <c r="R11" s="57"/>
      <c r="S11" s="58"/>
      <c r="T11" s="58"/>
      <c r="U11" s="59"/>
      <c r="V11" s="60">
        <v>4</v>
      </c>
      <c r="W11" s="48">
        <v>103538</v>
      </c>
      <c r="X11" s="26"/>
      <c r="Y11" s="26"/>
      <c r="Z11" s="26"/>
      <c r="AA11" s="26"/>
      <c r="AB11" s="26"/>
      <c r="AC11" s="26"/>
      <c r="AD11" s="26"/>
      <c r="AE11" s="26"/>
    </row>
    <row r="12" spans="1:41" s="55" customFormat="1">
      <c r="A12" s="43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61"/>
      <c r="R12" s="182" t="s">
        <v>22</v>
      </c>
      <c r="S12" s="183"/>
      <c r="T12" s="182" t="s">
        <v>23</v>
      </c>
      <c r="U12" s="183"/>
      <c r="V12" s="182" t="s">
        <v>24</v>
      </c>
      <c r="W12" s="183"/>
      <c r="X12" s="26"/>
      <c r="Y12" s="26"/>
      <c r="Z12" s="26"/>
      <c r="AA12" s="26"/>
      <c r="AB12" s="26"/>
      <c r="AC12" s="26"/>
      <c r="AD12" s="26"/>
      <c r="AE12" s="26"/>
    </row>
    <row r="13" spans="1:41" s="55" customFormat="1">
      <c r="A13" s="43"/>
      <c r="B13" s="56"/>
      <c r="C13" s="56" t="s">
        <v>25</v>
      </c>
      <c r="D13" s="189" t="s">
        <v>26</v>
      </c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90"/>
      <c r="R13" s="47">
        <v>5</v>
      </c>
      <c r="S13" s="48">
        <v>150</v>
      </c>
      <c r="T13" s="47">
        <v>6</v>
      </c>
      <c r="U13" s="48">
        <v>1490</v>
      </c>
      <c r="V13" s="62">
        <v>7</v>
      </c>
      <c r="W13" s="153">
        <v>1640</v>
      </c>
      <c r="X13" s="26"/>
      <c r="Y13" s="26"/>
      <c r="Z13" s="26"/>
      <c r="AA13" s="26"/>
      <c r="AB13" s="26"/>
      <c r="AC13" s="26"/>
      <c r="AD13" s="26"/>
      <c r="AE13" s="26"/>
    </row>
    <row r="14" spans="1:41" s="55" customFormat="1">
      <c r="A14" s="63"/>
      <c r="B14" s="64" t="s">
        <v>27</v>
      </c>
      <c r="C14" s="189" t="s">
        <v>28</v>
      </c>
      <c r="D14" s="189"/>
      <c r="E14" s="189"/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90"/>
      <c r="R14" s="65">
        <v>8</v>
      </c>
      <c r="S14" s="154">
        <v>184</v>
      </c>
      <c r="T14" s="65">
        <v>9</v>
      </c>
      <c r="U14" s="154">
        <v>49210</v>
      </c>
      <c r="V14" s="65">
        <v>10</v>
      </c>
      <c r="W14" s="155">
        <v>49394</v>
      </c>
      <c r="X14" s="26"/>
      <c r="Y14" s="26"/>
      <c r="Z14" s="26"/>
      <c r="AA14" s="26"/>
      <c r="AB14" s="26"/>
      <c r="AC14" s="26"/>
      <c r="AD14" s="26"/>
      <c r="AE14" s="26"/>
    </row>
    <row r="15" spans="1:41" s="55" customFormat="1">
      <c r="A15" s="66"/>
      <c r="B15" s="64"/>
      <c r="C15" s="64" t="s">
        <v>25</v>
      </c>
      <c r="D15" s="189" t="s">
        <v>29</v>
      </c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90"/>
      <c r="R15" s="53">
        <v>11</v>
      </c>
      <c r="S15" s="48">
        <v>105</v>
      </c>
      <c r="T15" s="53">
        <v>12</v>
      </c>
      <c r="U15" s="48">
        <v>23037</v>
      </c>
      <c r="V15" s="65">
        <v>13</v>
      </c>
      <c r="W15" s="155">
        <v>23142</v>
      </c>
      <c r="X15" s="26"/>
      <c r="Y15" s="26"/>
      <c r="Z15" s="26"/>
      <c r="AA15" s="26"/>
      <c r="AB15" s="26"/>
      <c r="AC15" s="26"/>
      <c r="AD15" s="26"/>
      <c r="AE15" s="26"/>
    </row>
    <row r="16" spans="1:41" s="55" customFormat="1">
      <c r="A16" s="63"/>
      <c r="B16" s="64"/>
      <c r="C16" s="67" t="s">
        <v>30</v>
      </c>
      <c r="D16" s="189" t="s">
        <v>31</v>
      </c>
      <c r="E16" s="189"/>
      <c r="F16" s="189"/>
      <c r="G16" s="189"/>
      <c r="H16" s="189"/>
      <c r="I16" s="189"/>
      <c r="J16" s="189"/>
      <c r="K16" s="189"/>
      <c r="L16" s="189"/>
      <c r="M16" s="189"/>
      <c r="N16" s="189"/>
      <c r="O16" s="189"/>
      <c r="P16" s="189"/>
      <c r="Q16" s="190"/>
      <c r="R16" s="53">
        <v>14</v>
      </c>
      <c r="S16" s="48">
        <v>79</v>
      </c>
      <c r="T16" s="53">
        <v>15</v>
      </c>
      <c r="U16" s="48">
        <v>26173</v>
      </c>
      <c r="V16" s="65">
        <v>16</v>
      </c>
      <c r="W16" s="155">
        <v>26252</v>
      </c>
      <c r="X16" s="26"/>
      <c r="Y16" s="26"/>
      <c r="Z16" s="26"/>
      <c r="AA16" s="26"/>
      <c r="AB16" s="26"/>
      <c r="AC16" s="26"/>
      <c r="AD16" s="26"/>
      <c r="AE16" s="26"/>
    </row>
    <row r="17" spans="1:31" s="55" customFormat="1">
      <c r="A17" s="63"/>
      <c r="B17" s="64"/>
      <c r="C17" s="56" t="s">
        <v>32</v>
      </c>
      <c r="D17" s="199" t="s">
        <v>33</v>
      </c>
      <c r="E17" s="199"/>
      <c r="F17" s="199"/>
      <c r="G17" s="199"/>
      <c r="H17" s="199"/>
      <c r="I17" s="199"/>
      <c r="J17" s="199"/>
      <c r="K17" s="199"/>
      <c r="L17" s="199"/>
      <c r="M17" s="199"/>
      <c r="N17" s="199"/>
      <c r="O17" s="199"/>
      <c r="P17" s="199"/>
      <c r="Q17" s="200"/>
      <c r="R17" s="53">
        <v>17</v>
      </c>
      <c r="S17" s="48">
        <v>11</v>
      </c>
      <c r="T17" s="53">
        <v>18</v>
      </c>
      <c r="U17" s="48">
        <v>2046</v>
      </c>
      <c r="V17" s="65">
        <v>19</v>
      </c>
      <c r="W17" s="155">
        <v>2057</v>
      </c>
      <c r="X17" s="26"/>
      <c r="Y17" s="26"/>
      <c r="Z17" s="26"/>
      <c r="AA17" s="26"/>
      <c r="AB17" s="26"/>
      <c r="AC17" s="26"/>
      <c r="AD17" s="26"/>
      <c r="AE17" s="26"/>
    </row>
    <row r="18" spans="1:31" s="55" customFormat="1">
      <c r="A18" s="63"/>
      <c r="B18" s="64" t="s">
        <v>34</v>
      </c>
      <c r="C18" s="195" t="s">
        <v>35</v>
      </c>
      <c r="D18" s="195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5"/>
      <c r="Q18" s="196"/>
      <c r="R18" s="60">
        <v>20</v>
      </c>
      <c r="S18" s="48">
        <v>44</v>
      </c>
      <c r="T18" s="60">
        <v>21</v>
      </c>
      <c r="U18" s="48">
        <v>6907</v>
      </c>
      <c r="V18" s="65">
        <v>22</v>
      </c>
      <c r="W18" s="155">
        <v>6951</v>
      </c>
      <c r="X18" s="26"/>
      <c r="Y18" s="26"/>
      <c r="Z18" s="26"/>
      <c r="AA18" s="26"/>
      <c r="AB18" s="26"/>
      <c r="AC18" s="26"/>
      <c r="AD18" s="26"/>
      <c r="AE18" s="26"/>
    </row>
    <row r="19" spans="1:31" s="55" customFormat="1" ht="15.75">
      <c r="A19" s="176" t="s">
        <v>36</v>
      </c>
      <c r="B19" s="177"/>
      <c r="C19" s="177"/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8"/>
      <c r="R19" s="182" t="s">
        <v>22</v>
      </c>
      <c r="S19" s="183"/>
      <c r="T19" s="182" t="s">
        <v>23</v>
      </c>
      <c r="U19" s="183"/>
      <c r="V19" s="182" t="s">
        <v>24</v>
      </c>
      <c r="W19" s="183"/>
      <c r="X19" s="26"/>
      <c r="Y19" s="26"/>
      <c r="Z19" s="26"/>
      <c r="AA19" s="26"/>
      <c r="AB19" s="26"/>
      <c r="AC19" s="26"/>
      <c r="AD19" s="26"/>
      <c r="AE19" s="26"/>
    </row>
    <row r="20" spans="1:31" s="55" customFormat="1">
      <c r="A20" s="68" t="s">
        <v>37</v>
      </c>
      <c r="B20" s="197" t="s">
        <v>38</v>
      </c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197"/>
      <c r="Q20" s="198"/>
      <c r="R20" s="69">
        <v>23</v>
      </c>
      <c r="S20" s="154">
        <v>4795</v>
      </c>
      <c r="T20" s="69">
        <v>24</v>
      </c>
      <c r="U20" s="154">
        <v>140173</v>
      </c>
      <c r="V20" s="62">
        <v>25</v>
      </c>
      <c r="W20" s="154">
        <v>144968</v>
      </c>
      <c r="X20" s="26"/>
      <c r="Y20" s="26"/>
      <c r="Z20" s="26"/>
      <c r="AA20" s="26"/>
      <c r="AB20" s="26"/>
      <c r="AC20" s="26"/>
      <c r="AD20" s="26"/>
      <c r="AE20" s="26"/>
    </row>
    <row r="21" spans="1:31" s="26" customFormat="1">
      <c r="A21" s="68"/>
      <c r="B21" s="56" t="s">
        <v>39</v>
      </c>
      <c r="C21" s="189" t="s">
        <v>40</v>
      </c>
      <c r="D21" s="189"/>
      <c r="E21" s="189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90"/>
      <c r="R21" s="70">
        <v>26</v>
      </c>
      <c r="S21" s="152">
        <v>3145</v>
      </c>
      <c r="T21" s="70">
        <v>27</v>
      </c>
      <c r="U21" s="152">
        <v>58593</v>
      </c>
      <c r="V21" s="65">
        <v>28</v>
      </c>
      <c r="W21" s="152">
        <v>61738</v>
      </c>
    </row>
    <row r="22" spans="1:31" s="26" customFormat="1">
      <c r="A22" s="71"/>
      <c r="B22" s="56"/>
      <c r="C22" s="72" t="s">
        <v>41</v>
      </c>
      <c r="D22" s="191" t="s">
        <v>42</v>
      </c>
      <c r="E22" s="191"/>
      <c r="F22" s="191"/>
      <c r="G22" s="191"/>
      <c r="H22" s="191"/>
      <c r="I22" s="191"/>
      <c r="J22" s="191"/>
      <c r="K22" s="191"/>
      <c r="L22" s="191"/>
      <c r="M22" s="191"/>
      <c r="N22" s="191"/>
      <c r="O22" s="191"/>
      <c r="P22" s="191"/>
      <c r="Q22" s="192"/>
      <c r="R22" s="53">
        <v>29</v>
      </c>
      <c r="S22" s="48">
        <v>2747</v>
      </c>
      <c r="T22" s="53">
        <v>30</v>
      </c>
      <c r="U22" s="48">
        <v>54686</v>
      </c>
      <c r="V22" s="65">
        <v>31</v>
      </c>
      <c r="W22" s="155">
        <v>57433</v>
      </c>
    </row>
    <row r="23" spans="1:31" s="26" customFormat="1">
      <c r="A23" s="71"/>
      <c r="B23" s="56"/>
      <c r="C23" s="72" t="s">
        <v>43</v>
      </c>
      <c r="D23" s="191" t="s">
        <v>44</v>
      </c>
      <c r="E23" s="191"/>
      <c r="F23" s="191"/>
      <c r="G23" s="191"/>
      <c r="H23" s="191"/>
      <c r="I23" s="191"/>
      <c r="J23" s="191"/>
      <c r="K23" s="191"/>
      <c r="L23" s="191"/>
      <c r="M23" s="191"/>
      <c r="N23" s="191"/>
      <c r="O23" s="191"/>
      <c r="P23" s="191"/>
      <c r="Q23" s="192"/>
      <c r="R23" s="53">
        <v>32</v>
      </c>
      <c r="S23" s="48">
        <v>152</v>
      </c>
      <c r="T23" s="53">
        <v>33</v>
      </c>
      <c r="U23" s="48">
        <v>2151</v>
      </c>
      <c r="V23" s="65">
        <v>34</v>
      </c>
      <c r="W23" s="155">
        <v>2303</v>
      </c>
    </row>
    <row r="24" spans="1:31" s="26" customFormat="1">
      <c r="A24" s="71"/>
      <c r="B24" s="56"/>
      <c r="C24" s="72" t="s">
        <v>45</v>
      </c>
      <c r="D24" s="191" t="s">
        <v>46</v>
      </c>
      <c r="E24" s="191"/>
      <c r="F24" s="191"/>
      <c r="G24" s="191"/>
      <c r="H24" s="191"/>
      <c r="I24" s="191"/>
      <c r="J24" s="191"/>
      <c r="K24" s="191"/>
      <c r="L24" s="191"/>
      <c r="M24" s="191"/>
      <c r="N24" s="191"/>
      <c r="O24" s="191"/>
      <c r="P24" s="191"/>
      <c r="Q24" s="192"/>
      <c r="R24" s="53">
        <v>35</v>
      </c>
      <c r="S24" s="48">
        <v>246</v>
      </c>
      <c r="T24" s="53">
        <v>36</v>
      </c>
      <c r="U24" s="48">
        <v>1756</v>
      </c>
      <c r="V24" s="65">
        <v>37</v>
      </c>
      <c r="W24" s="155">
        <v>2002</v>
      </c>
    </row>
    <row r="25" spans="1:31" s="26" customFormat="1">
      <c r="A25" s="68"/>
      <c r="B25" s="56" t="s">
        <v>47</v>
      </c>
      <c r="C25" s="193" t="s">
        <v>48</v>
      </c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3"/>
      <c r="Q25" s="194"/>
      <c r="R25" s="60">
        <v>38</v>
      </c>
      <c r="S25" s="48">
        <v>1650</v>
      </c>
      <c r="T25" s="60">
        <v>39</v>
      </c>
      <c r="U25" s="48">
        <v>81580</v>
      </c>
      <c r="V25" s="65">
        <v>40</v>
      </c>
      <c r="W25" s="155">
        <v>83230</v>
      </c>
    </row>
    <row r="26" spans="1:31" s="26" customFormat="1" ht="15.75">
      <c r="A26" s="176" t="s">
        <v>49</v>
      </c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8"/>
      <c r="R26" s="182" t="s">
        <v>22</v>
      </c>
      <c r="S26" s="183"/>
      <c r="T26" s="182" t="s">
        <v>23</v>
      </c>
      <c r="U26" s="183"/>
      <c r="V26" s="182" t="s">
        <v>24</v>
      </c>
      <c r="W26" s="183"/>
    </row>
    <row r="27" spans="1:31" s="26" customFormat="1">
      <c r="A27" s="68" t="s">
        <v>50</v>
      </c>
      <c r="B27" s="172" t="s">
        <v>51</v>
      </c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3"/>
      <c r="R27" s="47">
        <v>41</v>
      </c>
      <c r="S27" s="48">
        <v>223412</v>
      </c>
      <c r="T27" s="47">
        <v>42</v>
      </c>
      <c r="U27" s="48">
        <v>1559958</v>
      </c>
      <c r="V27" s="62">
        <v>43</v>
      </c>
      <c r="W27" s="153">
        <v>1783370</v>
      </c>
    </row>
    <row r="28" spans="1:31" s="26" customFormat="1">
      <c r="A28" s="68"/>
      <c r="B28" s="73" t="s">
        <v>39</v>
      </c>
      <c r="C28" s="172" t="s">
        <v>52</v>
      </c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3"/>
      <c r="R28" s="53">
        <v>44</v>
      </c>
      <c r="S28" s="48">
        <v>224215</v>
      </c>
      <c r="T28" s="53">
        <v>45</v>
      </c>
      <c r="U28" s="48">
        <v>1567621</v>
      </c>
      <c r="V28" s="65">
        <v>46</v>
      </c>
      <c r="W28" s="155">
        <v>1791836</v>
      </c>
    </row>
    <row r="29" spans="1:31" s="26" customFormat="1">
      <c r="A29" s="68"/>
      <c r="B29" s="73" t="s">
        <v>47</v>
      </c>
      <c r="C29" s="172" t="s">
        <v>53</v>
      </c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2"/>
      <c r="O29" s="172"/>
      <c r="P29" s="172"/>
      <c r="Q29" s="173"/>
      <c r="R29" s="70">
        <v>47</v>
      </c>
      <c r="S29" s="156">
        <v>-803</v>
      </c>
      <c r="T29" s="70">
        <v>48</v>
      </c>
      <c r="U29" s="156">
        <v>-7663</v>
      </c>
      <c r="V29" s="65">
        <v>49</v>
      </c>
      <c r="W29" s="157">
        <v>-8466</v>
      </c>
    </row>
    <row r="30" spans="1:31" s="26" customFormat="1">
      <c r="A30" s="68" t="s">
        <v>54</v>
      </c>
      <c r="B30" s="172" t="s">
        <v>55</v>
      </c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3"/>
      <c r="R30" s="65">
        <v>50</v>
      </c>
      <c r="S30" s="158">
        <v>13094</v>
      </c>
      <c r="T30" s="65">
        <v>51</v>
      </c>
      <c r="U30" s="158">
        <v>160593</v>
      </c>
      <c r="V30" s="65">
        <v>52</v>
      </c>
      <c r="W30" s="155">
        <v>173687</v>
      </c>
    </row>
    <row r="31" spans="1:31" s="78" customFormat="1" ht="12.75" customHeight="1">
      <c r="A31" s="71"/>
      <c r="B31" s="73"/>
      <c r="C31" s="73"/>
      <c r="D31" s="73"/>
      <c r="E31" s="74"/>
      <c r="F31" s="180" t="s">
        <v>56</v>
      </c>
      <c r="G31" s="184"/>
      <c r="H31" s="184"/>
      <c r="I31" s="184"/>
      <c r="J31" s="184"/>
      <c r="K31" s="181"/>
      <c r="L31" s="180" t="s">
        <v>57</v>
      </c>
      <c r="M31" s="184"/>
      <c r="N31" s="184"/>
      <c r="O31" s="184"/>
      <c r="P31" s="184"/>
      <c r="Q31" s="181"/>
      <c r="R31" s="75"/>
      <c r="S31" s="76"/>
      <c r="T31" s="76"/>
      <c r="U31" s="76"/>
      <c r="V31" s="76"/>
      <c r="W31" s="77"/>
    </row>
    <row r="32" spans="1:31" s="26" customFormat="1">
      <c r="A32" s="71"/>
      <c r="B32" s="73"/>
      <c r="C32" s="73"/>
      <c r="D32" s="73"/>
      <c r="E32" s="56"/>
      <c r="F32" s="180" t="s">
        <v>58</v>
      </c>
      <c r="G32" s="181"/>
      <c r="H32" s="180" t="s">
        <v>59</v>
      </c>
      <c r="I32" s="181"/>
      <c r="J32" s="180" t="s">
        <v>60</v>
      </c>
      <c r="K32" s="181"/>
      <c r="L32" s="180" t="s">
        <v>58</v>
      </c>
      <c r="M32" s="181"/>
      <c r="N32" s="180" t="s">
        <v>59</v>
      </c>
      <c r="O32" s="181"/>
      <c r="P32" s="180" t="s">
        <v>60</v>
      </c>
      <c r="Q32" s="181"/>
      <c r="R32" s="79"/>
      <c r="S32" s="80"/>
      <c r="T32" s="80"/>
      <c r="U32" s="80"/>
      <c r="V32" s="80"/>
      <c r="W32" s="81"/>
    </row>
    <row r="33" spans="1:23" s="26" customFormat="1">
      <c r="A33" s="71"/>
      <c r="B33" s="73" t="s">
        <v>20</v>
      </c>
      <c r="C33" s="172" t="s">
        <v>61</v>
      </c>
      <c r="D33" s="172"/>
      <c r="E33" s="173"/>
      <c r="F33" s="82">
        <v>53</v>
      </c>
      <c r="G33" s="48">
        <v>6433</v>
      </c>
      <c r="H33" s="82">
        <v>54</v>
      </c>
      <c r="I33" s="48">
        <v>122</v>
      </c>
      <c r="J33" s="82">
        <v>55</v>
      </c>
      <c r="K33" s="48">
        <v>15</v>
      </c>
      <c r="L33" s="82">
        <v>56</v>
      </c>
      <c r="M33" s="48">
        <v>95229</v>
      </c>
      <c r="N33" s="82">
        <v>57</v>
      </c>
      <c r="O33" s="48">
        <v>1072</v>
      </c>
      <c r="P33" s="82">
        <v>58</v>
      </c>
      <c r="Q33" s="48">
        <v>667</v>
      </c>
      <c r="R33" s="70">
        <v>59</v>
      </c>
      <c r="S33" s="159">
        <v>6570</v>
      </c>
      <c r="T33" s="83">
        <v>60</v>
      </c>
      <c r="U33" s="159">
        <v>96968</v>
      </c>
      <c r="V33" s="65">
        <v>61</v>
      </c>
      <c r="W33" s="155">
        <v>103538</v>
      </c>
    </row>
    <row r="34" spans="1:23" s="26" customFormat="1">
      <c r="A34" s="71"/>
      <c r="B34" s="73" t="s">
        <v>27</v>
      </c>
      <c r="C34" s="172" t="s">
        <v>62</v>
      </c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3"/>
      <c r="R34" s="53">
        <v>62</v>
      </c>
      <c r="S34" s="84">
        <v>-2036</v>
      </c>
      <c r="T34" s="85">
        <v>63</v>
      </c>
      <c r="U34" s="48">
        <v>2036</v>
      </c>
      <c r="V34" s="65">
        <v>64</v>
      </c>
      <c r="W34" s="155">
        <v>0</v>
      </c>
    </row>
    <row r="35" spans="1:23" s="26" customFormat="1">
      <c r="A35" s="71"/>
      <c r="B35" s="73" t="s">
        <v>63</v>
      </c>
      <c r="C35" s="172" t="s">
        <v>64</v>
      </c>
      <c r="D35" s="172"/>
      <c r="E35" s="172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3"/>
      <c r="R35" s="53">
        <v>65</v>
      </c>
      <c r="S35" s="48">
        <v>464</v>
      </c>
      <c r="T35" s="85">
        <v>66</v>
      </c>
      <c r="U35" s="48">
        <v>2262</v>
      </c>
      <c r="V35" s="65">
        <v>67</v>
      </c>
      <c r="W35" s="155">
        <v>2726</v>
      </c>
    </row>
    <row r="36" spans="1:23" s="26" customFormat="1">
      <c r="A36" s="71"/>
      <c r="B36" s="73" t="s">
        <v>65</v>
      </c>
      <c r="C36" s="172" t="s">
        <v>66</v>
      </c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3"/>
      <c r="R36" s="53">
        <v>68</v>
      </c>
      <c r="S36" s="48">
        <v>1074</v>
      </c>
      <c r="T36" s="85">
        <v>69</v>
      </c>
      <c r="U36" s="48">
        <v>14696</v>
      </c>
      <c r="V36" s="65">
        <v>70</v>
      </c>
      <c r="W36" s="155">
        <v>15770</v>
      </c>
    </row>
    <row r="37" spans="1:23" s="26" customFormat="1">
      <c r="A37" s="68"/>
      <c r="B37" s="73" t="s">
        <v>67</v>
      </c>
      <c r="C37" s="172" t="s">
        <v>68</v>
      </c>
      <c r="D37" s="172"/>
      <c r="E37" s="172"/>
      <c r="F37" s="172"/>
      <c r="G37" s="172"/>
      <c r="H37" s="172"/>
      <c r="I37" s="172"/>
      <c r="J37" s="172"/>
      <c r="K37" s="172"/>
      <c r="L37" s="172"/>
      <c r="M37" s="172"/>
      <c r="N37" s="172"/>
      <c r="O37" s="172"/>
      <c r="P37" s="172"/>
      <c r="Q37" s="173"/>
      <c r="R37" s="53">
        <v>71</v>
      </c>
      <c r="S37" s="48">
        <v>7022</v>
      </c>
      <c r="T37" s="85">
        <v>72</v>
      </c>
      <c r="U37" s="48">
        <v>44631</v>
      </c>
      <c r="V37" s="65">
        <v>73</v>
      </c>
      <c r="W37" s="155">
        <v>51653</v>
      </c>
    </row>
    <row r="38" spans="1:23" s="26" customFormat="1">
      <c r="A38" s="68" t="s">
        <v>69</v>
      </c>
      <c r="B38" s="172" t="s">
        <v>70</v>
      </c>
      <c r="C38" s="172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72"/>
      <c r="Q38" s="173"/>
      <c r="R38" s="86"/>
      <c r="S38" s="87"/>
      <c r="T38" s="87"/>
      <c r="U38" s="87"/>
      <c r="V38" s="87"/>
      <c r="W38" s="88"/>
    </row>
    <row r="39" spans="1:23" s="26" customFormat="1">
      <c r="A39" s="71"/>
      <c r="B39" s="172" t="s">
        <v>71</v>
      </c>
      <c r="C39" s="172"/>
      <c r="D39" s="172"/>
      <c r="E39" s="172"/>
      <c r="F39" s="172"/>
      <c r="G39" s="172"/>
      <c r="H39" s="172"/>
      <c r="I39" s="172"/>
      <c r="J39" s="172"/>
      <c r="K39" s="172"/>
      <c r="L39" s="172"/>
      <c r="M39" s="172"/>
      <c r="N39" s="172"/>
      <c r="O39" s="172"/>
      <c r="P39" s="172"/>
      <c r="Q39" s="173"/>
      <c r="R39" s="70">
        <v>74</v>
      </c>
      <c r="S39" s="159">
        <v>236506</v>
      </c>
      <c r="T39" s="83">
        <v>75</v>
      </c>
      <c r="U39" s="159">
        <v>1720551</v>
      </c>
      <c r="V39" s="65">
        <v>76</v>
      </c>
      <c r="W39" s="155">
        <v>1957057</v>
      </c>
    </row>
    <row r="40" spans="1:23" s="26" customFormat="1">
      <c r="A40" s="71"/>
      <c r="B40" s="73" t="s">
        <v>20</v>
      </c>
      <c r="C40" s="187" t="s">
        <v>72</v>
      </c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8"/>
      <c r="R40" s="89">
        <v>77</v>
      </c>
      <c r="S40" s="48">
        <v>231773</v>
      </c>
      <c r="T40" s="89">
        <v>78</v>
      </c>
      <c r="U40" s="48">
        <v>1691711</v>
      </c>
      <c r="V40" s="65">
        <v>79</v>
      </c>
      <c r="W40" s="155">
        <v>1923484</v>
      </c>
    </row>
    <row r="41" spans="1:23" s="26" customFormat="1">
      <c r="A41" s="71"/>
      <c r="B41" s="56"/>
      <c r="C41" s="90" t="s">
        <v>25</v>
      </c>
      <c r="D41" s="172" t="s">
        <v>73</v>
      </c>
      <c r="E41" s="172"/>
      <c r="F41" s="172"/>
      <c r="G41" s="172"/>
      <c r="H41" s="172"/>
      <c r="I41" s="172"/>
      <c r="J41" s="172"/>
      <c r="K41" s="173"/>
      <c r="L41" s="180" t="s">
        <v>74</v>
      </c>
      <c r="M41" s="181"/>
      <c r="N41" s="180" t="s">
        <v>75</v>
      </c>
      <c r="O41" s="184"/>
      <c r="P41" s="184"/>
      <c r="Q41" s="181"/>
      <c r="R41" s="75"/>
      <c r="S41" s="76"/>
      <c r="T41" s="76"/>
      <c r="U41" s="76"/>
      <c r="V41" s="76"/>
      <c r="W41" s="77"/>
    </row>
    <row r="42" spans="1:23" s="26" customFormat="1">
      <c r="A42" s="71"/>
      <c r="B42" s="56"/>
      <c r="C42" s="73"/>
      <c r="D42" s="172" t="s">
        <v>76</v>
      </c>
      <c r="E42" s="172"/>
      <c r="F42" s="172"/>
      <c r="G42" s="172"/>
      <c r="H42" s="172"/>
      <c r="I42" s="172"/>
      <c r="J42" s="172"/>
      <c r="K42" s="173"/>
      <c r="L42" s="91">
        <v>80</v>
      </c>
      <c r="M42" s="48">
        <v>3995768</v>
      </c>
      <c r="N42" s="180" t="s">
        <v>77</v>
      </c>
      <c r="O42" s="181"/>
      <c r="P42" s="180" t="s">
        <v>78</v>
      </c>
      <c r="Q42" s="181"/>
      <c r="R42" s="79"/>
      <c r="S42" s="80"/>
      <c r="T42" s="80"/>
      <c r="U42" s="80"/>
      <c r="V42" s="80"/>
      <c r="W42" s="81"/>
    </row>
    <row r="43" spans="1:23" s="26" customFormat="1">
      <c r="A43" s="71"/>
      <c r="B43" s="73" t="s">
        <v>27</v>
      </c>
      <c r="C43" s="172" t="s">
        <v>79</v>
      </c>
      <c r="D43" s="172"/>
      <c r="E43" s="172"/>
      <c r="F43" s="172"/>
      <c r="G43" s="172"/>
      <c r="H43" s="172"/>
      <c r="I43" s="172"/>
      <c r="J43" s="172"/>
      <c r="K43" s="172"/>
      <c r="L43" s="172"/>
      <c r="M43" s="173"/>
      <c r="N43" s="91">
        <v>81</v>
      </c>
      <c r="O43" s="48">
        <v>2430</v>
      </c>
      <c r="P43" s="91">
        <v>82</v>
      </c>
      <c r="Q43" s="48">
        <v>28810</v>
      </c>
      <c r="R43" s="53">
        <v>83</v>
      </c>
      <c r="S43" s="48">
        <v>4472</v>
      </c>
      <c r="T43" s="53">
        <v>84</v>
      </c>
      <c r="U43" s="48">
        <v>19206</v>
      </c>
      <c r="V43" s="70">
        <v>85</v>
      </c>
      <c r="W43" s="160">
        <v>23678</v>
      </c>
    </row>
    <row r="44" spans="1:23" s="26" customFormat="1">
      <c r="A44" s="71"/>
      <c r="B44" s="73" t="s">
        <v>34</v>
      </c>
      <c r="C44" s="172" t="s">
        <v>80</v>
      </c>
      <c r="D44" s="172"/>
      <c r="E44" s="172"/>
      <c r="F44" s="172"/>
      <c r="G44" s="172"/>
      <c r="H44" s="172"/>
      <c r="I44" s="172"/>
      <c r="J44" s="172"/>
      <c r="K44" s="172"/>
      <c r="L44" s="172"/>
      <c r="M44" s="173"/>
      <c r="N44" s="92">
        <v>86</v>
      </c>
      <c r="O44" s="48">
        <v>11996</v>
      </c>
      <c r="P44" s="92">
        <v>87</v>
      </c>
      <c r="Q44" s="48">
        <v>1066</v>
      </c>
      <c r="R44" s="53">
        <v>88</v>
      </c>
      <c r="S44" s="48">
        <v>261</v>
      </c>
      <c r="T44" s="53">
        <v>89</v>
      </c>
      <c r="U44" s="48">
        <v>9634</v>
      </c>
      <c r="V44" s="70">
        <v>90</v>
      </c>
      <c r="W44" s="160">
        <v>9895</v>
      </c>
    </row>
    <row r="45" spans="1:23" s="26" customFormat="1">
      <c r="A45" s="68" t="s">
        <v>81</v>
      </c>
      <c r="B45" s="172" t="s">
        <v>82</v>
      </c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3"/>
      <c r="R45" s="53">
        <v>91</v>
      </c>
      <c r="S45" s="48">
        <v>11291</v>
      </c>
      <c r="T45" s="53">
        <v>92</v>
      </c>
      <c r="U45" s="48">
        <v>132443</v>
      </c>
      <c r="V45" s="70">
        <v>93</v>
      </c>
      <c r="W45" s="160">
        <v>143734</v>
      </c>
    </row>
    <row r="46" spans="1:23" s="26" customFormat="1">
      <c r="A46" s="93"/>
      <c r="B46" s="94" t="s">
        <v>16</v>
      </c>
      <c r="C46" s="185" t="s">
        <v>83</v>
      </c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6"/>
      <c r="R46" s="53">
        <v>94</v>
      </c>
      <c r="S46" s="48">
        <v>69</v>
      </c>
      <c r="T46" s="53">
        <v>95</v>
      </c>
      <c r="U46" s="48">
        <v>865</v>
      </c>
      <c r="V46" s="70">
        <v>96</v>
      </c>
      <c r="W46" s="160">
        <v>934</v>
      </c>
    </row>
    <row r="47" spans="1:23" s="26" customFormat="1">
      <c r="A47" s="68" t="s">
        <v>84</v>
      </c>
      <c r="B47" s="172" t="s">
        <v>85</v>
      </c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3"/>
      <c r="R47" s="95">
        <v>97</v>
      </c>
      <c r="S47" s="161">
        <v>225215</v>
      </c>
      <c r="T47" s="95">
        <v>98</v>
      </c>
      <c r="U47" s="162">
        <v>1588108</v>
      </c>
      <c r="V47" s="65">
        <v>99</v>
      </c>
      <c r="W47" s="155">
        <v>1813323</v>
      </c>
    </row>
    <row r="48" spans="1:23" s="26" customFormat="1" ht="15.75">
      <c r="A48" s="176" t="s">
        <v>86</v>
      </c>
      <c r="B48" s="177"/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8"/>
      <c r="R48" s="182" t="s">
        <v>22</v>
      </c>
      <c r="S48" s="183"/>
      <c r="T48" s="182" t="s">
        <v>23</v>
      </c>
      <c r="U48" s="183"/>
      <c r="V48" s="182" t="s">
        <v>24</v>
      </c>
      <c r="W48" s="183"/>
    </row>
    <row r="49" spans="1:31" s="26" customFormat="1" ht="13.5" customHeight="1">
      <c r="A49" s="71" t="s">
        <v>87</v>
      </c>
      <c r="B49" s="172" t="s">
        <v>88</v>
      </c>
      <c r="C49" s="172"/>
      <c r="D49" s="172"/>
      <c r="E49" s="172"/>
      <c r="F49" s="172"/>
      <c r="G49" s="172"/>
      <c r="H49" s="172"/>
      <c r="I49" s="172"/>
      <c r="J49" s="172"/>
      <c r="K49" s="172"/>
      <c r="L49" s="172"/>
      <c r="M49" s="172"/>
      <c r="N49" s="172"/>
      <c r="O49" s="172"/>
      <c r="P49" s="172"/>
      <c r="Q49" s="173"/>
      <c r="R49" s="96">
        <v>100</v>
      </c>
      <c r="S49" s="163">
        <v>17316</v>
      </c>
      <c r="T49" s="96">
        <v>101</v>
      </c>
      <c r="U49" s="163">
        <v>83244</v>
      </c>
      <c r="V49" s="69">
        <v>102</v>
      </c>
      <c r="W49" s="164">
        <v>100560</v>
      </c>
    </row>
    <row r="50" spans="1:31" s="100" customFormat="1" ht="14.25" customHeight="1">
      <c r="A50" s="71"/>
      <c r="B50" s="73"/>
      <c r="C50" s="73"/>
      <c r="D50" s="73"/>
      <c r="E50" s="73"/>
      <c r="F50" s="180" t="s">
        <v>56</v>
      </c>
      <c r="G50" s="184"/>
      <c r="H50" s="184"/>
      <c r="I50" s="184"/>
      <c r="J50" s="184"/>
      <c r="K50" s="181"/>
      <c r="L50" s="180" t="s">
        <v>57</v>
      </c>
      <c r="M50" s="184"/>
      <c r="N50" s="184"/>
      <c r="O50" s="184"/>
      <c r="P50" s="184"/>
      <c r="Q50" s="181"/>
      <c r="R50" s="97"/>
      <c r="S50" s="98"/>
      <c r="T50" s="98"/>
      <c r="U50" s="98"/>
      <c r="V50" s="98"/>
      <c r="W50" s="99"/>
    </row>
    <row r="51" spans="1:31" s="104" customFormat="1" ht="15" customHeight="1">
      <c r="A51" s="71"/>
      <c r="B51" s="73"/>
      <c r="C51" s="73"/>
      <c r="D51" s="73"/>
      <c r="E51" s="73"/>
      <c r="F51" s="180" t="s">
        <v>58</v>
      </c>
      <c r="G51" s="181"/>
      <c r="H51" s="180" t="s">
        <v>59</v>
      </c>
      <c r="I51" s="181"/>
      <c r="J51" s="180" t="s">
        <v>60</v>
      </c>
      <c r="K51" s="181"/>
      <c r="L51" s="180" t="s">
        <v>58</v>
      </c>
      <c r="M51" s="181"/>
      <c r="N51" s="180" t="s">
        <v>59</v>
      </c>
      <c r="O51" s="181"/>
      <c r="P51" s="180" t="s">
        <v>60</v>
      </c>
      <c r="Q51" s="181"/>
      <c r="R51" s="101"/>
      <c r="S51" s="102"/>
      <c r="T51" s="102"/>
      <c r="U51" s="102"/>
      <c r="V51" s="102"/>
      <c r="W51" s="103"/>
    </row>
    <row r="52" spans="1:31" s="106" customFormat="1" ht="15.75" customHeight="1">
      <c r="A52" s="71"/>
      <c r="B52" s="73" t="s">
        <v>20</v>
      </c>
      <c r="C52" s="172" t="s">
        <v>89</v>
      </c>
      <c r="D52" s="172"/>
      <c r="E52" s="173"/>
      <c r="F52" s="82">
        <v>103</v>
      </c>
      <c r="G52" s="48">
        <v>16684</v>
      </c>
      <c r="H52" s="82">
        <v>104</v>
      </c>
      <c r="I52" s="48">
        <v>317</v>
      </c>
      <c r="J52" s="82">
        <v>105</v>
      </c>
      <c r="K52" s="48">
        <v>13</v>
      </c>
      <c r="L52" s="82">
        <v>106</v>
      </c>
      <c r="M52" s="48">
        <v>77496</v>
      </c>
      <c r="N52" s="82">
        <v>107</v>
      </c>
      <c r="O52" s="48">
        <v>1144</v>
      </c>
      <c r="P52" s="82">
        <v>108</v>
      </c>
      <c r="Q52" s="48">
        <v>314</v>
      </c>
      <c r="R52" s="105">
        <v>109</v>
      </c>
      <c r="S52" s="165">
        <v>17014</v>
      </c>
      <c r="T52" s="105">
        <v>110</v>
      </c>
      <c r="U52" s="165">
        <v>78954</v>
      </c>
      <c r="V52" s="70">
        <v>111</v>
      </c>
      <c r="W52" s="160">
        <v>95968</v>
      </c>
    </row>
    <row r="53" spans="1:31" s="107" customFormat="1" ht="13.5" customHeight="1">
      <c r="A53" s="71"/>
      <c r="B53" s="73" t="s">
        <v>27</v>
      </c>
      <c r="C53" s="172" t="s">
        <v>90</v>
      </c>
      <c r="D53" s="172"/>
      <c r="E53" s="173"/>
      <c r="F53" s="82">
        <v>112</v>
      </c>
      <c r="G53" s="48">
        <v>294</v>
      </c>
      <c r="H53" s="82">
        <v>113</v>
      </c>
      <c r="I53" s="48">
        <v>8</v>
      </c>
      <c r="J53" s="82">
        <v>114</v>
      </c>
      <c r="K53" s="48">
        <v>0</v>
      </c>
      <c r="L53" s="82">
        <v>115</v>
      </c>
      <c r="M53" s="48">
        <v>4156</v>
      </c>
      <c r="N53" s="82">
        <v>116</v>
      </c>
      <c r="O53" s="48">
        <v>113</v>
      </c>
      <c r="P53" s="82">
        <v>117</v>
      </c>
      <c r="Q53" s="48">
        <v>21</v>
      </c>
      <c r="R53" s="105">
        <v>118</v>
      </c>
      <c r="S53" s="165">
        <v>302</v>
      </c>
      <c r="T53" s="105">
        <v>119</v>
      </c>
      <c r="U53" s="165">
        <v>4290</v>
      </c>
      <c r="V53" s="70">
        <v>120</v>
      </c>
      <c r="W53" s="160">
        <v>4592</v>
      </c>
      <c r="X53" s="26"/>
      <c r="Y53" s="26"/>
      <c r="Z53" s="26"/>
      <c r="AA53" s="26"/>
      <c r="AB53" s="26"/>
      <c r="AC53" s="26"/>
      <c r="AD53" s="26"/>
      <c r="AE53" s="26"/>
    </row>
    <row r="54" spans="1:31" s="110" customFormat="1" ht="13.5" customHeight="1">
      <c r="A54" s="108" t="s">
        <v>91</v>
      </c>
      <c r="B54" s="174" t="s">
        <v>92</v>
      </c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5"/>
      <c r="R54" s="109">
        <v>121</v>
      </c>
      <c r="S54" s="48">
        <v>9</v>
      </c>
      <c r="T54" s="109">
        <v>122</v>
      </c>
      <c r="U54" s="48">
        <v>54</v>
      </c>
      <c r="V54" s="70">
        <v>123</v>
      </c>
      <c r="W54" s="160">
        <v>63</v>
      </c>
    </row>
    <row r="55" spans="1:31" ht="15.75">
      <c r="A55" s="176" t="s">
        <v>4</v>
      </c>
      <c r="B55" s="177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8"/>
    </row>
    <row r="56" spans="1:31" ht="63" customHeight="1">
      <c r="A56" s="179" t="s">
        <v>6</v>
      </c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  <c r="U56" s="179"/>
      <c r="V56" s="179"/>
      <c r="W56" s="179"/>
      <c r="AC56" s="26"/>
    </row>
    <row r="57" spans="1:31">
      <c r="U57" s="112"/>
      <c r="V57" s="113" t="s">
        <v>93</v>
      </c>
      <c r="W57" s="114">
        <v>25630665</v>
      </c>
    </row>
  </sheetData>
  <mergeCells count="82">
    <mergeCell ref="A2:O2"/>
    <mergeCell ref="A6:K6"/>
    <mergeCell ref="L6:W6"/>
    <mergeCell ref="A7:Q7"/>
    <mergeCell ref="R7:U7"/>
    <mergeCell ref="V7:W7"/>
    <mergeCell ref="B8:Q8"/>
    <mergeCell ref="C9:Q9"/>
    <mergeCell ref="B10:Q10"/>
    <mergeCell ref="C11:Q11"/>
    <mergeCell ref="R12:S12"/>
    <mergeCell ref="B20:Q20"/>
    <mergeCell ref="V12:W12"/>
    <mergeCell ref="D13:Q13"/>
    <mergeCell ref="C14:Q14"/>
    <mergeCell ref="D15:Q15"/>
    <mergeCell ref="D16:Q16"/>
    <mergeCell ref="D17:Q17"/>
    <mergeCell ref="T12:U12"/>
    <mergeCell ref="C18:Q18"/>
    <mergeCell ref="A19:Q19"/>
    <mergeCell ref="R19:S19"/>
    <mergeCell ref="T19:U19"/>
    <mergeCell ref="V19:W19"/>
    <mergeCell ref="C29:Q29"/>
    <mergeCell ref="C21:Q21"/>
    <mergeCell ref="D22:Q22"/>
    <mergeCell ref="D23:Q23"/>
    <mergeCell ref="D24:Q24"/>
    <mergeCell ref="C25:Q25"/>
    <mergeCell ref="A26:Q26"/>
    <mergeCell ref="R26:S26"/>
    <mergeCell ref="T26:U26"/>
    <mergeCell ref="V26:W26"/>
    <mergeCell ref="B27:Q27"/>
    <mergeCell ref="C28:Q28"/>
    <mergeCell ref="B30:Q30"/>
    <mergeCell ref="F31:K31"/>
    <mergeCell ref="L31:Q31"/>
    <mergeCell ref="F32:G32"/>
    <mergeCell ref="H32:I32"/>
    <mergeCell ref="J32:K32"/>
    <mergeCell ref="L32:M32"/>
    <mergeCell ref="N32:O32"/>
    <mergeCell ref="P32:Q32"/>
    <mergeCell ref="D42:K42"/>
    <mergeCell ref="N42:O42"/>
    <mergeCell ref="P42:Q42"/>
    <mergeCell ref="C33:E33"/>
    <mergeCell ref="C34:Q34"/>
    <mergeCell ref="C35:Q35"/>
    <mergeCell ref="C36:Q36"/>
    <mergeCell ref="C37:Q37"/>
    <mergeCell ref="B38:Q38"/>
    <mergeCell ref="B39:Q39"/>
    <mergeCell ref="C40:Q40"/>
    <mergeCell ref="D41:K41"/>
    <mergeCell ref="L41:M41"/>
    <mergeCell ref="N41:Q41"/>
    <mergeCell ref="C43:M43"/>
    <mergeCell ref="C44:M44"/>
    <mergeCell ref="B45:Q45"/>
    <mergeCell ref="C46:Q46"/>
    <mergeCell ref="B47:Q47"/>
    <mergeCell ref="P51:Q51"/>
    <mergeCell ref="R48:S48"/>
    <mergeCell ref="T48:U48"/>
    <mergeCell ref="V48:W48"/>
    <mergeCell ref="B49:Q49"/>
    <mergeCell ref="F50:K50"/>
    <mergeCell ref="L50:Q50"/>
    <mergeCell ref="A48:Q48"/>
    <mergeCell ref="F51:G51"/>
    <mergeCell ref="H51:I51"/>
    <mergeCell ref="J51:K51"/>
    <mergeCell ref="L51:M51"/>
    <mergeCell ref="N51:O51"/>
    <mergeCell ref="C52:E52"/>
    <mergeCell ref="C53:E53"/>
    <mergeCell ref="B54:Q54"/>
    <mergeCell ref="A55:W55"/>
    <mergeCell ref="A56:W56"/>
  </mergeCells>
  <dataValidations count="25">
    <dataValidation type="custom" sqref="Q43:Q44 O43:O44 Q52:Q53 O52:O53 U43:U46 S43:S46">
      <formula1>AND(ISNUMBER(O43),O43&gt;=0,IF(SUM(X41,X44)=0,O43=0,O43&gt;=SUM(X41,X44)))</formula1>
    </dataValidation>
    <dataValidation allowBlank="1" sqref="U48 V52:V54 R7:R41 V7:V37 S31:S32 G54 S48 W31:W32 R43:R50 V39:V40 Q54 Q45:Q51 W48 V43:V49 R52:R54 T52:T54 O54 M43:M51 N26:N54 M54 O45:O51 L26:L54 K54 K34:K51 J26:J54 I54 I34:I51 H26:H54 G26:G32 G34:G51 D26:F54 I26:I32 U31:U32 S8:S12 T8:T37 U8:U12 S19 U19 W19 W26 U26 S26 T39:T40 K26:K32 M26:M32 O26:O32 Q26:Q32 P26:P54 M34:M41 O34:O42 Q34:Q42 T43:T49 D22:D24 C21:C54 E12:Q12 E22:Q23 D12:D13 D15:D17 C11:C19 D19:Q19 C7:Q7 C9 A7:A55 B7:B54"/>
    <dataValidation type="custom" sqref="W13 S13 U13">
      <formula1>AND(ISNUMBER(S13),S13&gt;=0,S13&lt;=S33)</formula1>
    </dataValidation>
    <dataValidation type="custom" sqref="W16">
      <formula1>AND(ISNUMBER(W16),W16&gt;=0,W16&lt;=W$17)</formula1>
    </dataValidation>
    <dataValidation type="custom" sqref="W20">
      <formula1>AND(ISNUMBER(W20),W20&gt;=0,W20&lt;=W8, W20=SUM(W21,W25))</formula1>
    </dataValidation>
    <dataValidation type="custom" sqref="W29">
      <formula1>AND(ISNUMBER(W29),W29=SUM(W27,-W28))</formula1>
    </dataValidation>
    <dataValidation type="custom" sqref="S30 U30">
      <formula1>AND(ISNUMBER(S30))</formula1>
    </dataValidation>
    <dataValidation type="custom" sqref="W34">
      <formula1>AND(ISNUMBER(W34),W34=0)</formula1>
    </dataValidation>
    <dataValidation type="custom" sqref="S39 U39">
      <formula1>AND(ISNUMBER(S39),S39&gt;=0,S39=SUM(S30,S27))</formula1>
    </dataValidation>
    <dataValidation type="custom" sqref="W46 W9">
      <formula1>AND(ISNUMBER(W9),W9&gt;=0,W9&lt;=W8)</formula1>
    </dataValidation>
    <dataValidation type="custom" sqref="W47">
      <formula1>AND(ISNUMBER(W47),W47&gt;=0,W47=W39-W45)</formula1>
    </dataValidation>
    <dataValidation type="custom" sqref="W49">
      <formula1>AND(ISNUMBER(W49),W49&gt;=0,W49=SUM(W52,W53))</formula1>
    </dataValidation>
    <dataValidation type="custom" sqref="W54">
      <formula1>AND(ISNUMBER(W54),W54&gt;=0,W54&lt;=W49)</formula1>
    </dataValidation>
    <dataValidation type="custom" sqref="W39">
      <formula1>AND(ISNUMBER(W39),W39&gt;=0,W39=SUM(W40,W43,W44),W39=SUM(W27,W30))</formula1>
    </dataValidation>
    <dataValidation type="custom" sqref="W30">
      <formula1>AND(ISNUMBER(W30),W30&gt;=0, W30=SUM(W33,W34,W35,W36,W37))</formula1>
    </dataValidation>
    <dataValidation type="custom" sqref="W21">
      <formula1>AND(ISNUMBER(W21),W21&gt;=0,W21=SUM(W22,W23,W24))</formula1>
    </dataValidation>
    <dataValidation type="custom" sqref="W14">
      <formula1>AND(ISNUMBER(W14),W14&gt;=0,W14=SUM(W15,W16))</formula1>
    </dataValidation>
    <dataValidation type="custom" sqref="W11">
      <formula1>AND(ISNUMBER(W11),W11&gt;=0,W11=W33)</formula1>
    </dataValidation>
    <dataValidation type="custom" sqref="W17">
      <formula1>AND(ISNUMBER(W17),W17&gt;=0,W17&lt;=W14)</formula1>
    </dataValidation>
    <dataValidation type="custom" sqref="M42 G52:G53 I52:I53 K52:K53 M52:M53">
      <formula1>AND(ISNUMBER(G42),G42&gt;=0,IF(SUM(Q40,Q43)=0,G42=0,G42&gt;=SUM(Q40,Q43)))</formula1>
    </dataValidation>
    <dataValidation type="custom" sqref="W45 U49 U47 S52:S53 O33 W8 S14:S18 Q33 U40 S49 W27:W28 U20:U25 W15 W18 U14:U18 U33:U37 W33 W52:W53 S33:S37 W35:W37 S27:S28 U52:U53 U27:U28 G33 I33 K33 M33 W40 S20:S25 W22:W25 S40 W10 S47">
      <formula1>AND(ISNUMBER(G8),G8&gt;=0)</formula1>
    </dataValidation>
    <dataValidation type="custom" sqref="W43">
      <formula1>AND(ISNUMBER(W43),W43&gt;=0,IF(SUM(#REF!,#REF!)=0,SUM($Q$46,$S$46)=0,SUM($Q$46,$S$46)&gt;=SUM(#REF!,#REF!)))</formula1>
    </dataValidation>
    <dataValidation type="custom" sqref="W44">
      <formula1>AND(ISNUMBER(W44),W44&gt;=0,IF(SUM($Q$47,$S$47)=0,#REF!=0,SUM($Q$47,$S$47)&gt;=#REF!))</formula1>
    </dataValidation>
    <dataValidation type="custom" sqref="S29 U29">
      <formula1>AND(ISNUMBER(S29),(IF(S29&lt;&gt;0,#REF!&lt;&gt;"",#REF!="")))</formula1>
    </dataValidation>
    <dataValidation type="custom" sqref="S54 U54">
      <formula1>AND(ISNUMBER(S54),S54&gt;=0,IF(SUM(AB52,#REF!)=0,S54=0,S54&gt;=SUM(AB52,#REF!)))</formula1>
    </dataValidation>
  </dataValidations>
  <printOptions horizontalCentered="1" verticalCentered="1"/>
  <pageMargins left="0.25" right="0.25" top="0.5" bottom="0.5" header="0.25" footer="0.25"/>
  <pageSetup scale="70" orientation="portrait" r:id="rId1"/>
  <headerFooter alignWithMargins="0">
    <oddHeader>&amp;L&amp;"Arial"&amp;11STATE OF CALIFORNIA
HEALTH AND HUMAN SERVICES AGENCY&amp;R&amp;"Arial"&amp;11CALIFORNIA DEPARTMENT OF SOCIAL SERVICES
DATA SYSTEMS AND SURVEY DESIGN BUREAU&amp;C&amp;"Arial"&amp;11</oddHeader>
    <oddFooter>&amp;L&amp;"Arial"&amp;11&amp;R&amp;"Arial"&amp;11&amp;C&amp;"Arial"&amp;11&amp;P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>
    <pageSetUpPr fitToPage="1"/>
  </sheetPr>
  <dimension ref="A1:DY64"/>
  <sheetViews>
    <sheetView showGridLines="0" zoomScaleNormal="100" workbookViewId="0"/>
  </sheetViews>
  <sheetFormatPr defaultColWidth="16.5703125" defaultRowHeight="15"/>
  <cols>
    <col min="1" max="1" width="26.42578125" style="145" customWidth="1"/>
    <col min="2" max="124" width="20.7109375" style="136" customWidth="1"/>
    <col min="125" max="125" width="1.7109375" style="116" customWidth="1"/>
    <col min="126" max="126" width="18" style="136" bestFit="1" customWidth="1"/>
    <col min="127" max="127" width="16.5703125" style="137"/>
    <col min="128" max="16384" width="16.5703125" style="136"/>
  </cols>
  <sheetData>
    <row r="1" spans="1:129" s="117" customFormat="1" ht="15.75">
      <c r="A1" s="115" t="s">
        <v>338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116"/>
      <c r="CC1" s="116"/>
      <c r="CD1" s="116"/>
      <c r="CE1" s="116"/>
      <c r="CF1" s="116"/>
      <c r="CG1" s="116"/>
      <c r="CH1" s="116"/>
      <c r="CI1" s="116"/>
      <c r="CJ1" s="116"/>
      <c r="CK1" s="116"/>
      <c r="CL1" s="116"/>
      <c r="CM1" s="116"/>
      <c r="CN1" s="116"/>
      <c r="CO1" s="116"/>
      <c r="CP1" s="116"/>
      <c r="CQ1" s="116"/>
      <c r="CR1" s="116"/>
      <c r="CS1" s="116"/>
      <c r="CT1" s="116"/>
      <c r="CU1" s="116"/>
      <c r="CV1" s="116"/>
      <c r="CW1" s="116"/>
      <c r="CX1" s="116"/>
      <c r="CY1" s="116"/>
      <c r="CZ1" s="116"/>
      <c r="DA1" s="116"/>
      <c r="DB1" s="116"/>
      <c r="DC1" s="116"/>
      <c r="DD1" s="116"/>
      <c r="DE1" s="116"/>
      <c r="DF1" s="116"/>
      <c r="DG1" s="116"/>
      <c r="DH1" s="116"/>
      <c r="DI1" s="116"/>
      <c r="DJ1" s="116"/>
      <c r="DK1" s="116"/>
      <c r="DL1" s="116"/>
      <c r="DM1" s="116"/>
      <c r="DN1" s="116"/>
      <c r="DO1" s="116"/>
      <c r="DP1" s="116"/>
      <c r="DQ1" s="116"/>
      <c r="DR1" s="116"/>
      <c r="DS1" s="116"/>
      <c r="DT1" s="116"/>
      <c r="DU1" s="116"/>
      <c r="DW1" s="118"/>
    </row>
    <row r="2" spans="1:129" s="116" customFormat="1" ht="15.75">
      <c r="A2" s="119"/>
      <c r="B2" s="120" t="s">
        <v>95</v>
      </c>
      <c r="C2" s="120" t="s">
        <v>95</v>
      </c>
      <c r="D2" s="120" t="s">
        <v>95</v>
      </c>
      <c r="E2" s="120" t="s">
        <v>95</v>
      </c>
      <c r="F2" s="120" t="s">
        <v>95</v>
      </c>
      <c r="G2" s="120" t="s">
        <v>95</v>
      </c>
      <c r="H2" s="120" t="s">
        <v>95</v>
      </c>
      <c r="I2" s="120" t="s">
        <v>95</v>
      </c>
      <c r="J2" s="120" t="s">
        <v>95</v>
      </c>
      <c r="K2" s="120" t="s">
        <v>95</v>
      </c>
      <c r="L2" s="120" t="s">
        <v>95</v>
      </c>
      <c r="M2" s="120" t="s">
        <v>95</v>
      </c>
      <c r="N2" s="120" t="s">
        <v>95</v>
      </c>
      <c r="O2" s="120" t="s">
        <v>95</v>
      </c>
      <c r="P2" s="120" t="s">
        <v>95</v>
      </c>
      <c r="Q2" s="120" t="s">
        <v>95</v>
      </c>
      <c r="R2" s="120" t="s">
        <v>95</v>
      </c>
      <c r="S2" s="120" t="s">
        <v>95</v>
      </c>
      <c r="T2" s="120" t="s">
        <v>95</v>
      </c>
      <c r="U2" s="120" t="s">
        <v>95</v>
      </c>
      <c r="V2" s="120" t="s">
        <v>95</v>
      </c>
      <c r="W2" s="120" t="s">
        <v>95</v>
      </c>
      <c r="X2" s="120" t="s">
        <v>96</v>
      </c>
      <c r="Y2" s="120" t="s">
        <v>96</v>
      </c>
      <c r="Z2" s="120" t="s">
        <v>96</v>
      </c>
      <c r="AA2" s="120" t="s">
        <v>96</v>
      </c>
      <c r="AB2" s="120" t="s">
        <v>96</v>
      </c>
      <c r="AC2" s="120" t="s">
        <v>96</v>
      </c>
      <c r="AD2" s="120" t="s">
        <v>96</v>
      </c>
      <c r="AE2" s="120" t="s">
        <v>96</v>
      </c>
      <c r="AF2" s="120" t="s">
        <v>96</v>
      </c>
      <c r="AG2" s="120" t="s">
        <v>96</v>
      </c>
      <c r="AH2" s="120" t="s">
        <v>96</v>
      </c>
      <c r="AI2" s="120" t="s">
        <v>96</v>
      </c>
      <c r="AJ2" s="120" t="s">
        <v>96</v>
      </c>
      <c r="AK2" s="120" t="s">
        <v>96</v>
      </c>
      <c r="AL2" s="120" t="s">
        <v>96</v>
      </c>
      <c r="AM2" s="120" t="s">
        <v>96</v>
      </c>
      <c r="AN2" s="120" t="s">
        <v>96</v>
      </c>
      <c r="AO2" s="120" t="s">
        <v>96</v>
      </c>
      <c r="AP2" s="120" t="s">
        <v>97</v>
      </c>
      <c r="AQ2" s="120" t="s">
        <v>97</v>
      </c>
      <c r="AR2" s="120" t="s">
        <v>97</v>
      </c>
      <c r="AS2" s="120" t="s">
        <v>97</v>
      </c>
      <c r="AT2" s="120" t="s">
        <v>97</v>
      </c>
      <c r="AU2" s="120" t="s">
        <v>97</v>
      </c>
      <c r="AV2" s="120" t="s">
        <v>97</v>
      </c>
      <c r="AW2" s="120" t="s">
        <v>97</v>
      </c>
      <c r="AX2" s="120" t="s">
        <v>97</v>
      </c>
      <c r="AY2" s="120" t="s">
        <v>97</v>
      </c>
      <c r="AZ2" s="120" t="s">
        <v>97</v>
      </c>
      <c r="BA2" s="120" t="s">
        <v>97</v>
      </c>
      <c r="BB2" s="120" t="s">
        <v>97</v>
      </c>
      <c r="BC2" s="120" t="s">
        <v>97</v>
      </c>
      <c r="BD2" s="120" t="s">
        <v>97</v>
      </c>
      <c r="BE2" s="120" t="s">
        <v>97</v>
      </c>
      <c r="BF2" s="120" t="s">
        <v>97</v>
      </c>
      <c r="BG2" s="120" t="s">
        <v>97</v>
      </c>
      <c r="BH2" s="120" t="s">
        <v>97</v>
      </c>
      <c r="BI2" s="120" t="s">
        <v>97</v>
      </c>
      <c r="BJ2" s="120" t="s">
        <v>97</v>
      </c>
      <c r="BK2" s="120" t="s">
        <v>97</v>
      </c>
      <c r="BL2" s="120" t="s">
        <v>97</v>
      </c>
      <c r="BM2" s="120" t="s">
        <v>97</v>
      </c>
      <c r="BN2" s="120" t="s">
        <v>97</v>
      </c>
      <c r="BO2" s="120" t="s">
        <v>97</v>
      </c>
      <c r="BP2" s="120" t="s">
        <v>97</v>
      </c>
      <c r="BQ2" s="120" t="s">
        <v>97</v>
      </c>
      <c r="BR2" s="120" t="s">
        <v>97</v>
      </c>
      <c r="BS2" s="120" t="s">
        <v>97</v>
      </c>
      <c r="BT2" s="120" t="s">
        <v>97</v>
      </c>
      <c r="BU2" s="120" t="s">
        <v>97</v>
      </c>
      <c r="BV2" s="120" t="s">
        <v>97</v>
      </c>
      <c r="BW2" s="120" t="s">
        <v>97</v>
      </c>
      <c r="BX2" s="120" t="s">
        <v>97</v>
      </c>
      <c r="BY2" s="120" t="s">
        <v>97</v>
      </c>
      <c r="BZ2" s="120" t="s">
        <v>97</v>
      </c>
      <c r="CA2" s="120" t="s">
        <v>97</v>
      </c>
      <c r="CB2" s="120" t="s">
        <v>97</v>
      </c>
      <c r="CC2" s="120" t="s">
        <v>97</v>
      </c>
      <c r="CD2" s="120" t="s">
        <v>97</v>
      </c>
      <c r="CE2" s="120" t="s">
        <v>97</v>
      </c>
      <c r="CF2" s="120" t="s">
        <v>97</v>
      </c>
      <c r="CG2" s="120" t="s">
        <v>97</v>
      </c>
      <c r="CH2" s="120" t="s">
        <v>97</v>
      </c>
      <c r="CI2" s="120" t="s">
        <v>97</v>
      </c>
      <c r="CJ2" s="120" t="s">
        <v>97</v>
      </c>
      <c r="CK2" s="120" t="s">
        <v>97</v>
      </c>
      <c r="CL2" s="120" t="s">
        <v>97</v>
      </c>
      <c r="CM2" s="120" t="s">
        <v>97</v>
      </c>
      <c r="CN2" s="120" t="s">
        <v>97</v>
      </c>
      <c r="CO2" s="120" t="s">
        <v>97</v>
      </c>
      <c r="CP2" s="120" t="s">
        <v>97</v>
      </c>
      <c r="CQ2" s="120" t="s">
        <v>97</v>
      </c>
      <c r="CR2" s="120" t="s">
        <v>97</v>
      </c>
      <c r="CS2" s="120" t="s">
        <v>97</v>
      </c>
      <c r="CT2" s="120" t="s">
        <v>97</v>
      </c>
      <c r="CU2" s="120" t="s">
        <v>97</v>
      </c>
      <c r="CV2" s="120" t="s">
        <v>97</v>
      </c>
      <c r="CW2" s="120" t="s">
        <v>98</v>
      </c>
      <c r="CX2" s="120" t="s">
        <v>98</v>
      </c>
      <c r="CY2" s="120" t="s">
        <v>98</v>
      </c>
      <c r="CZ2" s="120" t="s">
        <v>98</v>
      </c>
      <c r="DA2" s="120" t="s">
        <v>98</v>
      </c>
      <c r="DB2" s="120" t="s">
        <v>98</v>
      </c>
      <c r="DC2" s="120" t="s">
        <v>98</v>
      </c>
      <c r="DD2" s="120" t="s">
        <v>98</v>
      </c>
      <c r="DE2" s="120" t="s">
        <v>98</v>
      </c>
      <c r="DF2" s="120" t="s">
        <v>98</v>
      </c>
      <c r="DG2" s="120" t="s">
        <v>98</v>
      </c>
      <c r="DH2" s="120" t="s">
        <v>98</v>
      </c>
      <c r="DI2" s="120" t="s">
        <v>98</v>
      </c>
      <c r="DJ2" s="120" t="s">
        <v>98</v>
      </c>
      <c r="DK2" s="120" t="s">
        <v>98</v>
      </c>
      <c r="DL2" s="120" t="s">
        <v>98</v>
      </c>
      <c r="DM2" s="120" t="s">
        <v>98</v>
      </c>
      <c r="DN2" s="120" t="s">
        <v>98</v>
      </c>
      <c r="DO2" s="120" t="s">
        <v>98</v>
      </c>
      <c r="DP2" s="120" t="s">
        <v>98</v>
      </c>
      <c r="DQ2" s="120" t="s">
        <v>98</v>
      </c>
      <c r="DR2" s="120" t="s">
        <v>98</v>
      </c>
      <c r="DS2" s="120" t="s">
        <v>98</v>
      </c>
      <c r="DT2" s="120" t="s">
        <v>98</v>
      </c>
    </row>
    <row r="3" spans="1:129" s="116" customFormat="1" ht="31.5">
      <c r="A3" s="119"/>
      <c r="B3" s="121"/>
      <c r="C3" s="122"/>
      <c r="D3" s="122"/>
      <c r="E3" s="123"/>
      <c r="F3" s="124" t="s">
        <v>22</v>
      </c>
      <c r="G3" s="124" t="s">
        <v>23</v>
      </c>
      <c r="H3" s="124" t="s">
        <v>99</v>
      </c>
      <c r="I3" s="125" t="s">
        <v>22</v>
      </c>
      <c r="J3" s="125" t="s">
        <v>23</v>
      </c>
      <c r="K3" s="125" t="s">
        <v>99</v>
      </c>
      <c r="L3" s="125" t="s">
        <v>22</v>
      </c>
      <c r="M3" s="125" t="s">
        <v>23</v>
      </c>
      <c r="N3" s="125" t="s">
        <v>99</v>
      </c>
      <c r="O3" s="125" t="s">
        <v>22</v>
      </c>
      <c r="P3" s="125" t="s">
        <v>23</v>
      </c>
      <c r="Q3" s="125" t="s">
        <v>99</v>
      </c>
      <c r="R3" s="125" t="s">
        <v>22</v>
      </c>
      <c r="S3" s="125" t="s">
        <v>23</v>
      </c>
      <c r="T3" s="125" t="s">
        <v>99</v>
      </c>
      <c r="U3" s="125" t="s">
        <v>22</v>
      </c>
      <c r="V3" s="125" t="s">
        <v>23</v>
      </c>
      <c r="W3" s="125" t="s">
        <v>99</v>
      </c>
      <c r="X3" s="125" t="s">
        <v>22</v>
      </c>
      <c r="Y3" s="125" t="s">
        <v>23</v>
      </c>
      <c r="Z3" s="126" t="s">
        <v>99</v>
      </c>
      <c r="AA3" s="126" t="s">
        <v>22</v>
      </c>
      <c r="AB3" s="126" t="s">
        <v>23</v>
      </c>
      <c r="AC3" s="126" t="s">
        <v>99</v>
      </c>
      <c r="AD3" s="126" t="s">
        <v>22</v>
      </c>
      <c r="AE3" s="126" t="s">
        <v>23</v>
      </c>
      <c r="AF3" s="125" t="s">
        <v>99</v>
      </c>
      <c r="AG3" s="125" t="s">
        <v>22</v>
      </c>
      <c r="AH3" s="125" t="s">
        <v>23</v>
      </c>
      <c r="AI3" s="125" t="s">
        <v>99</v>
      </c>
      <c r="AJ3" s="125" t="s">
        <v>22</v>
      </c>
      <c r="AK3" s="125" t="s">
        <v>23</v>
      </c>
      <c r="AL3" s="125" t="s">
        <v>99</v>
      </c>
      <c r="AM3" s="125" t="s">
        <v>22</v>
      </c>
      <c r="AN3" s="125" t="s">
        <v>23</v>
      </c>
      <c r="AO3" s="125" t="s">
        <v>99</v>
      </c>
      <c r="AP3" s="125" t="s">
        <v>22</v>
      </c>
      <c r="AQ3" s="125" t="s">
        <v>23</v>
      </c>
      <c r="AR3" s="125" t="s">
        <v>99</v>
      </c>
      <c r="AS3" s="125" t="s">
        <v>22</v>
      </c>
      <c r="AT3" s="125" t="s">
        <v>23</v>
      </c>
      <c r="AU3" s="125" t="s">
        <v>99</v>
      </c>
      <c r="AV3" s="125" t="s">
        <v>22</v>
      </c>
      <c r="AW3" s="125" t="s">
        <v>23</v>
      </c>
      <c r="AX3" s="125" t="s">
        <v>99</v>
      </c>
      <c r="AY3" s="125" t="s">
        <v>22</v>
      </c>
      <c r="AZ3" s="125" t="s">
        <v>23</v>
      </c>
      <c r="BA3" s="125" t="s">
        <v>99</v>
      </c>
      <c r="BB3" s="125" t="s">
        <v>100</v>
      </c>
      <c r="BC3" s="125" t="s">
        <v>101</v>
      </c>
      <c r="BD3" s="125" t="s">
        <v>102</v>
      </c>
      <c r="BE3" s="125" t="s">
        <v>103</v>
      </c>
      <c r="BF3" s="125" t="s">
        <v>104</v>
      </c>
      <c r="BG3" s="125" t="s">
        <v>105</v>
      </c>
      <c r="BH3" s="125" t="s">
        <v>22</v>
      </c>
      <c r="BI3" s="126" t="s">
        <v>23</v>
      </c>
      <c r="BJ3" s="126" t="s">
        <v>99</v>
      </c>
      <c r="BK3" s="126" t="s">
        <v>22</v>
      </c>
      <c r="BL3" s="126" t="s">
        <v>23</v>
      </c>
      <c r="BM3" s="126" t="s">
        <v>99</v>
      </c>
      <c r="BN3" s="126" t="s">
        <v>22</v>
      </c>
      <c r="BO3" s="126" t="s">
        <v>23</v>
      </c>
      <c r="BP3" s="126" t="s">
        <v>99</v>
      </c>
      <c r="BQ3" s="126" t="s">
        <v>22</v>
      </c>
      <c r="BR3" s="126" t="s">
        <v>23</v>
      </c>
      <c r="BS3" s="126" t="s">
        <v>99</v>
      </c>
      <c r="BT3" s="126" t="s">
        <v>22</v>
      </c>
      <c r="BU3" s="126" t="s">
        <v>23</v>
      </c>
      <c r="BV3" s="126" t="s">
        <v>99</v>
      </c>
      <c r="BW3" s="125" t="s">
        <v>22</v>
      </c>
      <c r="BX3" s="125" t="s">
        <v>23</v>
      </c>
      <c r="BY3" s="125" t="s">
        <v>99</v>
      </c>
      <c r="BZ3" s="125" t="s">
        <v>22</v>
      </c>
      <c r="CA3" s="125" t="s">
        <v>23</v>
      </c>
      <c r="CB3" s="126" t="s">
        <v>99</v>
      </c>
      <c r="CC3" s="126" t="s">
        <v>74</v>
      </c>
      <c r="CD3" s="126" t="s">
        <v>106</v>
      </c>
      <c r="CE3" s="126" t="s">
        <v>107</v>
      </c>
      <c r="CF3" s="126" t="s">
        <v>22</v>
      </c>
      <c r="CG3" s="126" t="s">
        <v>23</v>
      </c>
      <c r="CH3" s="126" t="s">
        <v>99</v>
      </c>
      <c r="CI3" s="126" t="s">
        <v>106</v>
      </c>
      <c r="CJ3" s="126" t="s">
        <v>107</v>
      </c>
      <c r="CK3" s="126" t="s">
        <v>22</v>
      </c>
      <c r="CL3" s="126" t="s">
        <v>23</v>
      </c>
      <c r="CM3" s="126" t="s">
        <v>99</v>
      </c>
      <c r="CN3" s="126" t="s">
        <v>22</v>
      </c>
      <c r="CO3" s="126" t="s">
        <v>23</v>
      </c>
      <c r="CP3" s="126" t="s">
        <v>99</v>
      </c>
      <c r="CQ3" s="126" t="s">
        <v>22</v>
      </c>
      <c r="CR3" s="126" t="s">
        <v>23</v>
      </c>
      <c r="CS3" s="126" t="s">
        <v>99</v>
      </c>
      <c r="CT3" s="126" t="s">
        <v>22</v>
      </c>
      <c r="CU3" s="126" t="s">
        <v>23</v>
      </c>
      <c r="CV3" s="126" t="s">
        <v>99</v>
      </c>
      <c r="CW3" s="125" t="s">
        <v>22</v>
      </c>
      <c r="CX3" s="125" t="s">
        <v>23</v>
      </c>
      <c r="CY3" s="125" t="s">
        <v>99</v>
      </c>
      <c r="CZ3" s="125" t="s">
        <v>108</v>
      </c>
      <c r="DA3" s="125" t="s">
        <v>109</v>
      </c>
      <c r="DB3" s="126" t="s">
        <v>110</v>
      </c>
      <c r="DC3" s="126" t="s">
        <v>111</v>
      </c>
      <c r="DD3" s="125" t="s">
        <v>112</v>
      </c>
      <c r="DE3" s="125" t="s">
        <v>113</v>
      </c>
      <c r="DF3" s="125" t="s">
        <v>22</v>
      </c>
      <c r="DG3" s="125" t="s">
        <v>23</v>
      </c>
      <c r="DH3" s="125" t="s">
        <v>99</v>
      </c>
      <c r="DI3" s="125" t="s">
        <v>108</v>
      </c>
      <c r="DJ3" s="125" t="s">
        <v>109</v>
      </c>
      <c r="DK3" s="126" t="s">
        <v>110</v>
      </c>
      <c r="DL3" s="126" t="s">
        <v>111</v>
      </c>
      <c r="DM3" s="125" t="s">
        <v>112</v>
      </c>
      <c r="DN3" s="125" t="s">
        <v>113</v>
      </c>
      <c r="DO3" s="125" t="s">
        <v>22</v>
      </c>
      <c r="DP3" s="125" t="s">
        <v>23</v>
      </c>
      <c r="DQ3" s="125" t="s">
        <v>99</v>
      </c>
      <c r="DR3" s="125" t="s">
        <v>22</v>
      </c>
      <c r="DS3" s="125" t="s">
        <v>23</v>
      </c>
      <c r="DT3" s="125" t="s">
        <v>99</v>
      </c>
    </row>
    <row r="4" spans="1:129" s="116" customFormat="1" ht="141.75">
      <c r="A4" s="127" t="s">
        <v>337</v>
      </c>
      <c r="B4" s="128" t="s">
        <v>114</v>
      </c>
      <c r="C4" s="128" t="s">
        <v>115</v>
      </c>
      <c r="D4" s="128" t="s">
        <v>116</v>
      </c>
      <c r="E4" s="128" t="s">
        <v>117</v>
      </c>
      <c r="F4" s="128" t="s">
        <v>118</v>
      </c>
      <c r="G4" s="128" t="s">
        <v>118</v>
      </c>
      <c r="H4" s="128" t="s">
        <v>118</v>
      </c>
      <c r="I4" s="128" t="s">
        <v>119</v>
      </c>
      <c r="J4" s="128" t="s">
        <v>119</v>
      </c>
      <c r="K4" s="128" t="s">
        <v>119</v>
      </c>
      <c r="L4" s="128" t="s">
        <v>120</v>
      </c>
      <c r="M4" s="128" t="s">
        <v>120</v>
      </c>
      <c r="N4" s="128" t="s">
        <v>120</v>
      </c>
      <c r="O4" s="128" t="s">
        <v>121</v>
      </c>
      <c r="P4" s="128" t="s">
        <v>121</v>
      </c>
      <c r="Q4" s="128" t="s">
        <v>121</v>
      </c>
      <c r="R4" s="128" t="s">
        <v>122</v>
      </c>
      <c r="S4" s="128" t="s">
        <v>122</v>
      </c>
      <c r="T4" s="128" t="s">
        <v>122</v>
      </c>
      <c r="U4" s="128" t="s">
        <v>123</v>
      </c>
      <c r="V4" s="128" t="s">
        <v>123</v>
      </c>
      <c r="W4" s="128" t="s">
        <v>123</v>
      </c>
      <c r="X4" s="128" t="s">
        <v>124</v>
      </c>
      <c r="Y4" s="128" t="s">
        <v>124</v>
      </c>
      <c r="Z4" s="128" t="s">
        <v>124</v>
      </c>
      <c r="AA4" s="128" t="s">
        <v>125</v>
      </c>
      <c r="AB4" s="128" t="s">
        <v>125</v>
      </c>
      <c r="AC4" s="128" t="s">
        <v>125</v>
      </c>
      <c r="AD4" s="128" t="s">
        <v>126</v>
      </c>
      <c r="AE4" s="128" t="s">
        <v>126</v>
      </c>
      <c r="AF4" s="128" t="s">
        <v>126</v>
      </c>
      <c r="AG4" s="128" t="s">
        <v>127</v>
      </c>
      <c r="AH4" s="128" t="s">
        <v>127</v>
      </c>
      <c r="AI4" s="128" t="s">
        <v>127</v>
      </c>
      <c r="AJ4" s="128" t="s">
        <v>128</v>
      </c>
      <c r="AK4" s="128" t="s">
        <v>128</v>
      </c>
      <c r="AL4" s="128" t="s">
        <v>128</v>
      </c>
      <c r="AM4" s="128" t="s">
        <v>129</v>
      </c>
      <c r="AN4" s="128" t="s">
        <v>129</v>
      </c>
      <c r="AO4" s="128" t="s">
        <v>129</v>
      </c>
      <c r="AP4" s="128" t="s">
        <v>130</v>
      </c>
      <c r="AQ4" s="128" t="s">
        <v>130</v>
      </c>
      <c r="AR4" s="128" t="s">
        <v>130</v>
      </c>
      <c r="AS4" s="128" t="s">
        <v>131</v>
      </c>
      <c r="AT4" s="128" t="s">
        <v>131</v>
      </c>
      <c r="AU4" s="128" t="s">
        <v>131</v>
      </c>
      <c r="AV4" s="128" t="s">
        <v>132</v>
      </c>
      <c r="AW4" s="128" t="s">
        <v>132</v>
      </c>
      <c r="AX4" s="128" t="s">
        <v>132</v>
      </c>
      <c r="AY4" s="128" t="s">
        <v>133</v>
      </c>
      <c r="AZ4" s="128" t="s">
        <v>133</v>
      </c>
      <c r="BA4" s="128" t="s">
        <v>133</v>
      </c>
      <c r="BB4" s="128" t="s">
        <v>134</v>
      </c>
      <c r="BC4" s="128" t="s">
        <v>134</v>
      </c>
      <c r="BD4" s="128" t="s">
        <v>134</v>
      </c>
      <c r="BE4" s="128" t="s">
        <v>134</v>
      </c>
      <c r="BF4" s="128" t="s">
        <v>134</v>
      </c>
      <c r="BG4" s="128" t="s">
        <v>134</v>
      </c>
      <c r="BH4" s="128" t="s">
        <v>134</v>
      </c>
      <c r="BI4" s="128" t="s">
        <v>134</v>
      </c>
      <c r="BJ4" s="128" t="s">
        <v>134</v>
      </c>
      <c r="BK4" s="128" t="s">
        <v>135</v>
      </c>
      <c r="BL4" s="128" t="s">
        <v>135</v>
      </c>
      <c r="BM4" s="128" t="s">
        <v>135</v>
      </c>
      <c r="BN4" s="128" t="s">
        <v>136</v>
      </c>
      <c r="BO4" s="128" t="s">
        <v>136</v>
      </c>
      <c r="BP4" s="128" t="s">
        <v>136</v>
      </c>
      <c r="BQ4" s="128" t="s">
        <v>137</v>
      </c>
      <c r="BR4" s="128" t="s">
        <v>137</v>
      </c>
      <c r="BS4" s="128" t="s">
        <v>137</v>
      </c>
      <c r="BT4" s="128" t="s">
        <v>138</v>
      </c>
      <c r="BU4" s="128" t="s">
        <v>138</v>
      </c>
      <c r="BV4" s="128" t="s">
        <v>138</v>
      </c>
      <c r="BW4" s="128" t="s">
        <v>139</v>
      </c>
      <c r="BX4" s="128" t="s">
        <v>139</v>
      </c>
      <c r="BY4" s="128" t="s">
        <v>139</v>
      </c>
      <c r="BZ4" s="128" t="s">
        <v>140</v>
      </c>
      <c r="CA4" s="128" t="s">
        <v>140</v>
      </c>
      <c r="CB4" s="128" t="s">
        <v>140</v>
      </c>
      <c r="CC4" s="128" t="s">
        <v>141</v>
      </c>
      <c r="CD4" s="128" t="s">
        <v>142</v>
      </c>
      <c r="CE4" s="128" t="s">
        <v>142</v>
      </c>
      <c r="CF4" s="128" t="s">
        <v>142</v>
      </c>
      <c r="CG4" s="128" t="s">
        <v>142</v>
      </c>
      <c r="CH4" s="128" t="s">
        <v>142</v>
      </c>
      <c r="CI4" s="128" t="s">
        <v>143</v>
      </c>
      <c r="CJ4" s="128" t="s">
        <v>143</v>
      </c>
      <c r="CK4" s="128" t="s">
        <v>143</v>
      </c>
      <c r="CL4" s="128" t="s">
        <v>143</v>
      </c>
      <c r="CM4" s="128" t="s">
        <v>143</v>
      </c>
      <c r="CN4" s="128" t="s">
        <v>144</v>
      </c>
      <c r="CO4" s="128" t="s">
        <v>144</v>
      </c>
      <c r="CP4" s="128" t="s">
        <v>144</v>
      </c>
      <c r="CQ4" s="128" t="s">
        <v>145</v>
      </c>
      <c r="CR4" s="128" t="s">
        <v>145</v>
      </c>
      <c r="CS4" s="128" t="s">
        <v>145</v>
      </c>
      <c r="CT4" s="128" t="s">
        <v>146</v>
      </c>
      <c r="CU4" s="128" t="s">
        <v>146</v>
      </c>
      <c r="CV4" s="128" t="s">
        <v>146</v>
      </c>
      <c r="CW4" s="128" t="s">
        <v>147</v>
      </c>
      <c r="CX4" s="128" t="s">
        <v>147</v>
      </c>
      <c r="CY4" s="128" t="s">
        <v>147</v>
      </c>
      <c r="CZ4" s="128" t="s">
        <v>148</v>
      </c>
      <c r="DA4" s="128" t="s">
        <v>148</v>
      </c>
      <c r="DB4" s="128" t="s">
        <v>148</v>
      </c>
      <c r="DC4" s="128" t="s">
        <v>148</v>
      </c>
      <c r="DD4" s="128" t="s">
        <v>148</v>
      </c>
      <c r="DE4" s="128" t="s">
        <v>148</v>
      </c>
      <c r="DF4" s="128" t="s">
        <v>148</v>
      </c>
      <c r="DG4" s="128" t="s">
        <v>148</v>
      </c>
      <c r="DH4" s="128" t="s">
        <v>148</v>
      </c>
      <c r="DI4" s="128" t="s">
        <v>149</v>
      </c>
      <c r="DJ4" s="128" t="s">
        <v>149</v>
      </c>
      <c r="DK4" s="128" t="s">
        <v>149</v>
      </c>
      <c r="DL4" s="128" t="s">
        <v>149</v>
      </c>
      <c r="DM4" s="128" t="s">
        <v>149</v>
      </c>
      <c r="DN4" s="128" t="s">
        <v>149</v>
      </c>
      <c r="DO4" s="128" t="s">
        <v>149</v>
      </c>
      <c r="DP4" s="128" t="s">
        <v>149</v>
      </c>
      <c r="DQ4" s="128" t="s">
        <v>149</v>
      </c>
      <c r="DR4" s="128" t="s">
        <v>150</v>
      </c>
      <c r="DS4" s="128" t="s">
        <v>150</v>
      </c>
      <c r="DT4" s="128" t="s">
        <v>150</v>
      </c>
    </row>
    <row r="5" spans="1:129" s="131" customFormat="1">
      <c r="A5" s="129" t="s">
        <v>151</v>
      </c>
      <c r="B5" s="130" t="s">
        <v>152</v>
      </c>
      <c r="C5" s="130" t="s">
        <v>153</v>
      </c>
      <c r="D5" s="130" t="s">
        <v>154</v>
      </c>
      <c r="E5" s="130" t="s">
        <v>155</v>
      </c>
      <c r="F5" s="130" t="s">
        <v>156</v>
      </c>
      <c r="G5" s="130" t="s">
        <v>157</v>
      </c>
      <c r="H5" s="130" t="s">
        <v>158</v>
      </c>
      <c r="I5" s="130" t="s">
        <v>159</v>
      </c>
      <c r="J5" s="130" t="s">
        <v>160</v>
      </c>
      <c r="K5" s="130" t="s">
        <v>161</v>
      </c>
      <c r="L5" s="130" t="s">
        <v>162</v>
      </c>
      <c r="M5" s="130" t="s">
        <v>163</v>
      </c>
      <c r="N5" s="130" t="s">
        <v>164</v>
      </c>
      <c r="O5" s="130" t="s">
        <v>165</v>
      </c>
      <c r="P5" s="130" t="s">
        <v>166</v>
      </c>
      <c r="Q5" s="130" t="s">
        <v>167</v>
      </c>
      <c r="R5" s="130" t="s">
        <v>168</v>
      </c>
      <c r="S5" s="130" t="s">
        <v>169</v>
      </c>
      <c r="T5" s="130" t="s">
        <v>170</v>
      </c>
      <c r="U5" s="130" t="s">
        <v>171</v>
      </c>
      <c r="V5" s="130" t="s">
        <v>172</v>
      </c>
      <c r="W5" s="130" t="s">
        <v>173</v>
      </c>
      <c r="X5" s="130" t="s">
        <v>174</v>
      </c>
      <c r="Y5" s="130" t="s">
        <v>175</v>
      </c>
      <c r="Z5" s="130" t="s">
        <v>176</v>
      </c>
      <c r="AA5" s="130" t="s">
        <v>177</v>
      </c>
      <c r="AB5" s="130" t="s">
        <v>178</v>
      </c>
      <c r="AC5" s="130" t="s">
        <v>179</v>
      </c>
      <c r="AD5" s="130" t="s">
        <v>180</v>
      </c>
      <c r="AE5" s="130" t="s">
        <v>181</v>
      </c>
      <c r="AF5" s="130" t="s">
        <v>182</v>
      </c>
      <c r="AG5" s="130" t="s">
        <v>183</v>
      </c>
      <c r="AH5" s="130" t="s">
        <v>184</v>
      </c>
      <c r="AI5" s="130" t="s">
        <v>185</v>
      </c>
      <c r="AJ5" s="130" t="s">
        <v>186</v>
      </c>
      <c r="AK5" s="130" t="s">
        <v>187</v>
      </c>
      <c r="AL5" s="130" t="s">
        <v>188</v>
      </c>
      <c r="AM5" s="130" t="s">
        <v>189</v>
      </c>
      <c r="AN5" s="130" t="s">
        <v>190</v>
      </c>
      <c r="AO5" s="130" t="s">
        <v>191</v>
      </c>
      <c r="AP5" s="130" t="s">
        <v>192</v>
      </c>
      <c r="AQ5" s="130" t="s">
        <v>193</v>
      </c>
      <c r="AR5" s="130" t="s">
        <v>194</v>
      </c>
      <c r="AS5" s="130" t="s">
        <v>195</v>
      </c>
      <c r="AT5" s="130" t="s">
        <v>196</v>
      </c>
      <c r="AU5" s="130" t="s">
        <v>197</v>
      </c>
      <c r="AV5" s="130" t="s">
        <v>198</v>
      </c>
      <c r="AW5" s="130" t="s">
        <v>199</v>
      </c>
      <c r="AX5" s="130" t="s">
        <v>200</v>
      </c>
      <c r="AY5" s="130" t="s">
        <v>201</v>
      </c>
      <c r="AZ5" s="130" t="s">
        <v>202</v>
      </c>
      <c r="BA5" s="130" t="s">
        <v>203</v>
      </c>
      <c r="BB5" s="130" t="s">
        <v>204</v>
      </c>
      <c r="BC5" s="130" t="s">
        <v>205</v>
      </c>
      <c r="BD5" s="130" t="s">
        <v>206</v>
      </c>
      <c r="BE5" s="130" t="s">
        <v>207</v>
      </c>
      <c r="BF5" s="130" t="s">
        <v>208</v>
      </c>
      <c r="BG5" s="130" t="s">
        <v>209</v>
      </c>
      <c r="BH5" s="130" t="s">
        <v>210</v>
      </c>
      <c r="BI5" s="130" t="s">
        <v>211</v>
      </c>
      <c r="BJ5" s="130" t="s">
        <v>212</v>
      </c>
      <c r="BK5" s="130" t="s">
        <v>213</v>
      </c>
      <c r="BL5" s="130" t="s">
        <v>214</v>
      </c>
      <c r="BM5" s="130" t="s">
        <v>215</v>
      </c>
      <c r="BN5" s="130" t="s">
        <v>216</v>
      </c>
      <c r="BO5" s="130" t="s">
        <v>217</v>
      </c>
      <c r="BP5" s="130" t="s">
        <v>218</v>
      </c>
      <c r="BQ5" s="130" t="s">
        <v>219</v>
      </c>
      <c r="BR5" s="130" t="s">
        <v>220</v>
      </c>
      <c r="BS5" s="130" t="s">
        <v>221</v>
      </c>
      <c r="BT5" s="130" t="s">
        <v>222</v>
      </c>
      <c r="BU5" s="130" t="s">
        <v>223</v>
      </c>
      <c r="BV5" s="130" t="s">
        <v>224</v>
      </c>
      <c r="BW5" s="130" t="s">
        <v>225</v>
      </c>
      <c r="BX5" s="130" t="s">
        <v>226</v>
      </c>
      <c r="BY5" s="130" t="s">
        <v>227</v>
      </c>
      <c r="BZ5" s="130" t="s">
        <v>228</v>
      </c>
      <c r="CA5" s="130" t="s">
        <v>229</v>
      </c>
      <c r="CB5" s="130" t="s">
        <v>230</v>
      </c>
      <c r="CC5" s="130" t="s">
        <v>231</v>
      </c>
      <c r="CD5" s="130" t="s">
        <v>232</v>
      </c>
      <c r="CE5" s="130" t="s">
        <v>233</v>
      </c>
      <c r="CF5" s="130" t="s">
        <v>234</v>
      </c>
      <c r="CG5" s="130" t="s">
        <v>235</v>
      </c>
      <c r="CH5" s="130" t="s">
        <v>236</v>
      </c>
      <c r="CI5" s="130" t="s">
        <v>237</v>
      </c>
      <c r="CJ5" s="130" t="s">
        <v>238</v>
      </c>
      <c r="CK5" s="130" t="s">
        <v>239</v>
      </c>
      <c r="CL5" s="130" t="s">
        <v>240</v>
      </c>
      <c r="CM5" s="130" t="s">
        <v>241</v>
      </c>
      <c r="CN5" s="130" t="s">
        <v>242</v>
      </c>
      <c r="CO5" s="130" t="s">
        <v>243</v>
      </c>
      <c r="CP5" s="130" t="s">
        <v>244</v>
      </c>
      <c r="CQ5" s="130" t="s">
        <v>245</v>
      </c>
      <c r="CR5" s="130" t="s">
        <v>246</v>
      </c>
      <c r="CS5" s="130" t="s">
        <v>247</v>
      </c>
      <c r="CT5" s="130" t="s">
        <v>248</v>
      </c>
      <c r="CU5" s="130" t="s">
        <v>249</v>
      </c>
      <c r="CV5" s="130" t="s">
        <v>250</v>
      </c>
      <c r="CW5" s="130" t="s">
        <v>251</v>
      </c>
      <c r="CX5" s="130" t="s">
        <v>252</v>
      </c>
      <c r="CY5" s="130" t="s">
        <v>253</v>
      </c>
      <c r="CZ5" s="130" t="s">
        <v>254</v>
      </c>
      <c r="DA5" s="130" t="s">
        <v>255</v>
      </c>
      <c r="DB5" s="130" t="s">
        <v>256</v>
      </c>
      <c r="DC5" s="130" t="s">
        <v>257</v>
      </c>
      <c r="DD5" s="130" t="s">
        <v>258</v>
      </c>
      <c r="DE5" s="130" t="s">
        <v>259</v>
      </c>
      <c r="DF5" s="130" t="s">
        <v>260</v>
      </c>
      <c r="DG5" s="130" t="s">
        <v>261</v>
      </c>
      <c r="DH5" s="130" t="s">
        <v>262</v>
      </c>
      <c r="DI5" s="130" t="s">
        <v>263</v>
      </c>
      <c r="DJ5" s="130" t="s">
        <v>264</v>
      </c>
      <c r="DK5" s="130" t="s">
        <v>265</v>
      </c>
      <c r="DL5" s="130" t="s">
        <v>266</v>
      </c>
      <c r="DM5" s="130" t="s">
        <v>267</v>
      </c>
      <c r="DN5" s="130" t="s">
        <v>268</v>
      </c>
      <c r="DO5" s="130" t="s">
        <v>269</v>
      </c>
      <c r="DP5" s="130" t="s">
        <v>270</v>
      </c>
      <c r="DQ5" s="130" t="s">
        <v>271</v>
      </c>
      <c r="DR5" s="130" t="s">
        <v>272</v>
      </c>
      <c r="DS5" s="130" t="s">
        <v>273</v>
      </c>
      <c r="DT5" s="130" t="s">
        <v>274</v>
      </c>
      <c r="DU5" s="116"/>
      <c r="DW5" s="132"/>
    </row>
    <row r="6" spans="1:129" ht="15.75">
      <c r="A6" s="133" t="s">
        <v>275</v>
      </c>
      <c r="B6" s="134" t="s">
        <v>335</v>
      </c>
      <c r="C6" s="134" t="s">
        <v>335</v>
      </c>
      <c r="D6" s="134" t="s">
        <v>335</v>
      </c>
      <c r="E6" s="134" t="s">
        <v>335</v>
      </c>
      <c r="F6" s="134" t="s">
        <v>335</v>
      </c>
      <c r="G6" s="134" t="s">
        <v>335</v>
      </c>
      <c r="H6" s="134" t="s">
        <v>335</v>
      </c>
      <c r="I6" s="134" t="s">
        <v>335</v>
      </c>
      <c r="J6" s="134" t="s">
        <v>335</v>
      </c>
      <c r="K6" s="134" t="s">
        <v>335</v>
      </c>
      <c r="L6" s="134" t="s">
        <v>335</v>
      </c>
      <c r="M6" s="134" t="s">
        <v>335</v>
      </c>
      <c r="N6" s="134" t="s">
        <v>335</v>
      </c>
      <c r="O6" s="134" t="s">
        <v>335</v>
      </c>
      <c r="P6" s="134" t="s">
        <v>335</v>
      </c>
      <c r="Q6" s="134" t="s">
        <v>335</v>
      </c>
      <c r="R6" s="134" t="s">
        <v>335</v>
      </c>
      <c r="S6" s="134" t="s">
        <v>335</v>
      </c>
      <c r="T6" s="134" t="s">
        <v>335</v>
      </c>
      <c r="U6" s="134" t="s">
        <v>335</v>
      </c>
      <c r="V6" s="134" t="s">
        <v>335</v>
      </c>
      <c r="W6" s="134" t="s">
        <v>335</v>
      </c>
      <c r="X6" s="134" t="s">
        <v>335</v>
      </c>
      <c r="Y6" s="134" t="s">
        <v>335</v>
      </c>
      <c r="Z6" s="134" t="s">
        <v>335</v>
      </c>
      <c r="AA6" s="134" t="s">
        <v>335</v>
      </c>
      <c r="AB6" s="134" t="s">
        <v>335</v>
      </c>
      <c r="AC6" s="134" t="s">
        <v>335</v>
      </c>
      <c r="AD6" s="134" t="s">
        <v>335</v>
      </c>
      <c r="AE6" s="134" t="s">
        <v>335</v>
      </c>
      <c r="AF6" s="134" t="s">
        <v>335</v>
      </c>
      <c r="AG6" s="134" t="s">
        <v>335</v>
      </c>
      <c r="AH6" s="134" t="s">
        <v>335</v>
      </c>
      <c r="AI6" s="134" t="s">
        <v>335</v>
      </c>
      <c r="AJ6" s="134" t="s">
        <v>335</v>
      </c>
      <c r="AK6" s="134" t="s">
        <v>335</v>
      </c>
      <c r="AL6" s="134" t="s">
        <v>335</v>
      </c>
      <c r="AM6" s="134" t="s">
        <v>335</v>
      </c>
      <c r="AN6" s="134" t="s">
        <v>335</v>
      </c>
      <c r="AO6" s="134" t="s">
        <v>335</v>
      </c>
      <c r="AP6" s="134" t="s">
        <v>335</v>
      </c>
      <c r="AQ6" s="134" t="s">
        <v>335</v>
      </c>
      <c r="AR6" s="134" t="s">
        <v>335</v>
      </c>
      <c r="AS6" s="134" t="s">
        <v>335</v>
      </c>
      <c r="AT6" s="134" t="s">
        <v>335</v>
      </c>
      <c r="AU6" s="134" t="s">
        <v>335</v>
      </c>
      <c r="AV6" s="134" t="s">
        <v>335</v>
      </c>
      <c r="AW6" s="134" t="s">
        <v>335</v>
      </c>
      <c r="AX6" s="134" t="s">
        <v>335</v>
      </c>
      <c r="AY6" s="134" t="s">
        <v>335</v>
      </c>
      <c r="AZ6" s="134" t="s">
        <v>335</v>
      </c>
      <c r="BA6" s="134" t="s">
        <v>335</v>
      </c>
      <c r="BB6" s="134" t="s">
        <v>335</v>
      </c>
      <c r="BC6" s="134" t="s">
        <v>335</v>
      </c>
      <c r="BD6" s="134" t="s">
        <v>335</v>
      </c>
      <c r="BE6" s="134" t="s">
        <v>335</v>
      </c>
      <c r="BF6" s="134" t="s">
        <v>335</v>
      </c>
      <c r="BG6" s="134" t="s">
        <v>335</v>
      </c>
      <c r="BH6" s="134" t="s">
        <v>335</v>
      </c>
      <c r="BI6" s="134" t="s">
        <v>335</v>
      </c>
      <c r="BJ6" s="134" t="s">
        <v>335</v>
      </c>
      <c r="BK6" s="134" t="s">
        <v>335</v>
      </c>
      <c r="BL6" s="134" t="s">
        <v>335</v>
      </c>
      <c r="BM6" s="134" t="s">
        <v>335</v>
      </c>
      <c r="BN6" s="134" t="s">
        <v>335</v>
      </c>
      <c r="BO6" s="134" t="s">
        <v>335</v>
      </c>
      <c r="BP6" s="134" t="s">
        <v>335</v>
      </c>
      <c r="BQ6" s="134" t="s">
        <v>335</v>
      </c>
      <c r="BR6" s="134" t="s">
        <v>335</v>
      </c>
      <c r="BS6" s="134" t="s">
        <v>335</v>
      </c>
      <c r="BT6" s="134" t="s">
        <v>335</v>
      </c>
      <c r="BU6" s="134" t="s">
        <v>335</v>
      </c>
      <c r="BV6" s="134" t="s">
        <v>335</v>
      </c>
      <c r="BW6" s="134" t="s">
        <v>335</v>
      </c>
      <c r="BX6" s="134" t="s">
        <v>335</v>
      </c>
      <c r="BY6" s="134" t="s">
        <v>335</v>
      </c>
      <c r="BZ6" s="134" t="s">
        <v>335</v>
      </c>
      <c r="CA6" s="134" t="s">
        <v>335</v>
      </c>
      <c r="CB6" s="134" t="s">
        <v>335</v>
      </c>
      <c r="CC6" s="134" t="s">
        <v>335</v>
      </c>
      <c r="CD6" s="134" t="s">
        <v>335</v>
      </c>
      <c r="CE6" s="134" t="s">
        <v>335</v>
      </c>
      <c r="CF6" s="134" t="s">
        <v>335</v>
      </c>
      <c r="CG6" s="134" t="s">
        <v>335</v>
      </c>
      <c r="CH6" s="134" t="s">
        <v>335</v>
      </c>
      <c r="CI6" s="134" t="s">
        <v>335</v>
      </c>
      <c r="CJ6" s="134" t="s">
        <v>335</v>
      </c>
      <c r="CK6" s="134" t="s">
        <v>335</v>
      </c>
      <c r="CL6" s="134" t="s">
        <v>335</v>
      </c>
      <c r="CM6" s="134" t="s">
        <v>335</v>
      </c>
      <c r="CN6" s="134" t="s">
        <v>335</v>
      </c>
      <c r="CO6" s="134" t="s">
        <v>335</v>
      </c>
      <c r="CP6" s="134" t="s">
        <v>335</v>
      </c>
      <c r="CQ6" s="134" t="s">
        <v>335</v>
      </c>
      <c r="CR6" s="134" t="s">
        <v>335</v>
      </c>
      <c r="CS6" s="134" t="s">
        <v>335</v>
      </c>
      <c r="CT6" s="134" t="s">
        <v>335</v>
      </c>
      <c r="CU6" s="134" t="s">
        <v>335</v>
      </c>
      <c r="CV6" s="134" t="s">
        <v>335</v>
      </c>
      <c r="CW6" s="134" t="s">
        <v>335</v>
      </c>
      <c r="CX6" s="134" t="s">
        <v>335</v>
      </c>
      <c r="CY6" s="134" t="s">
        <v>335</v>
      </c>
      <c r="CZ6" s="134" t="s">
        <v>335</v>
      </c>
      <c r="DA6" s="134" t="s">
        <v>335</v>
      </c>
      <c r="DB6" s="134" t="s">
        <v>335</v>
      </c>
      <c r="DC6" s="134" t="s">
        <v>335</v>
      </c>
      <c r="DD6" s="134" t="s">
        <v>335</v>
      </c>
      <c r="DE6" s="134" t="s">
        <v>335</v>
      </c>
      <c r="DF6" s="134" t="s">
        <v>335</v>
      </c>
      <c r="DG6" s="134" t="s">
        <v>335</v>
      </c>
      <c r="DH6" s="134" t="s">
        <v>335</v>
      </c>
      <c r="DI6" s="134" t="s">
        <v>335</v>
      </c>
      <c r="DJ6" s="134" t="s">
        <v>335</v>
      </c>
      <c r="DK6" s="134" t="s">
        <v>335</v>
      </c>
      <c r="DL6" s="134" t="s">
        <v>335</v>
      </c>
      <c r="DM6" s="134" t="s">
        <v>335</v>
      </c>
      <c r="DN6" s="134" t="s">
        <v>335</v>
      </c>
      <c r="DO6" s="134" t="s">
        <v>335</v>
      </c>
      <c r="DP6" s="134" t="s">
        <v>335</v>
      </c>
      <c r="DQ6" s="134" t="s">
        <v>335</v>
      </c>
      <c r="DR6" s="134" t="s">
        <v>335</v>
      </c>
      <c r="DS6" s="134" t="s">
        <v>335</v>
      </c>
      <c r="DT6" s="135" t="s">
        <v>335</v>
      </c>
    </row>
    <row r="7" spans="1:129">
      <c r="A7" s="133" t="s">
        <v>276</v>
      </c>
      <c r="B7" s="134">
        <v>6</v>
      </c>
      <c r="C7" s="134">
        <v>0</v>
      </c>
      <c r="D7" s="134">
        <v>5</v>
      </c>
      <c r="E7" s="134">
        <v>5</v>
      </c>
      <c r="F7" s="134">
        <v>0</v>
      </c>
      <c r="G7" s="134">
        <v>0</v>
      </c>
      <c r="H7" s="134">
        <v>0</v>
      </c>
      <c r="I7" s="134">
        <v>0</v>
      </c>
      <c r="J7" s="134">
        <v>0</v>
      </c>
      <c r="K7" s="134">
        <v>0</v>
      </c>
      <c r="L7" s="134">
        <v>0</v>
      </c>
      <c r="M7" s="134">
        <v>0</v>
      </c>
      <c r="N7" s="134">
        <v>0</v>
      </c>
      <c r="O7" s="134">
        <v>0</v>
      </c>
      <c r="P7" s="134">
        <v>0</v>
      </c>
      <c r="Q7" s="134">
        <v>0</v>
      </c>
      <c r="R7" s="134">
        <v>0</v>
      </c>
      <c r="S7" s="134">
        <v>0</v>
      </c>
      <c r="T7" s="134">
        <v>0</v>
      </c>
      <c r="U7" s="134">
        <v>0</v>
      </c>
      <c r="V7" s="134">
        <v>0</v>
      </c>
      <c r="W7" s="134">
        <v>0</v>
      </c>
      <c r="X7" s="134">
        <v>0</v>
      </c>
      <c r="Y7" s="134">
        <v>5</v>
      </c>
      <c r="Z7" s="134">
        <v>5</v>
      </c>
      <c r="AA7" s="134">
        <v>0</v>
      </c>
      <c r="AB7" s="134">
        <v>3</v>
      </c>
      <c r="AC7" s="134">
        <v>3</v>
      </c>
      <c r="AD7" s="134">
        <v>0</v>
      </c>
      <c r="AE7" s="134">
        <v>2</v>
      </c>
      <c r="AF7" s="134">
        <v>2</v>
      </c>
      <c r="AG7" s="134">
        <v>0</v>
      </c>
      <c r="AH7" s="134">
        <v>1</v>
      </c>
      <c r="AI7" s="134">
        <v>1</v>
      </c>
      <c r="AJ7" s="134">
        <v>0</v>
      </c>
      <c r="AK7" s="134">
        <v>0</v>
      </c>
      <c r="AL7" s="134">
        <v>0</v>
      </c>
      <c r="AM7" s="134">
        <v>0</v>
      </c>
      <c r="AN7" s="134">
        <v>2</v>
      </c>
      <c r="AO7" s="134">
        <v>2</v>
      </c>
      <c r="AP7" s="134">
        <v>1</v>
      </c>
      <c r="AQ7" s="134">
        <v>70</v>
      </c>
      <c r="AR7" s="134">
        <v>71</v>
      </c>
      <c r="AS7" s="134">
        <v>1</v>
      </c>
      <c r="AT7" s="134">
        <v>70</v>
      </c>
      <c r="AU7" s="134">
        <v>71</v>
      </c>
      <c r="AV7" s="134">
        <v>0</v>
      </c>
      <c r="AW7" s="134">
        <v>0</v>
      </c>
      <c r="AX7" s="134">
        <v>0</v>
      </c>
      <c r="AY7" s="134">
        <v>2</v>
      </c>
      <c r="AZ7" s="134">
        <v>5</v>
      </c>
      <c r="BA7" s="134">
        <v>7</v>
      </c>
      <c r="BB7" s="134">
        <v>0</v>
      </c>
      <c r="BC7" s="134">
        <v>0</v>
      </c>
      <c r="BD7" s="134">
        <v>0</v>
      </c>
      <c r="BE7" s="134">
        <v>5</v>
      </c>
      <c r="BF7" s="134">
        <v>0</v>
      </c>
      <c r="BG7" s="134">
        <v>0</v>
      </c>
      <c r="BH7" s="134">
        <v>0</v>
      </c>
      <c r="BI7" s="134">
        <v>5</v>
      </c>
      <c r="BJ7" s="134">
        <v>5</v>
      </c>
      <c r="BK7" s="134">
        <v>2</v>
      </c>
      <c r="BL7" s="134">
        <v>-2</v>
      </c>
      <c r="BM7" s="134">
        <v>0</v>
      </c>
      <c r="BN7" s="134">
        <v>0</v>
      </c>
      <c r="BO7" s="134">
        <v>0</v>
      </c>
      <c r="BP7" s="134">
        <v>0</v>
      </c>
      <c r="BQ7" s="134">
        <v>0</v>
      </c>
      <c r="BR7" s="134">
        <v>1</v>
      </c>
      <c r="BS7" s="134">
        <v>1</v>
      </c>
      <c r="BT7" s="134">
        <v>0</v>
      </c>
      <c r="BU7" s="134">
        <v>1</v>
      </c>
      <c r="BV7" s="134">
        <v>1</v>
      </c>
      <c r="BW7" s="134">
        <v>3</v>
      </c>
      <c r="BX7" s="134">
        <v>75</v>
      </c>
      <c r="BY7" s="134">
        <v>78</v>
      </c>
      <c r="BZ7" s="134">
        <v>3</v>
      </c>
      <c r="CA7" s="134">
        <v>75</v>
      </c>
      <c r="CB7" s="134">
        <v>78</v>
      </c>
      <c r="CC7" s="134">
        <v>137</v>
      </c>
      <c r="CD7" s="134">
        <v>0</v>
      </c>
      <c r="CE7" s="134">
        <v>0</v>
      </c>
      <c r="CF7" s="134">
        <v>0</v>
      </c>
      <c r="CG7" s="134">
        <v>0</v>
      </c>
      <c r="CH7" s="134">
        <v>0</v>
      </c>
      <c r="CI7" s="134">
        <v>0</v>
      </c>
      <c r="CJ7" s="134">
        <v>0</v>
      </c>
      <c r="CK7" s="134">
        <v>0</v>
      </c>
      <c r="CL7" s="134">
        <v>0</v>
      </c>
      <c r="CM7" s="134">
        <v>0</v>
      </c>
      <c r="CN7" s="134">
        <v>0</v>
      </c>
      <c r="CO7" s="134">
        <v>4</v>
      </c>
      <c r="CP7" s="134">
        <v>4</v>
      </c>
      <c r="CQ7" s="134">
        <v>0</v>
      </c>
      <c r="CR7" s="134">
        <v>0</v>
      </c>
      <c r="CS7" s="134">
        <v>0</v>
      </c>
      <c r="CT7" s="134">
        <v>3</v>
      </c>
      <c r="CU7" s="134">
        <v>71</v>
      </c>
      <c r="CV7" s="134">
        <v>74</v>
      </c>
      <c r="CW7" s="134">
        <v>0</v>
      </c>
      <c r="CX7" s="134">
        <v>2</v>
      </c>
      <c r="CY7" s="134">
        <v>2</v>
      </c>
      <c r="CZ7" s="134">
        <v>0</v>
      </c>
      <c r="DA7" s="134">
        <v>0</v>
      </c>
      <c r="DB7" s="134">
        <v>0</v>
      </c>
      <c r="DC7" s="134">
        <v>2</v>
      </c>
      <c r="DD7" s="134">
        <v>0</v>
      </c>
      <c r="DE7" s="134">
        <v>0</v>
      </c>
      <c r="DF7" s="134">
        <v>0</v>
      </c>
      <c r="DG7" s="134">
        <v>2</v>
      </c>
      <c r="DH7" s="134">
        <v>2</v>
      </c>
      <c r="DI7" s="134">
        <v>0</v>
      </c>
      <c r="DJ7" s="134">
        <v>0</v>
      </c>
      <c r="DK7" s="134">
        <v>0</v>
      </c>
      <c r="DL7" s="134">
        <v>0</v>
      </c>
      <c r="DM7" s="134">
        <v>0</v>
      </c>
      <c r="DN7" s="134">
        <v>0</v>
      </c>
      <c r="DO7" s="134">
        <v>0</v>
      </c>
      <c r="DP7" s="134">
        <v>0</v>
      </c>
      <c r="DQ7" s="134">
        <v>0</v>
      </c>
      <c r="DR7" s="134">
        <v>0</v>
      </c>
      <c r="DS7" s="134">
        <v>0</v>
      </c>
      <c r="DT7" s="135">
        <v>0</v>
      </c>
    </row>
    <row r="8" spans="1:129">
      <c r="A8" s="133" t="s">
        <v>277</v>
      </c>
      <c r="B8" s="134">
        <v>128</v>
      </c>
      <c r="C8" s="134">
        <v>23</v>
      </c>
      <c r="D8" s="134">
        <v>113</v>
      </c>
      <c r="E8" s="134">
        <v>79</v>
      </c>
      <c r="F8" s="134">
        <v>0</v>
      </c>
      <c r="G8" s="134">
        <v>0</v>
      </c>
      <c r="H8" s="134">
        <v>0</v>
      </c>
      <c r="I8" s="134">
        <v>0</v>
      </c>
      <c r="J8" s="134">
        <v>26</v>
      </c>
      <c r="K8" s="134">
        <v>26</v>
      </c>
      <c r="L8" s="134">
        <v>0</v>
      </c>
      <c r="M8" s="134">
        <v>13</v>
      </c>
      <c r="N8" s="134">
        <v>13</v>
      </c>
      <c r="O8" s="134">
        <v>0</v>
      </c>
      <c r="P8" s="134">
        <v>13</v>
      </c>
      <c r="Q8" s="134">
        <v>13</v>
      </c>
      <c r="R8" s="134">
        <v>0</v>
      </c>
      <c r="S8" s="134">
        <v>0</v>
      </c>
      <c r="T8" s="134">
        <v>0</v>
      </c>
      <c r="U8" s="134">
        <v>0</v>
      </c>
      <c r="V8" s="134">
        <v>8</v>
      </c>
      <c r="W8" s="134">
        <v>8</v>
      </c>
      <c r="X8" s="134">
        <v>3</v>
      </c>
      <c r="Y8" s="134">
        <v>110</v>
      </c>
      <c r="Z8" s="134">
        <v>113</v>
      </c>
      <c r="AA8" s="134">
        <v>3</v>
      </c>
      <c r="AB8" s="134">
        <v>52</v>
      </c>
      <c r="AC8" s="134">
        <v>55</v>
      </c>
      <c r="AD8" s="134">
        <v>2</v>
      </c>
      <c r="AE8" s="134">
        <v>52</v>
      </c>
      <c r="AF8" s="134">
        <v>54</v>
      </c>
      <c r="AG8" s="134">
        <v>0</v>
      </c>
      <c r="AH8" s="134">
        <v>0</v>
      </c>
      <c r="AI8" s="134">
        <v>0</v>
      </c>
      <c r="AJ8" s="134">
        <v>1</v>
      </c>
      <c r="AK8" s="134">
        <v>0</v>
      </c>
      <c r="AL8" s="134">
        <v>1</v>
      </c>
      <c r="AM8" s="134">
        <v>0</v>
      </c>
      <c r="AN8" s="134">
        <v>58</v>
      </c>
      <c r="AO8" s="134">
        <v>58</v>
      </c>
      <c r="AP8" s="134">
        <v>108</v>
      </c>
      <c r="AQ8" s="134">
        <v>1444</v>
      </c>
      <c r="AR8" s="134">
        <v>1552</v>
      </c>
      <c r="AS8" s="134">
        <v>108</v>
      </c>
      <c r="AT8" s="134">
        <v>1444</v>
      </c>
      <c r="AU8" s="134">
        <v>1552</v>
      </c>
      <c r="AV8" s="134">
        <v>0</v>
      </c>
      <c r="AW8" s="134">
        <v>0</v>
      </c>
      <c r="AX8" s="134">
        <v>0</v>
      </c>
      <c r="AY8" s="134">
        <v>11</v>
      </c>
      <c r="AZ8" s="134">
        <v>123</v>
      </c>
      <c r="BA8" s="134">
        <v>134</v>
      </c>
      <c r="BB8" s="134">
        <v>3</v>
      </c>
      <c r="BC8" s="134">
        <v>0</v>
      </c>
      <c r="BD8" s="134">
        <v>0</v>
      </c>
      <c r="BE8" s="134">
        <v>76</v>
      </c>
      <c r="BF8" s="134">
        <v>0</v>
      </c>
      <c r="BG8" s="134">
        <v>0</v>
      </c>
      <c r="BH8" s="134">
        <v>3</v>
      </c>
      <c r="BI8" s="134">
        <v>76</v>
      </c>
      <c r="BJ8" s="134">
        <v>79</v>
      </c>
      <c r="BK8" s="134">
        <v>4</v>
      </c>
      <c r="BL8" s="134">
        <v>-4</v>
      </c>
      <c r="BM8" s="134">
        <v>0</v>
      </c>
      <c r="BN8" s="134">
        <v>0</v>
      </c>
      <c r="BO8" s="134">
        <v>9</v>
      </c>
      <c r="BP8" s="134">
        <v>9</v>
      </c>
      <c r="BQ8" s="134">
        <v>1</v>
      </c>
      <c r="BR8" s="134">
        <v>24</v>
      </c>
      <c r="BS8" s="134">
        <v>25</v>
      </c>
      <c r="BT8" s="134">
        <v>3</v>
      </c>
      <c r="BU8" s="134">
        <v>18</v>
      </c>
      <c r="BV8" s="134">
        <v>21</v>
      </c>
      <c r="BW8" s="134">
        <v>119</v>
      </c>
      <c r="BX8" s="134">
        <v>1567</v>
      </c>
      <c r="BY8" s="134">
        <v>1686</v>
      </c>
      <c r="BZ8" s="134">
        <v>119</v>
      </c>
      <c r="CA8" s="134">
        <v>1566</v>
      </c>
      <c r="CB8" s="134">
        <v>1685</v>
      </c>
      <c r="CC8" s="134">
        <v>3046</v>
      </c>
      <c r="CD8" s="134">
        <v>0</v>
      </c>
      <c r="CE8" s="134">
        <v>1</v>
      </c>
      <c r="CF8" s="134">
        <v>0</v>
      </c>
      <c r="CG8" s="134">
        <v>1</v>
      </c>
      <c r="CH8" s="134">
        <v>1</v>
      </c>
      <c r="CI8" s="134">
        <v>0</v>
      </c>
      <c r="CJ8" s="134">
        <v>0</v>
      </c>
      <c r="CK8" s="134">
        <v>0</v>
      </c>
      <c r="CL8" s="134">
        <v>0</v>
      </c>
      <c r="CM8" s="134">
        <v>0</v>
      </c>
      <c r="CN8" s="134">
        <v>4</v>
      </c>
      <c r="CO8" s="134">
        <v>142</v>
      </c>
      <c r="CP8" s="134">
        <v>146</v>
      </c>
      <c r="CQ8" s="134">
        <v>0</v>
      </c>
      <c r="CR8" s="134">
        <v>0</v>
      </c>
      <c r="CS8" s="134">
        <v>0</v>
      </c>
      <c r="CT8" s="134">
        <v>115</v>
      </c>
      <c r="CU8" s="134">
        <v>1425</v>
      </c>
      <c r="CV8" s="134">
        <v>1540</v>
      </c>
      <c r="CW8" s="134">
        <v>11</v>
      </c>
      <c r="CX8" s="134">
        <v>61</v>
      </c>
      <c r="CY8" s="134">
        <v>72</v>
      </c>
      <c r="CZ8" s="134">
        <v>11</v>
      </c>
      <c r="DA8" s="134">
        <v>0</v>
      </c>
      <c r="DB8" s="134">
        <v>0</v>
      </c>
      <c r="DC8" s="134">
        <v>60</v>
      </c>
      <c r="DD8" s="134">
        <v>0</v>
      </c>
      <c r="DE8" s="134">
        <v>0</v>
      </c>
      <c r="DF8" s="134">
        <v>11</v>
      </c>
      <c r="DG8" s="134">
        <v>60</v>
      </c>
      <c r="DH8" s="134">
        <v>71</v>
      </c>
      <c r="DI8" s="134">
        <v>0</v>
      </c>
      <c r="DJ8" s="134">
        <v>0</v>
      </c>
      <c r="DK8" s="134">
        <v>0</v>
      </c>
      <c r="DL8" s="134">
        <v>1</v>
      </c>
      <c r="DM8" s="134">
        <v>0</v>
      </c>
      <c r="DN8" s="134">
        <v>0</v>
      </c>
      <c r="DO8" s="134">
        <v>0</v>
      </c>
      <c r="DP8" s="134">
        <v>1</v>
      </c>
      <c r="DQ8" s="134">
        <v>1</v>
      </c>
      <c r="DR8" s="134">
        <v>0</v>
      </c>
      <c r="DS8" s="134">
        <v>0</v>
      </c>
      <c r="DT8" s="135">
        <v>0</v>
      </c>
    </row>
    <row r="9" spans="1:129">
      <c r="A9" s="133" t="s">
        <v>278</v>
      </c>
      <c r="B9" s="134">
        <v>1955</v>
      </c>
      <c r="C9" s="134">
        <v>949</v>
      </c>
      <c r="D9" s="134">
        <v>1638</v>
      </c>
      <c r="E9" s="134">
        <v>886</v>
      </c>
      <c r="F9" s="134">
        <v>0</v>
      </c>
      <c r="G9" s="134">
        <v>66</v>
      </c>
      <c r="H9" s="134">
        <v>66</v>
      </c>
      <c r="I9" s="134">
        <v>1</v>
      </c>
      <c r="J9" s="134">
        <v>661</v>
      </c>
      <c r="K9" s="134">
        <v>662</v>
      </c>
      <c r="L9" s="134">
        <v>1</v>
      </c>
      <c r="M9" s="134">
        <v>210</v>
      </c>
      <c r="N9" s="134">
        <v>211</v>
      </c>
      <c r="O9" s="134">
        <v>0</v>
      </c>
      <c r="P9" s="134">
        <v>451</v>
      </c>
      <c r="Q9" s="134">
        <v>451</v>
      </c>
      <c r="R9" s="134">
        <v>0</v>
      </c>
      <c r="S9" s="134">
        <v>25</v>
      </c>
      <c r="T9" s="134">
        <v>25</v>
      </c>
      <c r="U9" s="134">
        <v>0</v>
      </c>
      <c r="V9" s="134">
        <v>90</v>
      </c>
      <c r="W9" s="134">
        <v>90</v>
      </c>
      <c r="X9" s="134">
        <v>22</v>
      </c>
      <c r="Y9" s="134">
        <v>1616</v>
      </c>
      <c r="Z9" s="134">
        <v>1638</v>
      </c>
      <c r="AA9" s="134">
        <v>18</v>
      </c>
      <c r="AB9" s="134">
        <v>655</v>
      </c>
      <c r="AC9" s="134">
        <v>673</v>
      </c>
      <c r="AD9" s="134">
        <v>15</v>
      </c>
      <c r="AE9" s="134">
        <v>599</v>
      </c>
      <c r="AF9" s="134">
        <v>614</v>
      </c>
      <c r="AG9" s="134">
        <v>2</v>
      </c>
      <c r="AH9" s="134">
        <v>39</v>
      </c>
      <c r="AI9" s="134">
        <v>41</v>
      </c>
      <c r="AJ9" s="134">
        <v>1</v>
      </c>
      <c r="AK9" s="134">
        <v>17</v>
      </c>
      <c r="AL9" s="134">
        <v>18</v>
      </c>
      <c r="AM9" s="134">
        <v>4</v>
      </c>
      <c r="AN9" s="134">
        <v>961</v>
      </c>
      <c r="AO9" s="134">
        <v>965</v>
      </c>
      <c r="AP9" s="134">
        <v>1455</v>
      </c>
      <c r="AQ9" s="134">
        <v>13754</v>
      </c>
      <c r="AR9" s="134">
        <v>15209</v>
      </c>
      <c r="AS9" s="134">
        <v>1455</v>
      </c>
      <c r="AT9" s="134">
        <v>13754</v>
      </c>
      <c r="AU9" s="134">
        <v>15209</v>
      </c>
      <c r="AV9" s="134">
        <v>0</v>
      </c>
      <c r="AW9" s="134">
        <v>0</v>
      </c>
      <c r="AX9" s="134">
        <v>0</v>
      </c>
      <c r="AY9" s="134">
        <v>102</v>
      </c>
      <c r="AZ9" s="134">
        <v>1524</v>
      </c>
      <c r="BA9" s="134">
        <v>1626</v>
      </c>
      <c r="BB9" s="134">
        <v>24</v>
      </c>
      <c r="BC9" s="134">
        <v>0</v>
      </c>
      <c r="BD9" s="134">
        <v>0</v>
      </c>
      <c r="BE9" s="134">
        <v>855</v>
      </c>
      <c r="BF9" s="134">
        <v>5</v>
      </c>
      <c r="BG9" s="134">
        <v>2</v>
      </c>
      <c r="BH9" s="134">
        <v>24</v>
      </c>
      <c r="BI9" s="134">
        <v>862</v>
      </c>
      <c r="BJ9" s="134">
        <v>886</v>
      </c>
      <c r="BK9" s="134">
        <v>3</v>
      </c>
      <c r="BL9" s="134">
        <v>-3</v>
      </c>
      <c r="BM9" s="134">
        <v>0</v>
      </c>
      <c r="BN9" s="134">
        <v>15</v>
      </c>
      <c r="BO9" s="134">
        <v>35</v>
      </c>
      <c r="BP9" s="134">
        <v>50</v>
      </c>
      <c r="BQ9" s="134">
        <v>3</v>
      </c>
      <c r="BR9" s="134">
        <v>193</v>
      </c>
      <c r="BS9" s="134">
        <v>196</v>
      </c>
      <c r="BT9" s="134">
        <v>57</v>
      </c>
      <c r="BU9" s="134">
        <v>437</v>
      </c>
      <c r="BV9" s="134">
        <v>494</v>
      </c>
      <c r="BW9" s="134">
        <v>1557</v>
      </c>
      <c r="BX9" s="134">
        <v>15278</v>
      </c>
      <c r="BY9" s="134">
        <v>16835</v>
      </c>
      <c r="BZ9" s="134">
        <v>1550</v>
      </c>
      <c r="CA9" s="134">
        <v>15214</v>
      </c>
      <c r="CB9" s="134">
        <v>16764</v>
      </c>
      <c r="CC9" s="134">
        <v>31210</v>
      </c>
      <c r="CD9" s="134">
        <v>5</v>
      </c>
      <c r="CE9" s="134">
        <v>42</v>
      </c>
      <c r="CF9" s="134">
        <v>7</v>
      </c>
      <c r="CG9" s="134">
        <v>38</v>
      </c>
      <c r="CH9" s="134">
        <v>45</v>
      </c>
      <c r="CI9" s="134">
        <v>26</v>
      </c>
      <c r="CJ9" s="134">
        <v>5</v>
      </c>
      <c r="CK9" s="134">
        <v>0</v>
      </c>
      <c r="CL9" s="134">
        <v>26</v>
      </c>
      <c r="CM9" s="134">
        <v>26</v>
      </c>
      <c r="CN9" s="134">
        <v>73</v>
      </c>
      <c r="CO9" s="134">
        <v>1477</v>
      </c>
      <c r="CP9" s="134">
        <v>1550</v>
      </c>
      <c r="CQ9" s="134">
        <v>0</v>
      </c>
      <c r="CR9" s="134">
        <v>12</v>
      </c>
      <c r="CS9" s="134">
        <v>12</v>
      </c>
      <c r="CT9" s="134">
        <v>1484</v>
      </c>
      <c r="CU9" s="134">
        <v>13801</v>
      </c>
      <c r="CV9" s="134">
        <v>15285</v>
      </c>
      <c r="CW9" s="134">
        <v>125</v>
      </c>
      <c r="CX9" s="134">
        <v>680</v>
      </c>
      <c r="CY9" s="134">
        <v>805</v>
      </c>
      <c r="CZ9" s="134">
        <v>125</v>
      </c>
      <c r="DA9" s="134">
        <v>0</v>
      </c>
      <c r="DB9" s="134">
        <v>0</v>
      </c>
      <c r="DC9" s="134">
        <v>662</v>
      </c>
      <c r="DD9" s="134">
        <v>3</v>
      </c>
      <c r="DE9" s="134">
        <v>1</v>
      </c>
      <c r="DF9" s="134">
        <v>125</v>
      </c>
      <c r="DG9" s="134">
        <v>666</v>
      </c>
      <c r="DH9" s="134">
        <v>791</v>
      </c>
      <c r="DI9" s="134">
        <v>0</v>
      </c>
      <c r="DJ9" s="134">
        <v>0</v>
      </c>
      <c r="DK9" s="134">
        <v>0</v>
      </c>
      <c r="DL9" s="134">
        <v>14</v>
      </c>
      <c r="DM9" s="134">
        <v>0</v>
      </c>
      <c r="DN9" s="134">
        <v>0</v>
      </c>
      <c r="DO9" s="134">
        <v>0</v>
      </c>
      <c r="DP9" s="134">
        <v>14</v>
      </c>
      <c r="DQ9" s="134">
        <v>14</v>
      </c>
      <c r="DR9" s="134">
        <v>0</v>
      </c>
      <c r="DS9" s="134">
        <v>0</v>
      </c>
      <c r="DT9" s="135">
        <v>0</v>
      </c>
    </row>
    <row r="10" spans="1:129">
      <c r="A10" s="133" t="s">
        <v>279</v>
      </c>
      <c r="B10" s="134">
        <v>254</v>
      </c>
      <c r="C10" s="134">
        <v>59</v>
      </c>
      <c r="D10" s="134">
        <v>235</v>
      </c>
      <c r="E10" s="134">
        <v>170</v>
      </c>
      <c r="F10" s="134">
        <v>0</v>
      </c>
      <c r="G10" s="134">
        <v>1</v>
      </c>
      <c r="H10" s="134">
        <v>1</v>
      </c>
      <c r="I10" s="134">
        <v>0</v>
      </c>
      <c r="J10" s="134">
        <v>53</v>
      </c>
      <c r="K10" s="134">
        <v>53</v>
      </c>
      <c r="L10" s="134">
        <v>0</v>
      </c>
      <c r="M10" s="134">
        <v>30</v>
      </c>
      <c r="N10" s="134">
        <v>30</v>
      </c>
      <c r="O10" s="134">
        <v>0</v>
      </c>
      <c r="P10" s="134">
        <v>23</v>
      </c>
      <c r="Q10" s="134">
        <v>23</v>
      </c>
      <c r="R10" s="134">
        <v>0</v>
      </c>
      <c r="S10" s="134">
        <v>0</v>
      </c>
      <c r="T10" s="134">
        <v>0</v>
      </c>
      <c r="U10" s="134">
        <v>0</v>
      </c>
      <c r="V10" s="134">
        <v>12</v>
      </c>
      <c r="W10" s="134">
        <v>12</v>
      </c>
      <c r="X10" s="134">
        <v>4</v>
      </c>
      <c r="Y10" s="134">
        <v>231</v>
      </c>
      <c r="Z10" s="134">
        <v>235</v>
      </c>
      <c r="AA10" s="134">
        <v>1</v>
      </c>
      <c r="AB10" s="134">
        <v>112</v>
      </c>
      <c r="AC10" s="134">
        <v>113</v>
      </c>
      <c r="AD10" s="134">
        <v>1</v>
      </c>
      <c r="AE10" s="134">
        <v>100</v>
      </c>
      <c r="AF10" s="134">
        <v>101</v>
      </c>
      <c r="AG10" s="134">
        <v>0</v>
      </c>
      <c r="AH10" s="134">
        <v>8</v>
      </c>
      <c r="AI10" s="134">
        <v>8</v>
      </c>
      <c r="AJ10" s="134">
        <v>0</v>
      </c>
      <c r="AK10" s="134">
        <v>4</v>
      </c>
      <c r="AL10" s="134">
        <v>4</v>
      </c>
      <c r="AM10" s="134">
        <v>3</v>
      </c>
      <c r="AN10" s="134">
        <v>119</v>
      </c>
      <c r="AO10" s="134">
        <v>122</v>
      </c>
      <c r="AP10" s="134">
        <v>188</v>
      </c>
      <c r="AQ10" s="134">
        <v>2405</v>
      </c>
      <c r="AR10" s="134">
        <v>2593</v>
      </c>
      <c r="AS10" s="134">
        <v>188</v>
      </c>
      <c r="AT10" s="134">
        <v>2405</v>
      </c>
      <c r="AU10" s="134">
        <v>2593</v>
      </c>
      <c r="AV10" s="134">
        <v>0</v>
      </c>
      <c r="AW10" s="134">
        <v>0</v>
      </c>
      <c r="AX10" s="134">
        <v>0</v>
      </c>
      <c r="AY10" s="134">
        <v>18</v>
      </c>
      <c r="AZ10" s="134">
        <v>237</v>
      </c>
      <c r="BA10" s="134">
        <v>255</v>
      </c>
      <c r="BB10" s="134">
        <v>4</v>
      </c>
      <c r="BC10" s="134">
        <v>0</v>
      </c>
      <c r="BD10" s="134">
        <v>0</v>
      </c>
      <c r="BE10" s="134">
        <v>166</v>
      </c>
      <c r="BF10" s="134">
        <v>0</v>
      </c>
      <c r="BG10" s="134">
        <v>0</v>
      </c>
      <c r="BH10" s="134">
        <v>4</v>
      </c>
      <c r="BI10" s="134">
        <v>166</v>
      </c>
      <c r="BJ10" s="134">
        <v>170</v>
      </c>
      <c r="BK10" s="134">
        <v>7</v>
      </c>
      <c r="BL10" s="134">
        <v>-7</v>
      </c>
      <c r="BM10" s="134">
        <v>0</v>
      </c>
      <c r="BN10" s="134">
        <v>3</v>
      </c>
      <c r="BO10" s="134">
        <v>5</v>
      </c>
      <c r="BP10" s="134">
        <v>8</v>
      </c>
      <c r="BQ10" s="134">
        <v>0</v>
      </c>
      <c r="BR10" s="134">
        <v>39</v>
      </c>
      <c r="BS10" s="134">
        <v>39</v>
      </c>
      <c r="BT10" s="134">
        <v>4</v>
      </c>
      <c r="BU10" s="134">
        <v>34</v>
      </c>
      <c r="BV10" s="134">
        <v>38</v>
      </c>
      <c r="BW10" s="134">
        <v>206</v>
      </c>
      <c r="BX10" s="134">
        <v>2642</v>
      </c>
      <c r="BY10" s="134">
        <v>2848</v>
      </c>
      <c r="BZ10" s="134">
        <v>206</v>
      </c>
      <c r="CA10" s="134">
        <v>2635</v>
      </c>
      <c r="CB10" s="134">
        <v>2841</v>
      </c>
      <c r="CC10" s="134">
        <v>5091</v>
      </c>
      <c r="CD10" s="134">
        <v>1</v>
      </c>
      <c r="CE10" s="134">
        <v>4</v>
      </c>
      <c r="CF10" s="134">
        <v>0</v>
      </c>
      <c r="CG10" s="134">
        <v>4</v>
      </c>
      <c r="CH10" s="134">
        <v>4</v>
      </c>
      <c r="CI10" s="134">
        <v>4</v>
      </c>
      <c r="CJ10" s="134">
        <v>0</v>
      </c>
      <c r="CK10" s="134">
        <v>0</v>
      </c>
      <c r="CL10" s="134">
        <v>3</v>
      </c>
      <c r="CM10" s="134">
        <v>3</v>
      </c>
      <c r="CN10" s="134">
        <v>10</v>
      </c>
      <c r="CO10" s="134">
        <v>196</v>
      </c>
      <c r="CP10" s="134">
        <v>206</v>
      </c>
      <c r="CQ10" s="134">
        <v>0</v>
      </c>
      <c r="CR10" s="134">
        <v>0</v>
      </c>
      <c r="CS10" s="134">
        <v>0</v>
      </c>
      <c r="CT10" s="134">
        <v>196</v>
      </c>
      <c r="CU10" s="134">
        <v>2446</v>
      </c>
      <c r="CV10" s="134">
        <v>2642</v>
      </c>
      <c r="CW10" s="134">
        <v>11</v>
      </c>
      <c r="CX10" s="134">
        <v>93</v>
      </c>
      <c r="CY10" s="134">
        <v>104</v>
      </c>
      <c r="CZ10" s="134">
        <v>11</v>
      </c>
      <c r="DA10" s="134">
        <v>0</v>
      </c>
      <c r="DB10" s="134">
        <v>0</v>
      </c>
      <c r="DC10" s="134">
        <v>92</v>
      </c>
      <c r="DD10" s="134">
        <v>0</v>
      </c>
      <c r="DE10" s="134">
        <v>0</v>
      </c>
      <c r="DF10" s="134">
        <v>11</v>
      </c>
      <c r="DG10" s="134">
        <v>92</v>
      </c>
      <c r="DH10" s="134">
        <v>103</v>
      </c>
      <c r="DI10" s="134">
        <v>0</v>
      </c>
      <c r="DJ10" s="134">
        <v>0</v>
      </c>
      <c r="DK10" s="134">
        <v>0</v>
      </c>
      <c r="DL10" s="134">
        <v>1</v>
      </c>
      <c r="DM10" s="134">
        <v>0</v>
      </c>
      <c r="DN10" s="134">
        <v>0</v>
      </c>
      <c r="DO10" s="134">
        <v>0</v>
      </c>
      <c r="DP10" s="134">
        <v>1</v>
      </c>
      <c r="DQ10" s="134">
        <v>1</v>
      </c>
      <c r="DR10" s="134">
        <v>0</v>
      </c>
      <c r="DS10" s="134">
        <v>0</v>
      </c>
      <c r="DT10" s="135">
        <v>0</v>
      </c>
    </row>
    <row r="11" spans="1:129">
      <c r="A11" s="133" t="s">
        <v>280</v>
      </c>
      <c r="B11" s="134">
        <v>69</v>
      </c>
      <c r="C11" s="134">
        <v>5</v>
      </c>
      <c r="D11" s="134">
        <v>71</v>
      </c>
      <c r="E11" s="134">
        <v>38</v>
      </c>
      <c r="F11" s="134">
        <v>0</v>
      </c>
      <c r="G11" s="134">
        <v>0</v>
      </c>
      <c r="H11" s="134">
        <v>0</v>
      </c>
      <c r="I11" s="134">
        <v>0</v>
      </c>
      <c r="J11" s="134">
        <v>29</v>
      </c>
      <c r="K11" s="134">
        <v>29</v>
      </c>
      <c r="L11" s="134">
        <v>0</v>
      </c>
      <c r="M11" s="134">
        <v>11</v>
      </c>
      <c r="N11" s="134">
        <v>11</v>
      </c>
      <c r="O11" s="134">
        <v>0</v>
      </c>
      <c r="P11" s="134">
        <v>18</v>
      </c>
      <c r="Q11" s="134">
        <v>18</v>
      </c>
      <c r="R11" s="134">
        <v>0</v>
      </c>
      <c r="S11" s="134">
        <v>0</v>
      </c>
      <c r="T11" s="134">
        <v>0</v>
      </c>
      <c r="U11" s="134">
        <v>0</v>
      </c>
      <c r="V11" s="134">
        <v>4</v>
      </c>
      <c r="W11" s="134">
        <v>4</v>
      </c>
      <c r="X11" s="134">
        <v>0</v>
      </c>
      <c r="Y11" s="134">
        <v>71</v>
      </c>
      <c r="Z11" s="134">
        <v>71</v>
      </c>
      <c r="AA11" s="134">
        <v>0</v>
      </c>
      <c r="AB11" s="134">
        <v>22</v>
      </c>
      <c r="AC11" s="134">
        <v>22</v>
      </c>
      <c r="AD11" s="134">
        <v>0</v>
      </c>
      <c r="AE11" s="134">
        <v>22</v>
      </c>
      <c r="AF11" s="134">
        <v>22</v>
      </c>
      <c r="AG11" s="134">
        <v>0</v>
      </c>
      <c r="AH11" s="134">
        <v>0</v>
      </c>
      <c r="AI11" s="134">
        <v>0</v>
      </c>
      <c r="AJ11" s="134">
        <v>0</v>
      </c>
      <c r="AK11" s="134">
        <v>0</v>
      </c>
      <c r="AL11" s="134">
        <v>0</v>
      </c>
      <c r="AM11" s="134">
        <v>0</v>
      </c>
      <c r="AN11" s="134">
        <v>49</v>
      </c>
      <c r="AO11" s="134">
        <v>49</v>
      </c>
      <c r="AP11" s="134">
        <v>76</v>
      </c>
      <c r="AQ11" s="134">
        <v>550</v>
      </c>
      <c r="AR11" s="134">
        <v>626</v>
      </c>
      <c r="AS11" s="134">
        <v>76</v>
      </c>
      <c r="AT11" s="134">
        <v>550</v>
      </c>
      <c r="AU11" s="134">
        <v>626</v>
      </c>
      <c r="AV11" s="134">
        <v>0</v>
      </c>
      <c r="AW11" s="134">
        <v>0</v>
      </c>
      <c r="AX11" s="134">
        <v>0</v>
      </c>
      <c r="AY11" s="134">
        <v>1</v>
      </c>
      <c r="AZ11" s="134">
        <v>76</v>
      </c>
      <c r="BA11" s="134">
        <v>77</v>
      </c>
      <c r="BB11" s="134">
        <v>2</v>
      </c>
      <c r="BC11" s="134">
        <v>0</v>
      </c>
      <c r="BD11" s="134">
        <v>0</v>
      </c>
      <c r="BE11" s="134">
        <v>34</v>
      </c>
      <c r="BF11" s="134">
        <v>1</v>
      </c>
      <c r="BG11" s="134">
        <v>1</v>
      </c>
      <c r="BH11" s="134">
        <v>2</v>
      </c>
      <c r="BI11" s="134">
        <v>36</v>
      </c>
      <c r="BJ11" s="134">
        <v>38</v>
      </c>
      <c r="BK11" s="134">
        <v>-5</v>
      </c>
      <c r="BL11" s="134">
        <v>5</v>
      </c>
      <c r="BM11" s="134">
        <v>0</v>
      </c>
      <c r="BN11" s="134">
        <v>0</v>
      </c>
      <c r="BO11" s="134">
        <v>2</v>
      </c>
      <c r="BP11" s="134">
        <v>2</v>
      </c>
      <c r="BQ11" s="134">
        <v>1</v>
      </c>
      <c r="BR11" s="134">
        <v>6</v>
      </c>
      <c r="BS11" s="134">
        <v>7</v>
      </c>
      <c r="BT11" s="134">
        <v>3</v>
      </c>
      <c r="BU11" s="134">
        <v>27</v>
      </c>
      <c r="BV11" s="134">
        <v>30</v>
      </c>
      <c r="BW11" s="134">
        <v>77</v>
      </c>
      <c r="BX11" s="134">
        <v>626</v>
      </c>
      <c r="BY11" s="134">
        <v>703</v>
      </c>
      <c r="BZ11" s="134">
        <v>75</v>
      </c>
      <c r="CA11" s="134">
        <v>621</v>
      </c>
      <c r="CB11" s="134">
        <v>696</v>
      </c>
      <c r="CC11" s="134">
        <v>1542</v>
      </c>
      <c r="CD11" s="134">
        <v>0</v>
      </c>
      <c r="CE11" s="134">
        <v>6</v>
      </c>
      <c r="CF11" s="134">
        <v>2</v>
      </c>
      <c r="CG11" s="134">
        <v>3</v>
      </c>
      <c r="CH11" s="134">
        <v>5</v>
      </c>
      <c r="CI11" s="134">
        <v>2</v>
      </c>
      <c r="CJ11" s="134">
        <v>0</v>
      </c>
      <c r="CK11" s="134">
        <v>0</v>
      </c>
      <c r="CL11" s="134">
        <v>2</v>
      </c>
      <c r="CM11" s="134">
        <v>2</v>
      </c>
      <c r="CN11" s="134">
        <v>5</v>
      </c>
      <c r="CO11" s="134">
        <v>50</v>
      </c>
      <c r="CP11" s="134">
        <v>55</v>
      </c>
      <c r="CQ11" s="134">
        <v>0</v>
      </c>
      <c r="CR11" s="134">
        <v>0</v>
      </c>
      <c r="CS11" s="134">
        <v>0</v>
      </c>
      <c r="CT11" s="134">
        <v>72</v>
      </c>
      <c r="CU11" s="134">
        <v>576</v>
      </c>
      <c r="CV11" s="134">
        <v>648</v>
      </c>
      <c r="CW11" s="134">
        <v>7</v>
      </c>
      <c r="CX11" s="134">
        <v>18</v>
      </c>
      <c r="CY11" s="134">
        <v>25</v>
      </c>
      <c r="CZ11" s="134">
        <v>6</v>
      </c>
      <c r="DA11" s="134">
        <v>1</v>
      </c>
      <c r="DB11" s="134">
        <v>0</v>
      </c>
      <c r="DC11" s="134">
        <v>18</v>
      </c>
      <c r="DD11" s="134">
        <v>0</v>
      </c>
      <c r="DE11" s="134">
        <v>0</v>
      </c>
      <c r="DF11" s="134">
        <v>7</v>
      </c>
      <c r="DG11" s="134">
        <v>18</v>
      </c>
      <c r="DH11" s="134">
        <v>25</v>
      </c>
      <c r="DI11" s="134">
        <v>0</v>
      </c>
      <c r="DJ11" s="134">
        <v>0</v>
      </c>
      <c r="DK11" s="134">
        <v>0</v>
      </c>
      <c r="DL11" s="134">
        <v>0</v>
      </c>
      <c r="DM11" s="134">
        <v>0</v>
      </c>
      <c r="DN11" s="134">
        <v>0</v>
      </c>
      <c r="DO11" s="134">
        <v>0</v>
      </c>
      <c r="DP11" s="134">
        <v>0</v>
      </c>
      <c r="DQ11" s="134">
        <v>0</v>
      </c>
      <c r="DR11" s="134">
        <v>0</v>
      </c>
      <c r="DS11" s="134">
        <v>0</v>
      </c>
      <c r="DT11" s="135">
        <v>0</v>
      </c>
    </row>
    <row r="12" spans="1:129">
      <c r="A12" s="133" t="s">
        <v>281</v>
      </c>
      <c r="B12" s="134">
        <v>2892</v>
      </c>
      <c r="C12" s="134">
        <v>1161</v>
      </c>
      <c r="D12" s="134">
        <v>2413</v>
      </c>
      <c r="E12" s="134">
        <v>1344</v>
      </c>
      <c r="F12" s="134">
        <v>4</v>
      </c>
      <c r="G12" s="134">
        <v>36</v>
      </c>
      <c r="H12" s="134">
        <v>40</v>
      </c>
      <c r="I12" s="134">
        <v>0</v>
      </c>
      <c r="J12" s="134">
        <v>963</v>
      </c>
      <c r="K12" s="134">
        <v>963</v>
      </c>
      <c r="L12" s="134">
        <v>0</v>
      </c>
      <c r="M12" s="134">
        <v>324</v>
      </c>
      <c r="N12" s="134">
        <v>324</v>
      </c>
      <c r="O12" s="134">
        <v>0</v>
      </c>
      <c r="P12" s="134">
        <v>639</v>
      </c>
      <c r="Q12" s="134">
        <v>639</v>
      </c>
      <c r="R12" s="134">
        <v>0</v>
      </c>
      <c r="S12" s="134">
        <v>64</v>
      </c>
      <c r="T12" s="134">
        <v>64</v>
      </c>
      <c r="U12" s="134">
        <v>0</v>
      </c>
      <c r="V12" s="134">
        <v>106</v>
      </c>
      <c r="W12" s="134">
        <v>106</v>
      </c>
      <c r="X12" s="134">
        <v>39</v>
      </c>
      <c r="Y12" s="134">
        <v>1201</v>
      </c>
      <c r="Z12" s="134">
        <v>1240</v>
      </c>
      <c r="AA12" s="134">
        <v>27</v>
      </c>
      <c r="AB12" s="134">
        <v>585</v>
      </c>
      <c r="AC12" s="134">
        <v>612</v>
      </c>
      <c r="AD12" s="134">
        <v>27</v>
      </c>
      <c r="AE12" s="134">
        <v>575</v>
      </c>
      <c r="AF12" s="134">
        <v>602</v>
      </c>
      <c r="AG12" s="134">
        <v>0</v>
      </c>
      <c r="AH12" s="134">
        <v>7</v>
      </c>
      <c r="AI12" s="134">
        <v>7</v>
      </c>
      <c r="AJ12" s="134">
        <v>0</v>
      </c>
      <c r="AK12" s="134">
        <v>3</v>
      </c>
      <c r="AL12" s="134">
        <v>3</v>
      </c>
      <c r="AM12" s="134">
        <v>12</v>
      </c>
      <c r="AN12" s="134">
        <v>616</v>
      </c>
      <c r="AO12" s="134">
        <v>628</v>
      </c>
      <c r="AP12" s="134">
        <v>3427</v>
      </c>
      <c r="AQ12" s="134">
        <v>25329</v>
      </c>
      <c r="AR12" s="134">
        <v>28756</v>
      </c>
      <c r="AS12" s="134">
        <v>3408</v>
      </c>
      <c r="AT12" s="134">
        <v>25062</v>
      </c>
      <c r="AU12" s="134">
        <v>28470</v>
      </c>
      <c r="AV12" s="134">
        <v>19</v>
      </c>
      <c r="AW12" s="134">
        <v>267</v>
      </c>
      <c r="AX12" s="134">
        <v>286</v>
      </c>
      <c r="AY12" s="134">
        <v>178</v>
      </c>
      <c r="AZ12" s="134">
        <v>2795</v>
      </c>
      <c r="BA12" s="134">
        <v>2973</v>
      </c>
      <c r="BB12" s="134">
        <v>99</v>
      </c>
      <c r="BC12" s="134">
        <v>6</v>
      </c>
      <c r="BD12" s="134">
        <v>0</v>
      </c>
      <c r="BE12" s="134">
        <v>1208</v>
      </c>
      <c r="BF12" s="134">
        <v>23</v>
      </c>
      <c r="BG12" s="134">
        <v>8</v>
      </c>
      <c r="BH12" s="134">
        <v>105</v>
      </c>
      <c r="BI12" s="134">
        <v>1239</v>
      </c>
      <c r="BJ12" s="134">
        <v>1344</v>
      </c>
      <c r="BK12" s="134">
        <v>-81</v>
      </c>
      <c r="BL12" s="134">
        <v>81</v>
      </c>
      <c r="BM12" s="134">
        <v>0</v>
      </c>
      <c r="BN12" s="134">
        <v>11</v>
      </c>
      <c r="BO12" s="134">
        <v>57</v>
      </c>
      <c r="BP12" s="134">
        <v>68</v>
      </c>
      <c r="BQ12" s="134">
        <v>10</v>
      </c>
      <c r="BR12" s="134">
        <v>36</v>
      </c>
      <c r="BS12" s="134">
        <v>46</v>
      </c>
      <c r="BT12" s="134">
        <v>133</v>
      </c>
      <c r="BU12" s="134">
        <v>1382</v>
      </c>
      <c r="BV12" s="134">
        <v>1515</v>
      </c>
      <c r="BW12" s="134">
        <v>3605</v>
      </c>
      <c r="BX12" s="134">
        <v>28124</v>
      </c>
      <c r="BY12" s="134">
        <v>31729</v>
      </c>
      <c r="BZ12" s="134">
        <v>3499</v>
      </c>
      <c r="CA12" s="134">
        <v>27582</v>
      </c>
      <c r="CB12" s="134">
        <v>31081</v>
      </c>
      <c r="CC12" s="134">
        <v>63479</v>
      </c>
      <c r="CD12" s="134">
        <v>31</v>
      </c>
      <c r="CE12" s="134">
        <v>696</v>
      </c>
      <c r="CF12" s="134">
        <v>102</v>
      </c>
      <c r="CG12" s="134">
        <v>414</v>
      </c>
      <c r="CH12" s="134">
        <v>516</v>
      </c>
      <c r="CI12" s="134">
        <v>160</v>
      </c>
      <c r="CJ12" s="134">
        <v>17</v>
      </c>
      <c r="CK12" s="134">
        <v>4</v>
      </c>
      <c r="CL12" s="134">
        <v>128</v>
      </c>
      <c r="CM12" s="134">
        <v>132</v>
      </c>
      <c r="CN12" s="134">
        <v>185</v>
      </c>
      <c r="CO12" s="134">
        <v>2641</v>
      </c>
      <c r="CP12" s="134">
        <v>2826</v>
      </c>
      <c r="CQ12" s="134">
        <v>0</v>
      </c>
      <c r="CR12" s="134">
        <v>0</v>
      </c>
      <c r="CS12" s="134">
        <v>0</v>
      </c>
      <c r="CT12" s="134">
        <v>3420</v>
      </c>
      <c r="CU12" s="134">
        <v>25483</v>
      </c>
      <c r="CV12" s="134">
        <v>28903</v>
      </c>
      <c r="CW12" s="134">
        <v>316</v>
      </c>
      <c r="CX12" s="134">
        <v>1479</v>
      </c>
      <c r="CY12" s="134">
        <v>1795</v>
      </c>
      <c r="CZ12" s="134">
        <v>304</v>
      </c>
      <c r="DA12" s="134">
        <v>8</v>
      </c>
      <c r="DB12" s="134">
        <v>0</v>
      </c>
      <c r="DC12" s="134">
        <v>1409</v>
      </c>
      <c r="DD12" s="134">
        <v>22</v>
      </c>
      <c r="DE12" s="134">
        <v>3</v>
      </c>
      <c r="DF12" s="134">
        <v>312</v>
      </c>
      <c r="DG12" s="134">
        <v>1434</v>
      </c>
      <c r="DH12" s="134">
        <v>1746</v>
      </c>
      <c r="DI12" s="134">
        <v>3</v>
      </c>
      <c r="DJ12" s="134">
        <v>1</v>
      </c>
      <c r="DK12" s="134">
        <v>0</v>
      </c>
      <c r="DL12" s="134">
        <v>44</v>
      </c>
      <c r="DM12" s="134">
        <v>1</v>
      </c>
      <c r="DN12" s="134">
        <v>0</v>
      </c>
      <c r="DO12" s="134">
        <v>4</v>
      </c>
      <c r="DP12" s="134">
        <v>45</v>
      </c>
      <c r="DQ12" s="134">
        <v>49</v>
      </c>
      <c r="DR12" s="134">
        <v>1</v>
      </c>
      <c r="DS12" s="134">
        <v>4</v>
      </c>
      <c r="DT12" s="135">
        <v>5</v>
      </c>
    </row>
    <row r="13" spans="1:129">
      <c r="A13" s="133" t="s">
        <v>282</v>
      </c>
      <c r="B13" s="134">
        <v>211</v>
      </c>
      <c r="C13" s="134">
        <v>8</v>
      </c>
      <c r="D13" s="134">
        <v>181</v>
      </c>
      <c r="E13" s="134">
        <v>111</v>
      </c>
      <c r="F13" s="134">
        <v>0</v>
      </c>
      <c r="G13" s="134">
        <v>0</v>
      </c>
      <c r="H13" s="134">
        <v>0</v>
      </c>
      <c r="I13" s="134">
        <v>0</v>
      </c>
      <c r="J13" s="134">
        <v>65</v>
      </c>
      <c r="K13" s="134">
        <v>65</v>
      </c>
      <c r="L13" s="134">
        <v>0</v>
      </c>
      <c r="M13" s="134">
        <v>18</v>
      </c>
      <c r="N13" s="134">
        <v>18</v>
      </c>
      <c r="O13" s="134">
        <v>0</v>
      </c>
      <c r="P13" s="134">
        <v>47</v>
      </c>
      <c r="Q13" s="134">
        <v>47</v>
      </c>
      <c r="R13" s="134">
        <v>0</v>
      </c>
      <c r="S13" s="134">
        <v>0</v>
      </c>
      <c r="T13" s="134">
        <v>0</v>
      </c>
      <c r="U13" s="134">
        <v>0</v>
      </c>
      <c r="V13" s="134">
        <v>5</v>
      </c>
      <c r="W13" s="134">
        <v>5</v>
      </c>
      <c r="X13" s="134">
        <v>9</v>
      </c>
      <c r="Y13" s="134">
        <v>172</v>
      </c>
      <c r="Z13" s="134">
        <v>181</v>
      </c>
      <c r="AA13" s="134">
        <v>5</v>
      </c>
      <c r="AB13" s="134">
        <v>82</v>
      </c>
      <c r="AC13" s="134">
        <v>87</v>
      </c>
      <c r="AD13" s="134">
        <v>5</v>
      </c>
      <c r="AE13" s="134">
        <v>80</v>
      </c>
      <c r="AF13" s="134">
        <v>85</v>
      </c>
      <c r="AG13" s="134">
        <v>0</v>
      </c>
      <c r="AH13" s="134">
        <v>2</v>
      </c>
      <c r="AI13" s="134">
        <v>2</v>
      </c>
      <c r="AJ13" s="134">
        <v>0</v>
      </c>
      <c r="AK13" s="134">
        <v>0</v>
      </c>
      <c r="AL13" s="134">
        <v>0</v>
      </c>
      <c r="AM13" s="134">
        <v>4</v>
      </c>
      <c r="AN13" s="134">
        <v>90</v>
      </c>
      <c r="AO13" s="134">
        <v>94</v>
      </c>
      <c r="AP13" s="134">
        <v>344</v>
      </c>
      <c r="AQ13" s="134">
        <v>2028</v>
      </c>
      <c r="AR13" s="134">
        <v>2372</v>
      </c>
      <c r="AS13" s="134">
        <v>344</v>
      </c>
      <c r="AT13" s="134">
        <v>2028</v>
      </c>
      <c r="AU13" s="134">
        <v>2372</v>
      </c>
      <c r="AV13" s="134">
        <v>0</v>
      </c>
      <c r="AW13" s="134">
        <v>0</v>
      </c>
      <c r="AX13" s="134">
        <v>0</v>
      </c>
      <c r="AY13" s="134">
        <v>17</v>
      </c>
      <c r="AZ13" s="134">
        <v>221</v>
      </c>
      <c r="BA13" s="134">
        <v>238</v>
      </c>
      <c r="BB13" s="134">
        <v>9</v>
      </c>
      <c r="BC13" s="134">
        <v>0</v>
      </c>
      <c r="BD13" s="134">
        <v>0</v>
      </c>
      <c r="BE13" s="134">
        <v>102</v>
      </c>
      <c r="BF13" s="134">
        <v>0</v>
      </c>
      <c r="BG13" s="134">
        <v>0</v>
      </c>
      <c r="BH13" s="134">
        <v>9</v>
      </c>
      <c r="BI13" s="134">
        <v>102</v>
      </c>
      <c r="BJ13" s="134">
        <v>111</v>
      </c>
      <c r="BK13" s="134">
        <v>-9</v>
      </c>
      <c r="BL13" s="134">
        <v>9</v>
      </c>
      <c r="BM13" s="134">
        <v>0</v>
      </c>
      <c r="BN13" s="134">
        <v>0</v>
      </c>
      <c r="BO13" s="134">
        <v>6</v>
      </c>
      <c r="BP13" s="134">
        <v>6</v>
      </c>
      <c r="BQ13" s="134">
        <v>4</v>
      </c>
      <c r="BR13" s="134">
        <v>24</v>
      </c>
      <c r="BS13" s="134">
        <v>28</v>
      </c>
      <c r="BT13" s="134">
        <v>13</v>
      </c>
      <c r="BU13" s="134">
        <v>80</v>
      </c>
      <c r="BV13" s="134">
        <v>93</v>
      </c>
      <c r="BW13" s="134">
        <v>361</v>
      </c>
      <c r="BX13" s="134">
        <v>2249</v>
      </c>
      <c r="BY13" s="134">
        <v>2610</v>
      </c>
      <c r="BZ13" s="134">
        <v>361</v>
      </c>
      <c r="CA13" s="134">
        <v>2246</v>
      </c>
      <c r="CB13" s="134">
        <v>2607</v>
      </c>
      <c r="CC13" s="134">
        <v>5323</v>
      </c>
      <c r="CD13" s="134">
        <v>0</v>
      </c>
      <c r="CE13" s="134">
        <v>1</v>
      </c>
      <c r="CF13" s="134">
        <v>0</v>
      </c>
      <c r="CG13" s="134">
        <v>1</v>
      </c>
      <c r="CH13" s="134">
        <v>1</v>
      </c>
      <c r="CI13" s="134">
        <v>2</v>
      </c>
      <c r="CJ13" s="134">
        <v>3</v>
      </c>
      <c r="CK13" s="134">
        <v>0</v>
      </c>
      <c r="CL13" s="134">
        <v>2</v>
      </c>
      <c r="CM13" s="134">
        <v>2</v>
      </c>
      <c r="CN13" s="134">
        <v>15</v>
      </c>
      <c r="CO13" s="134">
        <v>188</v>
      </c>
      <c r="CP13" s="134">
        <v>203</v>
      </c>
      <c r="CQ13" s="134">
        <v>0</v>
      </c>
      <c r="CR13" s="134">
        <v>1</v>
      </c>
      <c r="CS13" s="134">
        <v>1</v>
      </c>
      <c r="CT13" s="134">
        <v>346</v>
      </c>
      <c r="CU13" s="134">
        <v>2061</v>
      </c>
      <c r="CV13" s="134">
        <v>2407</v>
      </c>
      <c r="CW13" s="134">
        <v>33</v>
      </c>
      <c r="CX13" s="134">
        <v>95</v>
      </c>
      <c r="CY13" s="134">
        <v>128</v>
      </c>
      <c r="CZ13" s="134">
        <v>33</v>
      </c>
      <c r="DA13" s="134">
        <v>0</v>
      </c>
      <c r="DB13" s="134">
        <v>0</v>
      </c>
      <c r="DC13" s="134">
        <v>94</v>
      </c>
      <c r="DD13" s="134">
        <v>0</v>
      </c>
      <c r="DE13" s="134">
        <v>0</v>
      </c>
      <c r="DF13" s="134">
        <v>33</v>
      </c>
      <c r="DG13" s="134">
        <v>94</v>
      </c>
      <c r="DH13" s="134">
        <v>127</v>
      </c>
      <c r="DI13" s="134">
        <v>0</v>
      </c>
      <c r="DJ13" s="134">
        <v>0</v>
      </c>
      <c r="DK13" s="134">
        <v>0</v>
      </c>
      <c r="DL13" s="134">
        <v>1</v>
      </c>
      <c r="DM13" s="134">
        <v>0</v>
      </c>
      <c r="DN13" s="134">
        <v>0</v>
      </c>
      <c r="DO13" s="134">
        <v>0</v>
      </c>
      <c r="DP13" s="134">
        <v>1</v>
      </c>
      <c r="DQ13" s="134">
        <v>1</v>
      </c>
      <c r="DR13" s="134">
        <v>0</v>
      </c>
      <c r="DS13" s="134">
        <v>0</v>
      </c>
      <c r="DT13" s="135">
        <v>0</v>
      </c>
    </row>
    <row r="14" spans="1:129">
      <c r="A14" s="133" t="s">
        <v>283</v>
      </c>
      <c r="B14" s="134">
        <v>596</v>
      </c>
      <c r="C14" s="134">
        <v>102</v>
      </c>
      <c r="D14" s="134">
        <v>553</v>
      </c>
      <c r="E14" s="134">
        <v>338</v>
      </c>
      <c r="F14" s="134">
        <v>0</v>
      </c>
      <c r="G14" s="134">
        <v>1</v>
      </c>
      <c r="H14" s="134">
        <v>1</v>
      </c>
      <c r="I14" s="134">
        <v>0</v>
      </c>
      <c r="J14" s="134">
        <v>199</v>
      </c>
      <c r="K14" s="134">
        <v>199</v>
      </c>
      <c r="L14" s="134">
        <v>0</v>
      </c>
      <c r="M14" s="134">
        <v>74</v>
      </c>
      <c r="N14" s="134">
        <v>74</v>
      </c>
      <c r="O14" s="134">
        <v>0</v>
      </c>
      <c r="P14" s="134">
        <v>125</v>
      </c>
      <c r="Q14" s="134">
        <v>125</v>
      </c>
      <c r="R14" s="134">
        <v>0</v>
      </c>
      <c r="S14" s="134">
        <v>0</v>
      </c>
      <c r="T14" s="134">
        <v>0</v>
      </c>
      <c r="U14" s="134">
        <v>0</v>
      </c>
      <c r="V14" s="134">
        <v>16</v>
      </c>
      <c r="W14" s="134">
        <v>16</v>
      </c>
      <c r="X14" s="134">
        <v>9</v>
      </c>
      <c r="Y14" s="134">
        <v>544</v>
      </c>
      <c r="Z14" s="134">
        <v>553</v>
      </c>
      <c r="AA14" s="134">
        <v>7</v>
      </c>
      <c r="AB14" s="134">
        <v>238</v>
      </c>
      <c r="AC14" s="134">
        <v>245</v>
      </c>
      <c r="AD14" s="134">
        <v>6</v>
      </c>
      <c r="AE14" s="134">
        <v>235</v>
      </c>
      <c r="AF14" s="134">
        <v>241</v>
      </c>
      <c r="AG14" s="134">
        <v>0</v>
      </c>
      <c r="AH14" s="134">
        <v>3</v>
      </c>
      <c r="AI14" s="134">
        <v>3</v>
      </c>
      <c r="AJ14" s="134">
        <v>1</v>
      </c>
      <c r="AK14" s="134">
        <v>0</v>
      </c>
      <c r="AL14" s="134">
        <v>1</v>
      </c>
      <c r="AM14" s="134">
        <v>2</v>
      </c>
      <c r="AN14" s="134">
        <v>306</v>
      </c>
      <c r="AO14" s="134">
        <v>308</v>
      </c>
      <c r="AP14" s="134">
        <v>480</v>
      </c>
      <c r="AQ14" s="134">
        <v>5873</v>
      </c>
      <c r="AR14" s="134">
        <v>6353</v>
      </c>
      <c r="AS14" s="134">
        <v>480</v>
      </c>
      <c r="AT14" s="134">
        <v>5873</v>
      </c>
      <c r="AU14" s="134">
        <v>6353</v>
      </c>
      <c r="AV14" s="134">
        <v>0</v>
      </c>
      <c r="AW14" s="134">
        <v>0</v>
      </c>
      <c r="AX14" s="134">
        <v>0</v>
      </c>
      <c r="AY14" s="134">
        <v>21</v>
      </c>
      <c r="AZ14" s="134">
        <v>577</v>
      </c>
      <c r="BA14" s="134">
        <v>598</v>
      </c>
      <c r="BB14" s="134">
        <v>8</v>
      </c>
      <c r="BC14" s="134">
        <v>0</v>
      </c>
      <c r="BD14" s="134">
        <v>0</v>
      </c>
      <c r="BE14" s="134">
        <v>329</v>
      </c>
      <c r="BF14" s="134">
        <v>1</v>
      </c>
      <c r="BG14" s="134">
        <v>0</v>
      </c>
      <c r="BH14" s="134">
        <v>8</v>
      </c>
      <c r="BI14" s="134">
        <v>330</v>
      </c>
      <c r="BJ14" s="134">
        <v>338</v>
      </c>
      <c r="BK14" s="134">
        <v>-10</v>
      </c>
      <c r="BL14" s="134">
        <v>10</v>
      </c>
      <c r="BM14" s="134">
        <v>0</v>
      </c>
      <c r="BN14" s="134">
        <v>5</v>
      </c>
      <c r="BO14" s="134">
        <v>19</v>
      </c>
      <c r="BP14" s="134">
        <v>24</v>
      </c>
      <c r="BQ14" s="134">
        <v>1</v>
      </c>
      <c r="BR14" s="134">
        <v>81</v>
      </c>
      <c r="BS14" s="134">
        <v>82</v>
      </c>
      <c r="BT14" s="134">
        <v>17</v>
      </c>
      <c r="BU14" s="134">
        <v>137</v>
      </c>
      <c r="BV14" s="134">
        <v>154</v>
      </c>
      <c r="BW14" s="134">
        <v>501</v>
      </c>
      <c r="BX14" s="134">
        <v>6450</v>
      </c>
      <c r="BY14" s="134">
        <v>6951</v>
      </c>
      <c r="BZ14" s="134">
        <v>499</v>
      </c>
      <c r="CA14" s="134">
        <v>6419</v>
      </c>
      <c r="CB14" s="134">
        <v>6918</v>
      </c>
      <c r="CC14" s="134">
        <v>12168</v>
      </c>
      <c r="CD14" s="134">
        <v>2</v>
      </c>
      <c r="CE14" s="134">
        <v>31</v>
      </c>
      <c r="CF14" s="134">
        <v>2</v>
      </c>
      <c r="CG14" s="134">
        <v>24</v>
      </c>
      <c r="CH14" s="134">
        <v>26</v>
      </c>
      <c r="CI14" s="134">
        <v>7</v>
      </c>
      <c r="CJ14" s="134">
        <v>0</v>
      </c>
      <c r="CK14" s="134">
        <v>0</v>
      </c>
      <c r="CL14" s="134">
        <v>7</v>
      </c>
      <c r="CM14" s="134">
        <v>7</v>
      </c>
      <c r="CN14" s="134">
        <v>30</v>
      </c>
      <c r="CO14" s="134">
        <v>579</v>
      </c>
      <c r="CP14" s="134">
        <v>609</v>
      </c>
      <c r="CQ14" s="134">
        <v>0</v>
      </c>
      <c r="CR14" s="134">
        <v>1</v>
      </c>
      <c r="CS14" s="134">
        <v>1</v>
      </c>
      <c r="CT14" s="134">
        <v>471</v>
      </c>
      <c r="CU14" s="134">
        <v>5871</v>
      </c>
      <c r="CV14" s="134">
        <v>6342</v>
      </c>
      <c r="CW14" s="134">
        <v>44</v>
      </c>
      <c r="CX14" s="134">
        <v>205</v>
      </c>
      <c r="CY14" s="134">
        <v>249</v>
      </c>
      <c r="CZ14" s="134">
        <v>44</v>
      </c>
      <c r="DA14" s="134">
        <v>0</v>
      </c>
      <c r="DB14" s="134">
        <v>0</v>
      </c>
      <c r="DC14" s="134">
        <v>202</v>
      </c>
      <c r="DD14" s="134">
        <v>1</v>
      </c>
      <c r="DE14" s="134">
        <v>0</v>
      </c>
      <c r="DF14" s="134">
        <v>44</v>
      </c>
      <c r="DG14" s="134">
        <v>203</v>
      </c>
      <c r="DH14" s="134">
        <v>247</v>
      </c>
      <c r="DI14" s="134">
        <v>0</v>
      </c>
      <c r="DJ14" s="134">
        <v>0</v>
      </c>
      <c r="DK14" s="134">
        <v>0</v>
      </c>
      <c r="DL14" s="134">
        <v>2</v>
      </c>
      <c r="DM14" s="134">
        <v>0</v>
      </c>
      <c r="DN14" s="134">
        <v>0</v>
      </c>
      <c r="DO14" s="134">
        <v>0</v>
      </c>
      <c r="DP14" s="134">
        <v>2</v>
      </c>
      <c r="DQ14" s="134">
        <v>2</v>
      </c>
      <c r="DR14" s="134">
        <v>0</v>
      </c>
      <c r="DS14" s="134">
        <v>0</v>
      </c>
      <c r="DT14" s="135">
        <v>0</v>
      </c>
    </row>
    <row r="15" spans="1:129">
      <c r="A15" s="133" t="s">
        <v>284</v>
      </c>
      <c r="B15" s="134">
        <v>5470</v>
      </c>
      <c r="C15" s="134">
        <v>1856</v>
      </c>
      <c r="D15" s="134">
        <v>5198</v>
      </c>
      <c r="E15" s="134">
        <v>3733</v>
      </c>
      <c r="F15" s="134">
        <v>22</v>
      </c>
      <c r="G15" s="134">
        <v>142</v>
      </c>
      <c r="H15" s="134">
        <v>164</v>
      </c>
      <c r="I15" s="134">
        <v>3</v>
      </c>
      <c r="J15" s="134">
        <v>1363</v>
      </c>
      <c r="K15" s="134">
        <v>1366</v>
      </c>
      <c r="L15" s="134">
        <v>3</v>
      </c>
      <c r="M15" s="134">
        <v>1360</v>
      </c>
      <c r="N15" s="134">
        <v>1363</v>
      </c>
      <c r="O15" s="134">
        <v>0</v>
      </c>
      <c r="P15" s="134">
        <v>3</v>
      </c>
      <c r="Q15" s="134">
        <v>3</v>
      </c>
      <c r="R15" s="134">
        <v>2</v>
      </c>
      <c r="S15" s="134">
        <v>220</v>
      </c>
      <c r="T15" s="134">
        <v>222</v>
      </c>
      <c r="U15" s="134">
        <v>0</v>
      </c>
      <c r="V15" s="134">
        <v>99</v>
      </c>
      <c r="W15" s="134">
        <v>99</v>
      </c>
      <c r="X15" s="134">
        <v>53</v>
      </c>
      <c r="Y15" s="134">
        <v>4178</v>
      </c>
      <c r="Z15" s="134">
        <v>4231</v>
      </c>
      <c r="AA15" s="134">
        <v>28</v>
      </c>
      <c r="AB15" s="134">
        <v>1881</v>
      </c>
      <c r="AC15" s="134">
        <v>1909</v>
      </c>
      <c r="AD15" s="134">
        <v>27</v>
      </c>
      <c r="AE15" s="134">
        <v>1775</v>
      </c>
      <c r="AF15" s="134">
        <v>1802</v>
      </c>
      <c r="AG15" s="134">
        <v>1</v>
      </c>
      <c r="AH15" s="134">
        <v>81</v>
      </c>
      <c r="AI15" s="134">
        <v>82</v>
      </c>
      <c r="AJ15" s="134">
        <v>0</v>
      </c>
      <c r="AK15" s="134">
        <v>25</v>
      </c>
      <c r="AL15" s="134">
        <v>25</v>
      </c>
      <c r="AM15" s="134">
        <v>25</v>
      </c>
      <c r="AN15" s="134">
        <v>2297</v>
      </c>
      <c r="AO15" s="134">
        <v>2322</v>
      </c>
      <c r="AP15" s="134">
        <v>11164</v>
      </c>
      <c r="AQ15" s="134">
        <v>73615</v>
      </c>
      <c r="AR15" s="134">
        <v>84779</v>
      </c>
      <c r="AS15" s="134">
        <v>10634</v>
      </c>
      <c r="AT15" s="134">
        <v>70288</v>
      </c>
      <c r="AU15" s="134">
        <v>80922</v>
      </c>
      <c r="AV15" s="134">
        <v>530</v>
      </c>
      <c r="AW15" s="134">
        <v>3327</v>
      </c>
      <c r="AX15" s="134">
        <v>3857</v>
      </c>
      <c r="AY15" s="134">
        <v>184</v>
      </c>
      <c r="AZ15" s="134">
        <v>3702</v>
      </c>
      <c r="BA15" s="134">
        <v>3886</v>
      </c>
      <c r="BB15" s="134">
        <v>277</v>
      </c>
      <c r="BC15" s="134">
        <v>1</v>
      </c>
      <c r="BD15" s="134">
        <v>1</v>
      </c>
      <c r="BE15" s="134">
        <v>3391</v>
      </c>
      <c r="BF15" s="134">
        <v>23</v>
      </c>
      <c r="BG15" s="134">
        <v>40</v>
      </c>
      <c r="BH15" s="134">
        <v>279</v>
      </c>
      <c r="BI15" s="134">
        <v>3454</v>
      </c>
      <c r="BJ15" s="134">
        <v>3733</v>
      </c>
      <c r="BK15" s="134">
        <v>-111</v>
      </c>
      <c r="BL15" s="134">
        <v>111</v>
      </c>
      <c r="BM15" s="134">
        <v>0</v>
      </c>
      <c r="BN15" s="134">
        <v>13</v>
      </c>
      <c r="BO15" s="134">
        <v>76</v>
      </c>
      <c r="BP15" s="134">
        <v>89</v>
      </c>
      <c r="BQ15" s="134">
        <v>2</v>
      </c>
      <c r="BR15" s="134">
        <v>15</v>
      </c>
      <c r="BS15" s="134">
        <v>17</v>
      </c>
      <c r="BT15" s="134">
        <v>1</v>
      </c>
      <c r="BU15" s="134">
        <v>46</v>
      </c>
      <c r="BV15" s="134">
        <v>47</v>
      </c>
      <c r="BW15" s="134">
        <v>11348</v>
      </c>
      <c r="BX15" s="134">
        <v>77317</v>
      </c>
      <c r="BY15" s="134">
        <v>88665</v>
      </c>
      <c r="BZ15" s="134">
        <v>11167</v>
      </c>
      <c r="CA15" s="134">
        <v>76442</v>
      </c>
      <c r="CB15" s="134">
        <v>87609</v>
      </c>
      <c r="CC15" s="134">
        <v>203731</v>
      </c>
      <c r="CD15" s="134">
        <v>74</v>
      </c>
      <c r="CE15" s="134">
        <v>875</v>
      </c>
      <c r="CF15" s="134">
        <v>166</v>
      </c>
      <c r="CG15" s="134">
        <v>642</v>
      </c>
      <c r="CH15" s="134">
        <v>808</v>
      </c>
      <c r="CI15" s="134">
        <v>281</v>
      </c>
      <c r="CJ15" s="134">
        <v>31</v>
      </c>
      <c r="CK15" s="134">
        <v>15</v>
      </c>
      <c r="CL15" s="134">
        <v>233</v>
      </c>
      <c r="CM15" s="134">
        <v>248</v>
      </c>
      <c r="CN15" s="134">
        <v>571</v>
      </c>
      <c r="CO15" s="134">
        <v>6173</v>
      </c>
      <c r="CP15" s="134">
        <v>6744</v>
      </c>
      <c r="CQ15" s="134">
        <v>0</v>
      </c>
      <c r="CR15" s="134">
        <v>0</v>
      </c>
      <c r="CS15" s="134">
        <v>0</v>
      </c>
      <c r="CT15" s="134">
        <v>10777</v>
      </c>
      <c r="CU15" s="134">
        <v>71144</v>
      </c>
      <c r="CV15" s="134">
        <v>81921</v>
      </c>
      <c r="CW15" s="134">
        <v>1040</v>
      </c>
      <c r="CX15" s="134">
        <v>5369</v>
      </c>
      <c r="CY15" s="134">
        <v>6409</v>
      </c>
      <c r="CZ15" s="134">
        <v>932</v>
      </c>
      <c r="DA15" s="134">
        <v>15</v>
      </c>
      <c r="DB15" s="134">
        <v>1</v>
      </c>
      <c r="DC15" s="134">
        <v>4507</v>
      </c>
      <c r="DD15" s="134">
        <v>31</v>
      </c>
      <c r="DE15" s="134">
        <v>15</v>
      </c>
      <c r="DF15" s="134">
        <v>948</v>
      </c>
      <c r="DG15" s="134">
        <v>4553</v>
      </c>
      <c r="DH15" s="134">
        <v>5501</v>
      </c>
      <c r="DI15" s="134">
        <v>90</v>
      </c>
      <c r="DJ15" s="134">
        <v>2</v>
      </c>
      <c r="DK15" s="134">
        <v>0</v>
      </c>
      <c r="DL15" s="134">
        <v>799</v>
      </c>
      <c r="DM15" s="134">
        <v>16</v>
      </c>
      <c r="DN15" s="134">
        <v>1</v>
      </c>
      <c r="DO15" s="134">
        <v>92</v>
      </c>
      <c r="DP15" s="134">
        <v>816</v>
      </c>
      <c r="DQ15" s="134">
        <v>908</v>
      </c>
      <c r="DR15" s="134">
        <v>6</v>
      </c>
      <c r="DS15" s="134">
        <v>45</v>
      </c>
      <c r="DT15" s="135">
        <v>51</v>
      </c>
    </row>
    <row r="16" spans="1:129" s="116" customFormat="1">
      <c r="A16" s="133" t="s">
        <v>285</v>
      </c>
      <c r="B16" s="134">
        <v>126</v>
      </c>
      <c r="C16" s="134">
        <v>22</v>
      </c>
      <c r="D16" s="134">
        <v>133</v>
      </c>
      <c r="E16" s="134">
        <v>88</v>
      </c>
      <c r="F16" s="134">
        <v>0</v>
      </c>
      <c r="G16" s="134">
        <v>2</v>
      </c>
      <c r="H16" s="134">
        <v>2</v>
      </c>
      <c r="I16" s="134">
        <v>1</v>
      </c>
      <c r="J16" s="134">
        <v>35</v>
      </c>
      <c r="K16" s="134">
        <v>36</v>
      </c>
      <c r="L16" s="134">
        <v>1</v>
      </c>
      <c r="M16" s="134">
        <v>9</v>
      </c>
      <c r="N16" s="134">
        <v>10</v>
      </c>
      <c r="O16" s="134">
        <v>0</v>
      </c>
      <c r="P16" s="134">
        <v>26</v>
      </c>
      <c r="Q16" s="134">
        <v>26</v>
      </c>
      <c r="R16" s="134">
        <v>0</v>
      </c>
      <c r="S16" s="134">
        <v>1</v>
      </c>
      <c r="T16" s="134">
        <v>1</v>
      </c>
      <c r="U16" s="134">
        <v>0</v>
      </c>
      <c r="V16" s="134">
        <v>9</v>
      </c>
      <c r="W16" s="134">
        <v>9</v>
      </c>
      <c r="X16" s="134">
        <v>8</v>
      </c>
      <c r="Y16" s="134">
        <v>125</v>
      </c>
      <c r="Z16" s="134">
        <v>133</v>
      </c>
      <c r="AA16" s="134">
        <v>3</v>
      </c>
      <c r="AB16" s="134">
        <v>45</v>
      </c>
      <c r="AC16" s="134">
        <v>48</v>
      </c>
      <c r="AD16" s="134">
        <v>3</v>
      </c>
      <c r="AE16" s="134">
        <v>45</v>
      </c>
      <c r="AF16" s="134">
        <v>48</v>
      </c>
      <c r="AG16" s="134">
        <v>0</v>
      </c>
      <c r="AH16" s="134">
        <v>0</v>
      </c>
      <c r="AI16" s="134">
        <v>0</v>
      </c>
      <c r="AJ16" s="134">
        <v>0</v>
      </c>
      <c r="AK16" s="134">
        <v>0</v>
      </c>
      <c r="AL16" s="134">
        <v>0</v>
      </c>
      <c r="AM16" s="134">
        <v>5</v>
      </c>
      <c r="AN16" s="134">
        <v>80</v>
      </c>
      <c r="AO16" s="134">
        <v>85</v>
      </c>
      <c r="AP16" s="134">
        <v>184</v>
      </c>
      <c r="AQ16" s="134">
        <v>1213</v>
      </c>
      <c r="AR16" s="134">
        <v>1397</v>
      </c>
      <c r="AS16" s="134">
        <v>184</v>
      </c>
      <c r="AT16" s="134">
        <v>1213</v>
      </c>
      <c r="AU16" s="134">
        <v>1397</v>
      </c>
      <c r="AV16" s="134">
        <v>0</v>
      </c>
      <c r="AW16" s="134">
        <v>0</v>
      </c>
      <c r="AX16" s="134">
        <v>0</v>
      </c>
      <c r="AY16" s="134">
        <v>4</v>
      </c>
      <c r="AZ16" s="134">
        <v>143</v>
      </c>
      <c r="BA16" s="134">
        <v>147</v>
      </c>
      <c r="BB16" s="134">
        <v>7</v>
      </c>
      <c r="BC16" s="134">
        <v>0</v>
      </c>
      <c r="BD16" s="134">
        <v>0</v>
      </c>
      <c r="BE16" s="134">
        <v>80</v>
      </c>
      <c r="BF16" s="134">
        <v>1</v>
      </c>
      <c r="BG16" s="134">
        <v>0</v>
      </c>
      <c r="BH16" s="134">
        <v>7</v>
      </c>
      <c r="BI16" s="134">
        <v>81</v>
      </c>
      <c r="BJ16" s="134">
        <v>88</v>
      </c>
      <c r="BK16" s="134">
        <v>-9</v>
      </c>
      <c r="BL16" s="134">
        <v>9</v>
      </c>
      <c r="BM16" s="134">
        <v>0</v>
      </c>
      <c r="BN16" s="134">
        <v>2</v>
      </c>
      <c r="BO16" s="134">
        <v>10</v>
      </c>
      <c r="BP16" s="134">
        <v>12</v>
      </c>
      <c r="BQ16" s="134">
        <v>1</v>
      </c>
      <c r="BR16" s="134">
        <v>18</v>
      </c>
      <c r="BS16" s="134">
        <v>19</v>
      </c>
      <c r="BT16" s="134">
        <v>3</v>
      </c>
      <c r="BU16" s="134">
        <v>25</v>
      </c>
      <c r="BV16" s="134">
        <v>28</v>
      </c>
      <c r="BW16" s="134">
        <v>188</v>
      </c>
      <c r="BX16" s="134">
        <v>1356</v>
      </c>
      <c r="BY16" s="134">
        <v>1544</v>
      </c>
      <c r="BZ16" s="134">
        <v>188</v>
      </c>
      <c r="CA16" s="134">
        <v>1347</v>
      </c>
      <c r="CB16" s="134">
        <v>1535</v>
      </c>
      <c r="CC16" s="134">
        <v>3535</v>
      </c>
      <c r="CD16" s="134">
        <v>0</v>
      </c>
      <c r="CE16" s="134">
        <v>9</v>
      </c>
      <c r="CF16" s="134">
        <v>0</v>
      </c>
      <c r="CG16" s="134">
        <v>9</v>
      </c>
      <c r="CH16" s="134">
        <v>9</v>
      </c>
      <c r="CI16" s="134">
        <v>0</v>
      </c>
      <c r="CJ16" s="134">
        <v>0</v>
      </c>
      <c r="CK16" s="134">
        <v>0</v>
      </c>
      <c r="CL16" s="134">
        <v>0</v>
      </c>
      <c r="CM16" s="134">
        <v>0</v>
      </c>
      <c r="CN16" s="134">
        <v>12</v>
      </c>
      <c r="CO16" s="134">
        <v>112</v>
      </c>
      <c r="CP16" s="134">
        <v>124</v>
      </c>
      <c r="CQ16" s="134">
        <v>0</v>
      </c>
      <c r="CR16" s="134">
        <v>0</v>
      </c>
      <c r="CS16" s="134">
        <v>0</v>
      </c>
      <c r="CT16" s="134">
        <v>176</v>
      </c>
      <c r="CU16" s="134">
        <v>1244</v>
      </c>
      <c r="CV16" s="134">
        <v>1420</v>
      </c>
      <c r="CW16" s="134">
        <v>10</v>
      </c>
      <c r="CX16" s="134">
        <v>60</v>
      </c>
      <c r="CY16" s="134">
        <v>70</v>
      </c>
      <c r="CZ16" s="134">
        <v>10</v>
      </c>
      <c r="DA16" s="134">
        <v>0</v>
      </c>
      <c r="DB16" s="134">
        <v>0</v>
      </c>
      <c r="DC16" s="134">
        <v>58</v>
      </c>
      <c r="DD16" s="134">
        <v>1</v>
      </c>
      <c r="DE16" s="134">
        <v>0</v>
      </c>
      <c r="DF16" s="134">
        <v>10</v>
      </c>
      <c r="DG16" s="134">
        <v>59</v>
      </c>
      <c r="DH16" s="134">
        <v>69</v>
      </c>
      <c r="DI16" s="134">
        <v>0</v>
      </c>
      <c r="DJ16" s="134">
        <v>0</v>
      </c>
      <c r="DK16" s="134">
        <v>0</v>
      </c>
      <c r="DL16" s="134">
        <v>1</v>
      </c>
      <c r="DM16" s="134">
        <v>0</v>
      </c>
      <c r="DN16" s="134">
        <v>0</v>
      </c>
      <c r="DO16" s="134">
        <v>0</v>
      </c>
      <c r="DP16" s="134">
        <v>1</v>
      </c>
      <c r="DQ16" s="134">
        <v>1</v>
      </c>
      <c r="DR16" s="134">
        <v>0</v>
      </c>
      <c r="DS16" s="134">
        <v>0</v>
      </c>
      <c r="DT16" s="135">
        <v>0</v>
      </c>
      <c r="DV16" s="136"/>
      <c r="DW16" s="137"/>
      <c r="DX16" s="136"/>
      <c r="DY16" s="136"/>
    </row>
    <row r="17" spans="1:129" s="116" customFormat="1">
      <c r="A17" s="133" t="s">
        <v>286</v>
      </c>
      <c r="B17" s="134">
        <v>1496</v>
      </c>
      <c r="C17" s="134">
        <v>377</v>
      </c>
      <c r="D17" s="134">
        <v>1278</v>
      </c>
      <c r="E17" s="134">
        <v>646</v>
      </c>
      <c r="F17" s="134">
        <v>0</v>
      </c>
      <c r="G17" s="134">
        <v>4</v>
      </c>
      <c r="H17" s="134">
        <v>4</v>
      </c>
      <c r="I17" s="134">
        <v>1</v>
      </c>
      <c r="J17" s="134">
        <v>584</v>
      </c>
      <c r="K17" s="134">
        <v>585</v>
      </c>
      <c r="L17" s="134">
        <v>1</v>
      </c>
      <c r="M17" s="134">
        <v>211</v>
      </c>
      <c r="N17" s="134">
        <v>212</v>
      </c>
      <c r="O17" s="134">
        <v>0</v>
      </c>
      <c r="P17" s="134">
        <v>373</v>
      </c>
      <c r="Q17" s="134">
        <v>373</v>
      </c>
      <c r="R17" s="134">
        <v>0</v>
      </c>
      <c r="S17" s="134">
        <v>4</v>
      </c>
      <c r="T17" s="134">
        <v>4</v>
      </c>
      <c r="U17" s="134">
        <v>0</v>
      </c>
      <c r="V17" s="134">
        <v>47</v>
      </c>
      <c r="W17" s="134">
        <v>47</v>
      </c>
      <c r="X17" s="134">
        <v>10</v>
      </c>
      <c r="Y17" s="134">
        <v>1268</v>
      </c>
      <c r="Z17" s="134">
        <v>1278</v>
      </c>
      <c r="AA17" s="134">
        <v>6</v>
      </c>
      <c r="AB17" s="134">
        <v>465</v>
      </c>
      <c r="AC17" s="134">
        <v>471</v>
      </c>
      <c r="AD17" s="134">
        <v>6</v>
      </c>
      <c r="AE17" s="134">
        <v>455</v>
      </c>
      <c r="AF17" s="134">
        <v>461</v>
      </c>
      <c r="AG17" s="134">
        <v>0</v>
      </c>
      <c r="AH17" s="134">
        <v>5</v>
      </c>
      <c r="AI17" s="134">
        <v>5</v>
      </c>
      <c r="AJ17" s="134">
        <v>0</v>
      </c>
      <c r="AK17" s="134">
        <v>5</v>
      </c>
      <c r="AL17" s="134">
        <v>5</v>
      </c>
      <c r="AM17" s="134">
        <v>4</v>
      </c>
      <c r="AN17" s="134">
        <v>803</v>
      </c>
      <c r="AO17" s="134">
        <v>807</v>
      </c>
      <c r="AP17" s="134">
        <v>791</v>
      </c>
      <c r="AQ17" s="134">
        <v>10215</v>
      </c>
      <c r="AR17" s="134">
        <v>11006</v>
      </c>
      <c r="AS17" s="134">
        <v>791</v>
      </c>
      <c r="AT17" s="134">
        <v>10215</v>
      </c>
      <c r="AU17" s="134">
        <v>11006</v>
      </c>
      <c r="AV17" s="134">
        <v>0</v>
      </c>
      <c r="AW17" s="134">
        <v>0</v>
      </c>
      <c r="AX17" s="134">
        <v>0</v>
      </c>
      <c r="AY17" s="134">
        <v>40</v>
      </c>
      <c r="AZ17" s="134">
        <v>1231</v>
      </c>
      <c r="BA17" s="134">
        <v>1271</v>
      </c>
      <c r="BB17" s="134">
        <v>11</v>
      </c>
      <c r="BC17" s="134">
        <v>0</v>
      </c>
      <c r="BD17" s="134">
        <v>0</v>
      </c>
      <c r="BE17" s="134">
        <v>633</v>
      </c>
      <c r="BF17" s="134">
        <v>2</v>
      </c>
      <c r="BG17" s="134">
        <v>0</v>
      </c>
      <c r="BH17" s="134">
        <v>11</v>
      </c>
      <c r="BI17" s="134">
        <v>635</v>
      </c>
      <c r="BJ17" s="134">
        <v>646</v>
      </c>
      <c r="BK17" s="134">
        <v>-8</v>
      </c>
      <c r="BL17" s="134">
        <v>8</v>
      </c>
      <c r="BM17" s="134">
        <v>0</v>
      </c>
      <c r="BN17" s="134">
        <v>4</v>
      </c>
      <c r="BO17" s="134">
        <v>18</v>
      </c>
      <c r="BP17" s="134">
        <v>22</v>
      </c>
      <c r="BQ17" s="134">
        <v>1</v>
      </c>
      <c r="BR17" s="134">
        <v>155</v>
      </c>
      <c r="BS17" s="134">
        <v>156</v>
      </c>
      <c r="BT17" s="134">
        <v>32</v>
      </c>
      <c r="BU17" s="134">
        <v>415</v>
      </c>
      <c r="BV17" s="134">
        <v>447</v>
      </c>
      <c r="BW17" s="134">
        <v>831</v>
      </c>
      <c r="BX17" s="134">
        <v>11446</v>
      </c>
      <c r="BY17" s="134">
        <v>12277</v>
      </c>
      <c r="BZ17" s="134">
        <v>830</v>
      </c>
      <c r="CA17" s="134">
        <v>11402</v>
      </c>
      <c r="CB17" s="134">
        <v>12232</v>
      </c>
      <c r="CC17" s="134">
        <v>20705</v>
      </c>
      <c r="CD17" s="134">
        <v>9</v>
      </c>
      <c r="CE17" s="134">
        <v>35</v>
      </c>
      <c r="CF17" s="134">
        <v>1</v>
      </c>
      <c r="CG17" s="134">
        <v>37</v>
      </c>
      <c r="CH17" s="134">
        <v>38</v>
      </c>
      <c r="CI17" s="134">
        <v>7</v>
      </c>
      <c r="CJ17" s="134">
        <v>1</v>
      </c>
      <c r="CK17" s="134">
        <v>0</v>
      </c>
      <c r="CL17" s="134">
        <v>7</v>
      </c>
      <c r="CM17" s="134">
        <v>7</v>
      </c>
      <c r="CN17" s="134">
        <v>41</v>
      </c>
      <c r="CO17" s="134">
        <v>1213</v>
      </c>
      <c r="CP17" s="134">
        <v>1254</v>
      </c>
      <c r="CQ17" s="134">
        <v>0</v>
      </c>
      <c r="CR17" s="134">
        <v>19</v>
      </c>
      <c r="CS17" s="134">
        <v>19</v>
      </c>
      <c r="CT17" s="134">
        <v>790</v>
      </c>
      <c r="CU17" s="134">
        <v>10233</v>
      </c>
      <c r="CV17" s="134">
        <v>11023</v>
      </c>
      <c r="CW17" s="134">
        <v>54</v>
      </c>
      <c r="CX17" s="134">
        <v>517</v>
      </c>
      <c r="CY17" s="134">
        <v>571</v>
      </c>
      <c r="CZ17" s="134">
        <v>53</v>
      </c>
      <c r="DA17" s="134">
        <v>0</v>
      </c>
      <c r="DB17" s="134">
        <v>0</v>
      </c>
      <c r="DC17" s="134">
        <v>504</v>
      </c>
      <c r="DD17" s="134">
        <v>4</v>
      </c>
      <c r="DE17" s="134">
        <v>1</v>
      </c>
      <c r="DF17" s="134">
        <v>53</v>
      </c>
      <c r="DG17" s="134">
        <v>509</v>
      </c>
      <c r="DH17" s="134">
        <v>562</v>
      </c>
      <c r="DI17" s="134">
        <v>1</v>
      </c>
      <c r="DJ17" s="134">
        <v>0</v>
      </c>
      <c r="DK17" s="134">
        <v>0</v>
      </c>
      <c r="DL17" s="134">
        <v>8</v>
      </c>
      <c r="DM17" s="134">
        <v>0</v>
      </c>
      <c r="DN17" s="134">
        <v>0</v>
      </c>
      <c r="DO17" s="134">
        <v>1</v>
      </c>
      <c r="DP17" s="134">
        <v>8</v>
      </c>
      <c r="DQ17" s="134">
        <v>9</v>
      </c>
      <c r="DR17" s="134">
        <v>0</v>
      </c>
      <c r="DS17" s="134">
        <v>0</v>
      </c>
      <c r="DT17" s="135">
        <v>0</v>
      </c>
      <c r="DV17" s="136"/>
      <c r="DW17" s="137"/>
      <c r="DX17" s="136"/>
      <c r="DY17" s="136"/>
    </row>
    <row r="18" spans="1:129" s="116" customFormat="1">
      <c r="A18" s="133" t="s">
        <v>287</v>
      </c>
      <c r="B18" s="134">
        <v>1406</v>
      </c>
      <c r="C18" s="134">
        <v>197</v>
      </c>
      <c r="D18" s="134">
        <v>1393</v>
      </c>
      <c r="E18" s="134">
        <v>964</v>
      </c>
      <c r="F18" s="134">
        <v>1</v>
      </c>
      <c r="G18" s="134">
        <v>24</v>
      </c>
      <c r="H18" s="134">
        <v>25</v>
      </c>
      <c r="I18" s="134">
        <v>0</v>
      </c>
      <c r="J18" s="134">
        <v>359</v>
      </c>
      <c r="K18" s="134">
        <v>359</v>
      </c>
      <c r="L18" s="134">
        <v>0</v>
      </c>
      <c r="M18" s="134">
        <v>181</v>
      </c>
      <c r="N18" s="134">
        <v>181</v>
      </c>
      <c r="O18" s="134">
        <v>0</v>
      </c>
      <c r="P18" s="134">
        <v>178</v>
      </c>
      <c r="Q18" s="134">
        <v>178</v>
      </c>
      <c r="R18" s="134">
        <v>0</v>
      </c>
      <c r="S18" s="134">
        <v>8</v>
      </c>
      <c r="T18" s="134">
        <v>8</v>
      </c>
      <c r="U18" s="134">
        <v>0</v>
      </c>
      <c r="V18" s="134">
        <v>70</v>
      </c>
      <c r="W18" s="134">
        <v>70</v>
      </c>
      <c r="X18" s="134">
        <v>39</v>
      </c>
      <c r="Y18" s="134">
        <v>1352</v>
      </c>
      <c r="Z18" s="134">
        <v>1391</v>
      </c>
      <c r="AA18" s="134">
        <v>25</v>
      </c>
      <c r="AB18" s="134">
        <v>547</v>
      </c>
      <c r="AC18" s="134">
        <v>572</v>
      </c>
      <c r="AD18" s="134">
        <v>23</v>
      </c>
      <c r="AE18" s="134">
        <v>506</v>
      </c>
      <c r="AF18" s="134">
        <v>529</v>
      </c>
      <c r="AG18" s="134">
        <v>2</v>
      </c>
      <c r="AH18" s="134">
        <v>29</v>
      </c>
      <c r="AI18" s="134">
        <v>31</v>
      </c>
      <c r="AJ18" s="134">
        <v>0</v>
      </c>
      <c r="AK18" s="134">
        <v>12</v>
      </c>
      <c r="AL18" s="134">
        <v>12</v>
      </c>
      <c r="AM18" s="134">
        <v>14</v>
      </c>
      <c r="AN18" s="134">
        <v>805</v>
      </c>
      <c r="AO18" s="134">
        <v>819</v>
      </c>
      <c r="AP18" s="134">
        <v>2118</v>
      </c>
      <c r="AQ18" s="134">
        <v>14081</v>
      </c>
      <c r="AR18" s="134">
        <v>16199</v>
      </c>
      <c r="AS18" s="134">
        <v>2118</v>
      </c>
      <c r="AT18" s="134">
        <v>14081</v>
      </c>
      <c r="AU18" s="134">
        <v>16199</v>
      </c>
      <c r="AV18" s="134">
        <v>0</v>
      </c>
      <c r="AW18" s="134">
        <v>0</v>
      </c>
      <c r="AX18" s="134">
        <v>0</v>
      </c>
      <c r="AY18" s="134">
        <v>106</v>
      </c>
      <c r="AZ18" s="134">
        <v>1308</v>
      </c>
      <c r="BA18" s="134">
        <v>1414</v>
      </c>
      <c r="BB18" s="134">
        <v>50</v>
      </c>
      <c r="BC18" s="134">
        <v>1</v>
      </c>
      <c r="BD18" s="134">
        <v>0</v>
      </c>
      <c r="BE18" s="134">
        <v>892</v>
      </c>
      <c r="BF18" s="134">
        <v>18</v>
      </c>
      <c r="BG18" s="134">
        <v>3</v>
      </c>
      <c r="BH18" s="134">
        <v>51</v>
      </c>
      <c r="BI18" s="134">
        <v>913</v>
      </c>
      <c r="BJ18" s="134">
        <v>964</v>
      </c>
      <c r="BK18" s="134">
        <v>-16</v>
      </c>
      <c r="BL18" s="134">
        <v>16</v>
      </c>
      <c r="BM18" s="134">
        <v>0</v>
      </c>
      <c r="BN18" s="134">
        <v>3</v>
      </c>
      <c r="BO18" s="134">
        <v>17</v>
      </c>
      <c r="BP18" s="134">
        <v>20</v>
      </c>
      <c r="BQ18" s="134">
        <v>19</v>
      </c>
      <c r="BR18" s="134">
        <v>154</v>
      </c>
      <c r="BS18" s="134">
        <v>173</v>
      </c>
      <c r="BT18" s="134">
        <v>49</v>
      </c>
      <c r="BU18" s="134">
        <v>208</v>
      </c>
      <c r="BV18" s="134">
        <v>257</v>
      </c>
      <c r="BW18" s="134">
        <v>2224</v>
      </c>
      <c r="BX18" s="134">
        <v>15389</v>
      </c>
      <c r="BY18" s="134">
        <v>17613</v>
      </c>
      <c r="BZ18" s="134">
        <v>2201</v>
      </c>
      <c r="CA18" s="134">
        <v>15008</v>
      </c>
      <c r="CB18" s="134">
        <v>17209</v>
      </c>
      <c r="CC18" s="134">
        <v>42151</v>
      </c>
      <c r="CD18" s="134">
        <v>25</v>
      </c>
      <c r="CE18" s="134">
        <v>343</v>
      </c>
      <c r="CF18" s="134">
        <v>23</v>
      </c>
      <c r="CG18" s="134">
        <v>318</v>
      </c>
      <c r="CH18" s="134">
        <v>341</v>
      </c>
      <c r="CI18" s="134">
        <v>64</v>
      </c>
      <c r="CJ18" s="134">
        <v>2</v>
      </c>
      <c r="CK18" s="134">
        <v>0</v>
      </c>
      <c r="CL18" s="134">
        <v>63</v>
      </c>
      <c r="CM18" s="134">
        <v>63</v>
      </c>
      <c r="CN18" s="134">
        <v>81</v>
      </c>
      <c r="CO18" s="134">
        <v>1013</v>
      </c>
      <c r="CP18" s="134">
        <v>1094</v>
      </c>
      <c r="CQ18" s="134">
        <v>0</v>
      </c>
      <c r="CR18" s="134">
        <v>8</v>
      </c>
      <c r="CS18" s="134">
        <v>8</v>
      </c>
      <c r="CT18" s="134">
        <v>2143</v>
      </c>
      <c r="CU18" s="134">
        <v>14376</v>
      </c>
      <c r="CV18" s="134">
        <v>16519</v>
      </c>
      <c r="CW18" s="134">
        <v>177</v>
      </c>
      <c r="CX18" s="134">
        <v>756</v>
      </c>
      <c r="CY18" s="134">
        <v>933</v>
      </c>
      <c r="CZ18" s="134">
        <v>174</v>
      </c>
      <c r="DA18" s="134">
        <v>2</v>
      </c>
      <c r="DB18" s="134">
        <v>0</v>
      </c>
      <c r="DC18" s="134">
        <v>733</v>
      </c>
      <c r="DD18" s="134">
        <v>12</v>
      </c>
      <c r="DE18" s="134">
        <v>3</v>
      </c>
      <c r="DF18" s="134">
        <v>176</v>
      </c>
      <c r="DG18" s="134">
        <v>748</v>
      </c>
      <c r="DH18" s="134">
        <v>924</v>
      </c>
      <c r="DI18" s="134">
        <v>1</v>
      </c>
      <c r="DJ18" s="134">
        <v>0</v>
      </c>
      <c r="DK18" s="134">
        <v>0</v>
      </c>
      <c r="DL18" s="134">
        <v>7</v>
      </c>
      <c r="DM18" s="134">
        <v>1</v>
      </c>
      <c r="DN18" s="134">
        <v>0</v>
      </c>
      <c r="DO18" s="134">
        <v>1</v>
      </c>
      <c r="DP18" s="134">
        <v>8</v>
      </c>
      <c r="DQ18" s="134">
        <v>9</v>
      </c>
      <c r="DR18" s="134">
        <v>0</v>
      </c>
      <c r="DS18" s="134">
        <v>0</v>
      </c>
      <c r="DT18" s="135">
        <v>0</v>
      </c>
      <c r="DV18" s="136"/>
      <c r="DW18" s="137"/>
      <c r="DX18" s="136"/>
      <c r="DY18" s="136"/>
    </row>
    <row r="19" spans="1:129" s="116" customFormat="1">
      <c r="A19" s="133" t="s">
        <v>288</v>
      </c>
      <c r="B19" s="134">
        <v>65</v>
      </c>
      <c r="C19" s="134">
        <v>6</v>
      </c>
      <c r="D19" s="134">
        <v>64</v>
      </c>
      <c r="E19" s="134">
        <v>48</v>
      </c>
      <c r="F19" s="134">
        <v>0</v>
      </c>
      <c r="G19" s="134">
        <v>0</v>
      </c>
      <c r="H19" s="134">
        <v>0</v>
      </c>
      <c r="I19" s="134">
        <v>0</v>
      </c>
      <c r="J19" s="134">
        <v>13</v>
      </c>
      <c r="K19" s="134">
        <v>13</v>
      </c>
      <c r="L19" s="134">
        <v>0</v>
      </c>
      <c r="M19" s="134">
        <v>7</v>
      </c>
      <c r="N19" s="134">
        <v>7</v>
      </c>
      <c r="O19" s="134">
        <v>0</v>
      </c>
      <c r="P19" s="134">
        <v>6</v>
      </c>
      <c r="Q19" s="134">
        <v>6</v>
      </c>
      <c r="R19" s="134">
        <v>0</v>
      </c>
      <c r="S19" s="134">
        <v>0</v>
      </c>
      <c r="T19" s="134">
        <v>0</v>
      </c>
      <c r="U19" s="134">
        <v>0</v>
      </c>
      <c r="V19" s="134">
        <v>3</v>
      </c>
      <c r="W19" s="134">
        <v>3</v>
      </c>
      <c r="X19" s="134">
        <v>3</v>
      </c>
      <c r="Y19" s="134">
        <v>61</v>
      </c>
      <c r="Z19" s="134">
        <v>64</v>
      </c>
      <c r="AA19" s="134">
        <v>3</v>
      </c>
      <c r="AB19" s="134">
        <v>28</v>
      </c>
      <c r="AC19" s="134">
        <v>31</v>
      </c>
      <c r="AD19" s="134">
        <v>1</v>
      </c>
      <c r="AE19" s="134">
        <v>25</v>
      </c>
      <c r="AF19" s="134">
        <v>26</v>
      </c>
      <c r="AG19" s="134">
        <v>1</v>
      </c>
      <c r="AH19" s="134">
        <v>3</v>
      </c>
      <c r="AI19" s="134">
        <v>4</v>
      </c>
      <c r="AJ19" s="134">
        <v>1</v>
      </c>
      <c r="AK19" s="134">
        <v>0</v>
      </c>
      <c r="AL19" s="134">
        <v>1</v>
      </c>
      <c r="AM19" s="134">
        <v>0</v>
      </c>
      <c r="AN19" s="134">
        <v>33</v>
      </c>
      <c r="AO19" s="134">
        <v>33</v>
      </c>
      <c r="AP19" s="134">
        <v>72</v>
      </c>
      <c r="AQ19" s="134">
        <v>878</v>
      </c>
      <c r="AR19" s="134">
        <v>950</v>
      </c>
      <c r="AS19" s="134">
        <v>72</v>
      </c>
      <c r="AT19" s="134">
        <v>878</v>
      </c>
      <c r="AU19" s="134">
        <v>950</v>
      </c>
      <c r="AV19" s="134">
        <v>0</v>
      </c>
      <c r="AW19" s="134">
        <v>0</v>
      </c>
      <c r="AX19" s="134">
        <v>0</v>
      </c>
      <c r="AY19" s="134">
        <v>12</v>
      </c>
      <c r="AZ19" s="134">
        <v>69</v>
      </c>
      <c r="BA19" s="134">
        <v>81</v>
      </c>
      <c r="BB19" s="134">
        <v>4</v>
      </c>
      <c r="BC19" s="134">
        <v>0</v>
      </c>
      <c r="BD19" s="134">
        <v>0</v>
      </c>
      <c r="BE19" s="134">
        <v>44</v>
      </c>
      <c r="BF19" s="134">
        <v>0</v>
      </c>
      <c r="BG19" s="134">
        <v>0</v>
      </c>
      <c r="BH19" s="134">
        <v>4</v>
      </c>
      <c r="BI19" s="134">
        <v>44</v>
      </c>
      <c r="BJ19" s="134">
        <v>48</v>
      </c>
      <c r="BK19" s="134">
        <v>5</v>
      </c>
      <c r="BL19" s="134">
        <v>-5</v>
      </c>
      <c r="BM19" s="134">
        <v>0</v>
      </c>
      <c r="BN19" s="134">
        <v>0</v>
      </c>
      <c r="BO19" s="134">
        <v>5</v>
      </c>
      <c r="BP19" s="134">
        <v>5</v>
      </c>
      <c r="BQ19" s="134">
        <v>1</v>
      </c>
      <c r="BR19" s="134">
        <v>14</v>
      </c>
      <c r="BS19" s="134">
        <v>15</v>
      </c>
      <c r="BT19" s="134">
        <v>2</v>
      </c>
      <c r="BU19" s="134">
        <v>11</v>
      </c>
      <c r="BV19" s="134">
        <v>13</v>
      </c>
      <c r="BW19" s="134">
        <v>84</v>
      </c>
      <c r="BX19" s="134">
        <v>947</v>
      </c>
      <c r="BY19" s="134">
        <v>1031</v>
      </c>
      <c r="BZ19" s="134">
        <v>84</v>
      </c>
      <c r="CA19" s="134">
        <v>940</v>
      </c>
      <c r="CB19" s="134">
        <v>1024</v>
      </c>
      <c r="CC19" s="134">
        <v>1984</v>
      </c>
      <c r="CD19" s="134">
        <v>0</v>
      </c>
      <c r="CE19" s="134">
        <v>5</v>
      </c>
      <c r="CF19" s="134">
        <v>0</v>
      </c>
      <c r="CG19" s="134">
        <v>5</v>
      </c>
      <c r="CH19" s="134">
        <v>5</v>
      </c>
      <c r="CI19" s="134">
        <v>2</v>
      </c>
      <c r="CJ19" s="134">
        <v>0</v>
      </c>
      <c r="CK19" s="134">
        <v>0</v>
      </c>
      <c r="CL19" s="134">
        <v>2</v>
      </c>
      <c r="CM19" s="134">
        <v>2</v>
      </c>
      <c r="CN19" s="134">
        <v>8</v>
      </c>
      <c r="CO19" s="134">
        <v>86</v>
      </c>
      <c r="CP19" s="134">
        <v>94</v>
      </c>
      <c r="CQ19" s="134">
        <v>0</v>
      </c>
      <c r="CR19" s="134">
        <v>0</v>
      </c>
      <c r="CS19" s="134">
        <v>0</v>
      </c>
      <c r="CT19" s="134">
        <v>76</v>
      </c>
      <c r="CU19" s="134">
        <v>861</v>
      </c>
      <c r="CV19" s="134">
        <v>937</v>
      </c>
      <c r="CW19" s="134">
        <v>4</v>
      </c>
      <c r="CX19" s="134">
        <v>24</v>
      </c>
      <c r="CY19" s="134">
        <v>28</v>
      </c>
      <c r="CZ19" s="134">
        <v>4</v>
      </c>
      <c r="DA19" s="134">
        <v>0</v>
      </c>
      <c r="DB19" s="134">
        <v>0</v>
      </c>
      <c r="DC19" s="134">
        <v>24</v>
      </c>
      <c r="DD19" s="134">
        <v>0</v>
      </c>
      <c r="DE19" s="134">
        <v>0</v>
      </c>
      <c r="DF19" s="134">
        <v>4</v>
      </c>
      <c r="DG19" s="134">
        <v>24</v>
      </c>
      <c r="DH19" s="134">
        <v>28</v>
      </c>
      <c r="DI19" s="134">
        <v>0</v>
      </c>
      <c r="DJ19" s="134">
        <v>0</v>
      </c>
      <c r="DK19" s="134">
        <v>0</v>
      </c>
      <c r="DL19" s="134">
        <v>0</v>
      </c>
      <c r="DM19" s="134">
        <v>0</v>
      </c>
      <c r="DN19" s="134">
        <v>0</v>
      </c>
      <c r="DO19" s="134">
        <v>0</v>
      </c>
      <c r="DP19" s="134">
        <v>0</v>
      </c>
      <c r="DQ19" s="134">
        <v>0</v>
      </c>
      <c r="DR19" s="134">
        <v>0</v>
      </c>
      <c r="DS19" s="134">
        <v>0</v>
      </c>
      <c r="DT19" s="135">
        <v>0</v>
      </c>
      <c r="DV19" s="136"/>
      <c r="DW19" s="137"/>
      <c r="DX19" s="136"/>
      <c r="DY19" s="136"/>
    </row>
    <row r="20" spans="1:129" s="116" customFormat="1">
      <c r="A20" s="133" t="s">
        <v>289</v>
      </c>
      <c r="B20" s="134">
        <v>6466</v>
      </c>
      <c r="C20" s="134">
        <v>2043</v>
      </c>
      <c r="D20" s="134">
        <v>6012</v>
      </c>
      <c r="E20" s="134">
        <v>3846</v>
      </c>
      <c r="F20" s="134">
        <v>2</v>
      </c>
      <c r="G20" s="134">
        <v>34</v>
      </c>
      <c r="H20" s="134">
        <v>36</v>
      </c>
      <c r="I20" s="134">
        <v>1</v>
      </c>
      <c r="J20" s="134">
        <v>1887</v>
      </c>
      <c r="K20" s="134">
        <v>1888</v>
      </c>
      <c r="L20" s="134">
        <v>1</v>
      </c>
      <c r="M20" s="134">
        <v>845</v>
      </c>
      <c r="N20" s="134">
        <v>846</v>
      </c>
      <c r="O20" s="134">
        <v>0</v>
      </c>
      <c r="P20" s="134">
        <v>1042</v>
      </c>
      <c r="Q20" s="134">
        <v>1042</v>
      </c>
      <c r="R20" s="134">
        <v>0</v>
      </c>
      <c r="S20" s="134">
        <v>22</v>
      </c>
      <c r="T20" s="134">
        <v>22</v>
      </c>
      <c r="U20" s="134">
        <v>0</v>
      </c>
      <c r="V20" s="134">
        <v>278</v>
      </c>
      <c r="W20" s="134">
        <v>278</v>
      </c>
      <c r="X20" s="134">
        <v>171</v>
      </c>
      <c r="Y20" s="134">
        <v>5840</v>
      </c>
      <c r="Z20" s="134">
        <v>6011</v>
      </c>
      <c r="AA20" s="134">
        <v>99</v>
      </c>
      <c r="AB20" s="134">
        <v>2410</v>
      </c>
      <c r="AC20" s="134">
        <v>2509</v>
      </c>
      <c r="AD20" s="134">
        <v>95</v>
      </c>
      <c r="AE20" s="134">
        <v>2222</v>
      </c>
      <c r="AF20" s="134">
        <v>2317</v>
      </c>
      <c r="AG20" s="134">
        <v>4</v>
      </c>
      <c r="AH20" s="134">
        <v>129</v>
      </c>
      <c r="AI20" s="134">
        <v>133</v>
      </c>
      <c r="AJ20" s="134">
        <v>0</v>
      </c>
      <c r="AK20" s="134">
        <v>59</v>
      </c>
      <c r="AL20" s="134">
        <v>59</v>
      </c>
      <c r="AM20" s="134">
        <v>72</v>
      </c>
      <c r="AN20" s="134">
        <v>3430</v>
      </c>
      <c r="AO20" s="134">
        <v>3502</v>
      </c>
      <c r="AP20" s="134">
        <v>9150</v>
      </c>
      <c r="AQ20" s="134">
        <v>55162</v>
      </c>
      <c r="AR20" s="134">
        <v>64312</v>
      </c>
      <c r="AS20" s="134">
        <v>9150</v>
      </c>
      <c r="AT20" s="134">
        <v>55163</v>
      </c>
      <c r="AU20" s="134">
        <v>64313</v>
      </c>
      <c r="AV20" s="134">
        <v>0</v>
      </c>
      <c r="AW20" s="134">
        <v>-1</v>
      </c>
      <c r="AX20" s="134">
        <v>-1</v>
      </c>
      <c r="AY20" s="134">
        <v>416</v>
      </c>
      <c r="AZ20" s="134">
        <v>5223</v>
      </c>
      <c r="BA20" s="134">
        <v>5639</v>
      </c>
      <c r="BB20" s="134">
        <v>223</v>
      </c>
      <c r="BC20" s="134">
        <v>2</v>
      </c>
      <c r="BD20" s="134">
        <v>0</v>
      </c>
      <c r="BE20" s="134">
        <v>3557</v>
      </c>
      <c r="BF20" s="134">
        <v>43</v>
      </c>
      <c r="BG20" s="134">
        <v>21</v>
      </c>
      <c r="BH20" s="134">
        <v>225</v>
      </c>
      <c r="BI20" s="134">
        <v>3621</v>
      </c>
      <c r="BJ20" s="134">
        <v>3846</v>
      </c>
      <c r="BK20" s="134">
        <v>-1</v>
      </c>
      <c r="BL20" s="134">
        <v>1</v>
      </c>
      <c r="BM20" s="134">
        <v>0</v>
      </c>
      <c r="BN20" s="134">
        <v>21</v>
      </c>
      <c r="BO20" s="134">
        <v>101</v>
      </c>
      <c r="BP20" s="134">
        <v>122</v>
      </c>
      <c r="BQ20" s="134">
        <v>55</v>
      </c>
      <c r="BR20" s="134">
        <v>661</v>
      </c>
      <c r="BS20" s="134">
        <v>716</v>
      </c>
      <c r="BT20" s="134">
        <v>116</v>
      </c>
      <c r="BU20" s="134">
        <v>839</v>
      </c>
      <c r="BV20" s="134">
        <v>955</v>
      </c>
      <c r="BW20" s="134">
        <v>9566</v>
      </c>
      <c r="BX20" s="134">
        <v>60385</v>
      </c>
      <c r="BY20" s="134">
        <v>69951</v>
      </c>
      <c r="BZ20" s="134">
        <v>9516</v>
      </c>
      <c r="CA20" s="134">
        <v>59407</v>
      </c>
      <c r="CB20" s="134">
        <v>68923</v>
      </c>
      <c r="CC20" s="134">
        <v>160450</v>
      </c>
      <c r="CD20" s="134">
        <v>50</v>
      </c>
      <c r="CE20" s="134">
        <v>798</v>
      </c>
      <c r="CF20" s="134">
        <v>47</v>
      </c>
      <c r="CG20" s="134">
        <v>725</v>
      </c>
      <c r="CH20" s="134">
        <v>772</v>
      </c>
      <c r="CI20" s="134">
        <v>335</v>
      </c>
      <c r="CJ20" s="134">
        <v>9</v>
      </c>
      <c r="CK20" s="134">
        <v>3</v>
      </c>
      <c r="CL20" s="134">
        <v>253</v>
      </c>
      <c r="CM20" s="134">
        <v>256</v>
      </c>
      <c r="CN20" s="134">
        <v>402</v>
      </c>
      <c r="CO20" s="134">
        <v>4872</v>
      </c>
      <c r="CP20" s="134">
        <v>5274</v>
      </c>
      <c r="CQ20" s="134">
        <v>1</v>
      </c>
      <c r="CR20" s="134">
        <v>14</v>
      </c>
      <c r="CS20" s="134">
        <v>15</v>
      </c>
      <c r="CT20" s="134">
        <v>9164</v>
      </c>
      <c r="CU20" s="134">
        <v>55513</v>
      </c>
      <c r="CV20" s="134">
        <v>64677</v>
      </c>
      <c r="CW20" s="134">
        <v>579</v>
      </c>
      <c r="CX20" s="134">
        <v>2141</v>
      </c>
      <c r="CY20" s="134">
        <v>2720</v>
      </c>
      <c r="CZ20" s="134">
        <v>578</v>
      </c>
      <c r="DA20" s="134">
        <v>0</v>
      </c>
      <c r="DB20" s="134">
        <v>0</v>
      </c>
      <c r="DC20" s="134">
        <v>2027</v>
      </c>
      <c r="DD20" s="134">
        <v>31</v>
      </c>
      <c r="DE20" s="134">
        <v>4</v>
      </c>
      <c r="DF20" s="134">
        <v>578</v>
      </c>
      <c r="DG20" s="134">
        <v>2062</v>
      </c>
      <c r="DH20" s="134">
        <v>2640</v>
      </c>
      <c r="DI20" s="134">
        <v>1</v>
      </c>
      <c r="DJ20" s="134">
        <v>0</v>
      </c>
      <c r="DK20" s="134">
        <v>0</v>
      </c>
      <c r="DL20" s="134">
        <v>77</v>
      </c>
      <c r="DM20" s="134">
        <v>2</v>
      </c>
      <c r="DN20" s="134">
        <v>0</v>
      </c>
      <c r="DO20" s="134">
        <v>1</v>
      </c>
      <c r="DP20" s="134">
        <v>79</v>
      </c>
      <c r="DQ20" s="134">
        <v>80</v>
      </c>
      <c r="DR20" s="134">
        <v>0</v>
      </c>
      <c r="DS20" s="134">
        <v>0</v>
      </c>
      <c r="DT20" s="135">
        <v>0</v>
      </c>
      <c r="DV20" s="136"/>
      <c r="DW20" s="137"/>
      <c r="DX20" s="136"/>
      <c r="DY20" s="136"/>
    </row>
    <row r="21" spans="1:129" s="116" customFormat="1">
      <c r="A21" s="133" t="s">
        <v>290</v>
      </c>
      <c r="B21" s="134">
        <v>926</v>
      </c>
      <c r="C21" s="134">
        <v>154</v>
      </c>
      <c r="D21" s="134">
        <v>1055</v>
      </c>
      <c r="E21" s="134">
        <v>610</v>
      </c>
      <c r="F21" s="134">
        <v>0</v>
      </c>
      <c r="G21" s="134">
        <v>2</v>
      </c>
      <c r="H21" s="134">
        <v>2</v>
      </c>
      <c r="I21" s="134">
        <v>0</v>
      </c>
      <c r="J21" s="134">
        <v>408</v>
      </c>
      <c r="K21" s="134">
        <v>408</v>
      </c>
      <c r="L21" s="134">
        <v>0</v>
      </c>
      <c r="M21" s="134">
        <v>293</v>
      </c>
      <c r="N21" s="134">
        <v>293</v>
      </c>
      <c r="O21" s="134">
        <v>0</v>
      </c>
      <c r="P21" s="134">
        <v>115</v>
      </c>
      <c r="Q21" s="134">
        <v>115</v>
      </c>
      <c r="R21" s="134">
        <v>0</v>
      </c>
      <c r="S21" s="134">
        <v>1</v>
      </c>
      <c r="T21" s="134">
        <v>1</v>
      </c>
      <c r="U21" s="134">
        <v>0</v>
      </c>
      <c r="V21" s="134">
        <v>37</v>
      </c>
      <c r="W21" s="134">
        <v>37</v>
      </c>
      <c r="X21" s="134">
        <v>29</v>
      </c>
      <c r="Y21" s="134">
        <v>911</v>
      </c>
      <c r="Z21" s="134">
        <v>940</v>
      </c>
      <c r="AA21" s="134">
        <v>21</v>
      </c>
      <c r="AB21" s="134">
        <v>387</v>
      </c>
      <c r="AC21" s="134">
        <v>408</v>
      </c>
      <c r="AD21" s="134">
        <v>18</v>
      </c>
      <c r="AE21" s="134">
        <v>357</v>
      </c>
      <c r="AF21" s="134">
        <v>375</v>
      </c>
      <c r="AG21" s="134">
        <v>1</v>
      </c>
      <c r="AH21" s="134">
        <v>21</v>
      </c>
      <c r="AI21" s="134">
        <v>22</v>
      </c>
      <c r="AJ21" s="134">
        <v>2</v>
      </c>
      <c r="AK21" s="134">
        <v>9</v>
      </c>
      <c r="AL21" s="134">
        <v>11</v>
      </c>
      <c r="AM21" s="134">
        <v>8</v>
      </c>
      <c r="AN21" s="134">
        <v>524</v>
      </c>
      <c r="AO21" s="134">
        <v>532</v>
      </c>
      <c r="AP21" s="134">
        <v>1367</v>
      </c>
      <c r="AQ21" s="134">
        <v>8468</v>
      </c>
      <c r="AR21" s="134">
        <v>9835</v>
      </c>
      <c r="AS21" s="134">
        <v>1368</v>
      </c>
      <c r="AT21" s="134">
        <v>8468</v>
      </c>
      <c r="AU21" s="134">
        <v>9836</v>
      </c>
      <c r="AV21" s="134">
        <v>-1</v>
      </c>
      <c r="AW21" s="134">
        <v>0</v>
      </c>
      <c r="AX21" s="134">
        <v>-1</v>
      </c>
      <c r="AY21" s="134">
        <v>66</v>
      </c>
      <c r="AZ21" s="134">
        <v>898</v>
      </c>
      <c r="BA21" s="134">
        <v>964</v>
      </c>
      <c r="BB21" s="134">
        <v>33</v>
      </c>
      <c r="BC21" s="134">
        <v>0</v>
      </c>
      <c r="BD21" s="134">
        <v>0</v>
      </c>
      <c r="BE21" s="134">
        <v>561</v>
      </c>
      <c r="BF21" s="134">
        <v>14</v>
      </c>
      <c r="BG21" s="134">
        <v>2</v>
      </c>
      <c r="BH21" s="134">
        <v>33</v>
      </c>
      <c r="BI21" s="134">
        <v>577</v>
      </c>
      <c r="BJ21" s="134">
        <v>610</v>
      </c>
      <c r="BK21" s="134">
        <v>-10</v>
      </c>
      <c r="BL21" s="134">
        <v>10</v>
      </c>
      <c r="BM21" s="134">
        <v>0</v>
      </c>
      <c r="BN21" s="134">
        <v>7</v>
      </c>
      <c r="BO21" s="134">
        <v>19</v>
      </c>
      <c r="BP21" s="134">
        <v>26</v>
      </c>
      <c r="BQ21" s="134">
        <v>8</v>
      </c>
      <c r="BR21" s="134">
        <v>113</v>
      </c>
      <c r="BS21" s="134">
        <v>121</v>
      </c>
      <c r="BT21" s="134">
        <v>28</v>
      </c>
      <c r="BU21" s="134">
        <v>179</v>
      </c>
      <c r="BV21" s="134">
        <v>207</v>
      </c>
      <c r="BW21" s="134">
        <v>1433</v>
      </c>
      <c r="BX21" s="134">
        <v>9366</v>
      </c>
      <c r="BY21" s="134">
        <v>10799</v>
      </c>
      <c r="BZ21" s="134">
        <v>1417</v>
      </c>
      <c r="CA21" s="134">
        <v>9223</v>
      </c>
      <c r="CB21" s="134">
        <v>10640</v>
      </c>
      <c r="CC21" s="134">
        <v>24032</v>
      </c>
      <c r="CD21" s="134">
        <v>13</v>
      </c>
      <c r="CE21" s="134">
        <v>124</v>
      </c>
      <c r="CF21" s="134">
        <v>16</v>
      </c>
      <c r="CG21" s="134">
        <v>112</v>
      </c>
      <c r="CH21" s="134">
        <v>128</v>
      </c>
      <c r="CI21" s="134">
        <v>37</v>
      </c>
      <c r="CJ21" s="134">
        <v>1</v>
      </c>
      <c r="CK21" s="134">
        <v>0</v>
      </c>
      <c r="CL21" s="134">
        <v>31</v>
      </c>
      <c r="CM21" s="134">
        <v>31</v>
      </c>
      <c r="CN21" s="134">
        <v>67</v>
      </c>
      <c r="CO21" s="134">
        <v>777</v>
      </c>
      <c r="CP21" s="134">
        <v>844</v>
      </c>
      <c r="CQ21" s="134">
        <v>0</v>
      </c>
      <c r="CR21" s="134">
        <v>1</v>
      </c>
      <c r="CS21" s="134">
        <v>1</v>
      </c>
      <c r="CT21" s="134">
        <v>1366</v>
      </c>
      <c r="CU21" s="134">
        <v>8589</v>
      </c>
      <c r="CV21" s="134">
        <v>9955</v>
      </c>
      <c r="CW21" s="134">
        <v>89</v>
      </c>
      <c r="CX21" s="134">
        <v>358</v>
      </c>
      <c r="CY21" s="134">
        <v>447</v>
      </c>
      <c r="CZ21" s="134">
        <v>89</v>
      </c>
      <c r="DA21" s="134">
        <v>0</v>
      </c>
      <c r="DB21" s="134">
        <v>0</v>
      </c>
      <c r="DC21" s="134">
        <v>342</v>
      </c>
      <c r="DD21" s="134">
        <v>7</v>
      </c>
      <c r="DE21" s="134">
        <v>0</v>
      </c>
      <c r="DF21" s="134">
        <v>89</v>
      </c>
      <c r="DG21" s="134">
        <v>349</v>
      </c>
      <c r="DH21" s="134">
        <v>438</v>
      </c>
      <c r="DI21" s="134">
        <v>0</v>
      </c>
      <c r="DJ21" s="134">
        <v>0</v>
      </c>
      <c r="DK21" s="134">
        <v>0</v>
      </c>
      <c r="DL21" s="134">
        <v>8</v>
      </c>
      <c r="DM21" s="134">
        <v>1</v>
      </c>
      <c r="DN21" s="134">
        <v>0</v>
      </c>
      <c r="DO21" s="134">
        <v>0</v>
      </c>
      <c r="DP21" s="134">
        <v>9</v>
      </c>
      <c r="DQ21" s="134">
        <v>9</v>
      </c>
      <c r="DR21" s="134">
        <v>0</v>
      </c>
      <c r="DS21" s="134">
        <v>0</v>
      </c>
      <c r="DT21" s="135">
        <v>0</v>
      </c>
      <c r="DV21" s="136"/>
      <c r="DW21" s="137"/>
      <c r="DX21" s="136"/>
      <c r="DY21" s="136"/>
    </row>
    <row r="22" spans="1:129" s="116" customFormat="1">
      <c r="A22" s="133" t="s">
        <v>291</v>
      </c>
      <c r="B22" s="134">
        <v>493</v>
      </c>
      <c r="C22" s="134">
        <v>52</v>
      </c>
      <c r="D22" s="134">
        <v>450</v>
      </c>
      <c r="E22" s="134">
        <v>316</v>
      </c>
      <c r="F22" s="134">
        <v>1</v>
      </c>
      <c r="G22" s="134">
        <v>21</v>
      </c>
      <c r="H22" s="134">
        <v>22</v>
      </c>
      <c r="I22" s="134">
        <v>0</v>
      </c>
      <c r="J22" s="134">
        <v>117</v>
      </c>
      <c r="K22" s="134">
        <v>117</v>
      </c>
      <c r="L22" s="134">
        <v>0</v>
      </c>
      <c r="M22" s="134">
        <v>35</v>
      </c>
      <c r="N22" s="134">
        <v>35</v>
      </c>
      <c r="O22" s="134">
        <v>0</v>
      </c>
      <c r="P22" s="134">
        <v>82</v>
      </c>
      <c r="Q22" s="134">
        <v>82</v>
      </c>
      <c r="R22" s="134">
        <v>0</v>
      </c>
      <c r="S22" s="134">
        <v>6</v>
      </c>
      <c r="T22" s="134">
        <v>6</v>
      </c>
      <c r="U22" s="134">
        <v>0</v>
      </c>
      <c r="V22" s="134">
        <v>17</v>
      </c>
      <c r="W22" s="134">
        <v>17</v>
      </c>
      <c r="X22" s="134">
        <v>8</v>
      </c>
      <c r="Y22" s="134">
        <v>441</v>
      </c>
      <c r="Z22" s="134">
        <v>449</v>
      </c>
      <c r="AA22" s="134">
        <v>5</v>
      </c>
      <c r="AB22" s="134">
        <v>207</v>
      </c>
      <c r="AC22" s="134">
        <v>212</v>
      </c>
      <c r="AD22" s="134">
        <v>3</v>
      </c>
      <c r="AE22" s="134">
        <v>183</v>
      </c>
      <c r="AF22" s="134">
        <v>186</v>
      </c>
      <c r="AG22" s="134">
        <v>2</v>
      </c>
      <c r="AH22" s="134">
        <v>15</v>
      </c>
      <c r="AI22" s="134">
        <v>17</v>
      </c>
      <c r="AJ22" s="134">
        <v>0</v>
      </c>
      <c r="AK22" s="134">
        <v>9</v>
      </c>
      <c r="AL22" s="134">
        <v>9</v>
      </c>
      <c r="AM22" s="134">
        <v>3</v>
      </c>
      <c r="AN22" s="134">
        <v>234</v>
      </c>
      <c r="AO22" s="134">
        <v>237</v>
      </c>
      <c r="AP22" s="134">
        <v>520</v>
      </c>
      <c r="AQ22" s="134">
        <v>5425</v>
      </c>
      <c r="AR22" s="134">
        <v>5945</v>
      </c>
      <c r="AS22" s="134">
        <v>520</v>
      </c>
      <c r="AT22" s="134">
        <v>5425</v>
      </c>
      <c r="AU22" s="134">
        <v>5945</v>
      </c>
      <c r="AV22" s="134">
        <v>0</v>
      </c>
      <c r="AW22" s="134">
        <v>0</v>
      </c>
      <c r="AX22" s="134">
        <v>0</v>
      </c>
      <c r="AY22" s="134">
        <v>38</v>
      </c>
      <c r="AZ22" s="134">
        <v>541</v>
      </c>
      <c r="BA22" s="134">
        <v>579</v>
      </c>
      <c r="BB22" s="134">
        <v>12</v>
      </c>
      <c r="BC22" s="134">
        <v>0</v>
      </c>
      <c r="BD22" s="134">
        <v>0</v>
      </c>
      <c r="BE22" s="134">
        <v>302</v>
      </c>
      <c r="BF22" s="134">
        <v>1</v>
      </c>
      <c r="BG22" s="134">
        <v>1</v>
      </c>
      <c r="BH22" s="134">
        <v>12</v>
      </c>
      <c r="BI22" s="134">
        <v>304</v>
      </c>
      <c r="BJ22" s="134">
        <v>316</v>
      </c>
      <c r="BK22" s="134">
        <v>8</v>
      </c>
      <c r="BL22" s="134">
        <v>-8</v>
      </c>
      <c r="BM22" s="134">
        <v>0</v>
      </c>
      <c r="BN22" s="134">
        <v>2</v>
      </c>
      <c r="BO22" s="134">
        <v>31</v>
      </c>
      <c r="BP22" s="134">
        <v>33</v>
      </c>
      <c r="BQ22" s="134">
        <v>1</v>
      </c>
      <c r="BR22" s="134">
        <v>51</v>
      </c>
      <c r="BS22" s="134">
        <v>52</v>
      </c>
      <c r="BT22" s="134">
        <v>15</v>
      </c>
      <c r="BU22" s="134">
        <v>163</v>
      </c>
      <c r="BV22" s="134">
        <v>178</v>
      </c>
      <c r="BW22" s="134">
        <v>558</v>
      </c>
      <c r="BX22" s="134">
        <v>5966</v>
      </c>
      <c r="BY22" s="134">
        <v>6524</v>
      </c>
      <c r="BZ22" s="134">
        <v>554</v>
      </c>
      <c r="CA22" s="134">
        <v>5940</v>
      </c>
      <c r="CB22" s="134">
        <v>6494</v>
      </c>
      <c r="CC22" s="134">
        <v>11971</v>
      </c>
      <c r="CD22" s="134">
        <v>4</v>
      </c>
      <c r="CE22" s="134">
        <v>27</v>
      </c>
      <c r="CF22" s="134">
        <v>4</v>
      </c>
      <c r="CG22" s="134">
        <v>23</v>
      </c>
      <c r="CH22" s="134">
        <v>27</v>
      </c>
      <c r="CI22" s="134">
        <v>6</v>
      </c>
      <c r="CJ22" s="134">
        <v>0</v>
      </c>
      <c r="CK22" s="134">
        <v>0</v>
      </c>
      <c r="CL22" s="134">
        <v>3</v>
      </c>
      <c r="CM22" s="134">
        <v>3</v>
      </c>
      <c r="CN22" s="134">
        <v>30</v>
      </c>
      <c r="CO22" s="134">
        <v>491</v>
      </c>
      <c r="CP22" s="134">
        <v>521</v>
      </c>
      <c r="CQ22" s="134">
        <v>0</v>
      </c>
      <c r="CR22" s="134">
        <v>0</v>
      </c>
      <c r="CS22" s="134">
        <v>0</v>
      </c>
      <c r="CT22" s="134">
        <v>528</v>
      </c>
      <c r="CU22" s="134">
        <v>5475</v>
      </c>
      <c r="CV22" s="134">
        <v>6003</v>
      </c>
      <c r="CW22" s="134">
        <v>42</v>
      </c>
      <c r="CX22" s="134">
        <v>232</v>
      </c>
      <c r="CY22" s="134">
        <v>274</v>
      </c>
      <c r="CZ22" s="134">
        <v>42</v>
      </c>
      <c r="DA22" s="134">
        <v>0</v>
      </c>
      <c r="DB22" s="134">
        <v>0</v>
      </c>
      <c r="DC22" s="134">
        <v>229</v>
      </c>
      <c r="DD22" s="134">
        <v>2</v>
      </c>
      <c r="DE22" s="134">
        <v>0</v>
      </c>
      <c r="DF22" s="134">
        <v>42</v>
      </c>
      <c r="DG22" s="134">
        <v>231</v>
      </c>
      <c r="DH22" s="134">
        <v>273</v>
      </c>
      <c r="DI22" s="134">
        <v>0</v>
      </c>
      <c r="DJ22" s="134">
        <v>0</v>
      </c>
      <c r="DK22" s="134">
        <v>0</v>
      </c>
      <c r="DL22" s="134">
        <v>1</v>
      </c>
      <c r="DM22" s="134">
        <v>0</v>
      </c>
      <c r="DN22" s="134">
        <v>0</v>
      </c>
      <c r="DO22" s="134">
        <v>0</v>
      </c>
      <c r="DP22" s="134">
        <v>1</v>
      </c>
      <c r="DQ22" s="134">
        <v>1</v>
      </c>
      <c r="DR22" s="134">
        <v>0</v>
      </c>
      <c r="DS22" s="134">
        <v>0</v>
      </c>
      <c r="DT22" s="135">
        <v>0</v>
      </c>
      <c r="DV22" s="136"/>
      <c r="DW22" s="137"/>
      <c r="DX22" s="136"/>
      <c r="DY22" s="136"/>
    </row>
    <row r="23" spans="1:129" s="116" customFormat="1">
      <c r="A23" s="133" t="s">
        <v>292</v>
      </c>
      <c r="B23" s="134">
        <v>102</v>
      </c>
      <c r="C23" s="134">
        <v>9</v>
      </c>
      <c r="D23" s="134">
        <v>104</v>
      </c>
      <c r="E23" s="134">
        <v>76</v>
      </c>
      <c r="F23" s="134">
        <v>0</v>
      </c>
      <c r="G23" s="134">
        <v>3</v>
      </c>
      <c r="H23" s="134">
        <v>3</v>
      </c>
      <c r="I23" s="134">
        <v>1</v>
      </c>
      <c r="J23" s="134">
        <v>25</v>
      </c>
      <c r="K23" s="134">
        <v>26</v>
      </c>
      <c r="L23" s="134">
        <v>1</v>
      </c>
      <c r="M23" s="134">
        <v>15</v>
      </c>
      <c r="N23" s="134">
        <v>16</v>
      </c>
      <c r="O23" s="134">
        <v>0</v>
      </c>
      <c r="P23" s="134">
        <v>10</v>
      </c>
      <c r="Q23" s="134">
        <v>10</v>
      </c>
      <c r="R23" s="134">
        <v>0</v>
      </c>
      <c r="S23" s="134">
        <v>2</v>
      </c>
      <c r="T23" s="134">
        <v>2</v>
      </c>
      <c r="U23" s="134">
        <v>0</v>
      </c>
      <c r="V23" s="134">
        <v>2</v>
      </c>
      <c r="W23" s="134">
        <v>2</v>
      </c>
      <c r="X23" s="134">
        <v>5</v>
      </c>
      <c r="Y23" s="134">
        <v>99</v>
      </c>
      <c r="Z23" s="134">
        <v>104</v>
      </c>
      <c r="AA23" s="134">
        <v>0</v>
      </c>
      <c r="AB23" s="134">
        <v>47</v>
      </c>
      <c r="AC23" s="134">
        <v>47</v>
      </c>
      <c r="AD23" s="134">
        <v>0</v>
      </c>
      <c r="AE23" s="134">
        <v>42</v>
      </c>
      <c r="AF23" s="134">
        <v>42</v>
      </c>
      <c r="AG23" s="134">
        <v>0</v>
      </c>
      <c r="AH23" s="134">
        <v>2</v>
      </c>
      <c r="AI23" s="134">
        <v>2</v>
      </c>
      <c r="AJ23" s="134">
        <v>0</v>
      </c>
      <c r="AK23" s="134">
        <v>3</v>
      </c>
      <c r="AL23" s="134">
        <v>3</v>
      </c>
      <c r="AM23" s="134">
        <v>5</v>
      </c>
      <c r="AN23" s="134">
        <v>52</v>
      </c>
      <c r="AO23" s="134">
        <v>57</v>
      </c>
      <c r="AP23" s="134">
        <v>197</v>
      </c>
      <c r="AQ23" s="134">
        <v>1251</v>
      </c>
      <c r="AR23" s="134">
        <v>1448</v>
      </c>
      <c r="AS23" s="134">
        <v>197</v>
      </c>
      <c r="AT23" s="134">
        <v>1251</v>
      </c>
      <c r="AU23" s="134">
        <v>1448</v>
      </c>
      <c r="AV23" s="134">
        <v>0</v>
      </c>
      <c r="AW23" s="134">
        <v>0</v>
      </c>
      <c r="AX23" s="134">
        <v>0</v>
      </c>
      <c r="AY23" s="134">
        <v>34</v>
      </c>
      <c r="AZ23" s="134">
        <v>121</v>
      </c>
      <c r="BA23" s="134">
        <v>155</v>
      </c>
      <c r="BB23" s="134">
        <v>6</v>
      </c>
      <c r="BC23" s="134">
        <v>0</v>
      </c>
      <c r="BD23" s="134">
        <v>0</v>
      </c>
      <c r="BE23" s="134">
        <v>69</v>
      </c>
      <c r="BF23" s="134">
        <v>0</v>
      </c>
      <c r="BG23" s="134">
        <v>1</v>
      </c>
      <c r="BH23" s="134">
        <v>6</v>
      </c>
      <c r="BI23" s="134">
        <v>70</v>
      </c>
      <c r="BJ23" s="134">
        <v>76</v>
      </c>
      <c r="BK23" s="134">
        <v>6</v>
      </c>
      <c r="BL23" s="134">
        <v>-6</v>
      </c>
      <c r="BM23" s="134">
        <v>0</v>
      </c>
      <c r="BN23" s="134">
        <v>3</v>
      </c>
      <c r="BO23" s="134">
        <v>1</v>
      </c>
      <c r="BP23" s="134">
        <v>4</v>
      </c>
      <c r="BQ23" s="134">
        <v>6</v>
      </c>
      <c r="BR23" s="134">
        <v>30</v>
      </c>
      <c r="BS23" s="134">
        <v>36</v>
      </c>
      <c r="BT23" s="134">
        <v>13</v>
      </c>
      <c r="BU23" s="134">
        <v>26</v>
      </c>
      <c r="BV23" s="134">
        <v>39</v>
      </c>
      <c r="BW23" s="134">
        <v>231</v>
      </c>
      <c r="BX23" s="134">
        <v>1372</v>
      </c>
      <c r="BY23" s="134">
        <v>1603</v>
      </c>
      <c r="BZ23" s="134">
        <v>231</v>
      </c>
      <c r="CA23" s="134">
        <v>1370</v>
      </c>
      <c r="CB23" s="134">
        <v>1601</v>
      </c>
      <c r="CC23" s="134">
        <v>3200</v>
      </c>
      <c r="CD23" s="134">
        <v>0</v>
      </c>
      <c r="CE23" s="134">
        <v>1</v>
      </c>
      <c r="CF23" s="134">
        <v>0</v>
      </c>
      <c r="CG23" s="134">
        <v>1</v>
      </c>
      <c r="CH23" s="134">
        <v>1</v>
      </c>
      <c r="CI23" s="134">
        <v>1</v>
      </c>
      <c r="CJ23" s="134">
        <v>0</v>
      </c>
      <c r="CK23" s="134">
        <v>0</v>
      </c>
      <c r="CL23" s="134">
        <v>1</v>
      </c>
      <c r="CM23" s="134">
        <v>1</v>
      </c>
      <c r="CN23" s="134">
        <v>16</v>
      </c>
      <c r="CO23" s="134">
        <v>146</v>
      </c>
      <c r="CP23" s="134">
        <v>162</v>
      </c>
      <c r="CQ23" s="134">
        <v>0</v>
      </c>
      <c r="CR23" s="134">
        <v>0</v>
      </c>
      <c r="CS23" s="134">
        <v>0</v>
      </c>
      <c r="CT23" s="134">
        <v>215</v>
      </c>
      <c r="CU23" s="134">
        <v>1226</v>
      </c>
      <c r="CV23" s="134">
        <v>1441</v>
      </c>
      <c r="CW23" s="134">
        <v>14</v>
      </c>
      <c r="CX23" s="134">
        <v>57</v>
      </c>
      <c r="CY23" s="134">
        <v>71</v>
      </c>
      <c r="CZ23" s="134">
        <v>14</v>
      </c>
      <c r="DA23" s="134">
        <v>0</v>
      </c>
      <c r="DB23" s="134">
        <v>0</v>
      </c>
      <c r="DC23" s="134">
        <v>56</v>
      </c>
      <c r="DD23" s="134">
        <v>0</v>
      </c>
      <c r="DE23" s="134">
        <v>0</v>
      </c>
      <c r="DF23" s="134">
        <v>14</v>
      </c>
      <c r="DG23" s="134">
        <v>56</v>
      </c>
      <c r="DH23" s="134">
        <v>70</v>
      </c>
      <c r="DI23" s="134">
        <v>0</v>
      </c>
      <c r="DJ23" s="134">
        <v>0</v>
      </c>
      <c r="DK23" s="134">
        <v>0</v>
      </c>
      <c r="DL23" s="134">
        <v>1</v>
      </c>
      <c r="DM23" s="134">
        <v>0</v>
      </c>
      <c r="DN23" s="134">
        <v>0</v>
      </c>
      <c r="DO23" s="134">
        <v>0</v>
      </c>
      <c r="DP23" s="134">
        <v>1</v>
      </c>
      <c r="DQ23" s="134">
        <v>1</v>
      </c>
      <c r="DR23" s="134">
        <v>0</v>
      </c>
      <c r="DS23" s="134">
        <v>0</v>
      </c>
      <c r="DT23" s="135">
        <v>0</v>
      </c>
      <c r="DV23" s="136"/>
      <c r="DW23" s="137"/>
      <c r="DX23" s="136"/>
      <c r="DY23" s="136"/>
    </row>
    <row r="24" spans="1:129" s="116" customFormat="1">
      <c r="A24" s="133" t="s">
        <v>293</v>
      </c>
      <c r="B24" s="134">
        <v>54604</v>
      </c>
      <c r="C24" s="134">
        <v>16955</v>
      </c>
      <c r="D24" s="134">
        <v>50579</v>
      </c>
      <c r="E24" s="134">
        <v>35244</v>
      </c>
      <c r="F24" s="134">
        <v>65</v>
      </c>
      <c r="G24" s="134">
        <v>435</v>
      </c>
      <c r="H24" s="134">
        <v>500</v>
      </c>
      <c r="I24" s="134">
        <v>36</v>
      </c>
      <c r="J24" s="134">
        <v>13166</v>
      </c>
      <c r="K24" s="134">
        <v>13202</v>
      </c>
      <c r="L24" s="134">
        <v>7</v>
      </c>
      <c r="M24" s="134">
        <v>4132</v>
      </c>
      <c r="N24" s="134">
        <v>4139</v>
      </c>
      <c r="O24" s="134">
        <v>29</v>
      </c>
      <c r="P24" s="134">
        <v>9034</v>
      </c>
      <c r="Q24" s="134">
        <v>9063</v>
      </c>
      <c r="R24" s="134">
        <v>3</v>
      </c>
      <c r="S24" s="134">
        <v>353</v>
      </c>
      <c r="T24" s="134">
        <v>356</v>
      </c>
      <c r="U24" s="134">
        <v>0</v>
      </c>
      <c r="V24" s="134">
        <v>2133</v>
      </c>
      <c r="W24" s="134">
        <v>2133</v>
      </c>
      <c r="X24" s="134">
        <v>2444</v>
      </c>
      <c r="Y24" s="134">
        <v>48126</v>
      </c>
      <c r="Z24" s="134">
        <v>50570</v>
      </c>
      <c r="AA24" s="134">
        <v>1728</v>
      </c>
      <c r="AB24" s="134">
        <v>21775</v>
      </c>
      <c r="AC24" s="134">
        <v>23503</v>
      </c>
      <c r="AD24" s="134">
        <v>1432</v>
      </c>
      <c r="AE24" s="134">
        <v>19889</v>
      </c>
      <c r="AF24" s="134">
        <v>21321</v>
      </c>
      <c r="AG24" s="134">
        <v>94</v>
      </c>
      <c r="AH24" s="134">
        <v>840</v>
      </c>
      <c r="AI24" s="134">
        <v>934</v>
      </c>
      <c r="AJ24" s="134">
        <v>202</v>
      </c>
      <c r="AK24" s="134">
        <v>1046</v>
      </c>
      <c r="AL24" s="134">
        <v>1248</v>
      </c>
      <c r="AM24" s="134">
        <v>716</v>
      </c>
      <c r="AN24" s="134">
        <v>26351</v>
      </c>
      <c r="AO24" s="134">
        <v>27067</v>
      </c>
      <c r="AP24" s="134">
        <v>77319</v>
      </c>
      <c r="AQ24" s="134">
        <v>419325</v>
      </c>
      <c r="AR24" s="134">
        <v>496644</v>
      </c>
      <c r="AS24" s="134">
        <v>78587</v>
      </c>
      <c r="AT24" s="134">
        <v>433748</v>
      </c>
      <c r="AU24" s="134">
        <v>512335</v>
      </c>
      <c r="AV24" s="134">
        <v>-1268</v>
      </c>
      <c r="AW24" s="134">
        <v>-14423</v>
      </c>
      <c r="AX24" s="134">
        <v>-15691</v>
      </c>
      <c r="AY24" s="134">
        <v>4632</v>
      </c>
      <c r="AZ24" s="134">
        <v>49982</v>
      </c>
      <c r="BA24" s="134">
        <v>54614</v>
      </c>
      <c r="BB24" s="134">
        <v>2615</v>
      </c>
      <c r="BC24" s="134">
        <v>54</v>
      </c>
      <c r="BD24" s="134">
        <v>10</v>
      </c>
      <c r="BE24" s="134">
        <v>31907</v>
      </c>
      <c r="BF24" s="134">
        <v>381</v>
      </c>
      <c r="BG24" s="134">
        <v>277</v>
      </c>
      <c r="BH24" s="134">
        <v>2679</v>
      </c>
      <c r="BI24" s="134">
        <v>32565</v>
      </c>
      <c r="BJ24" s="134">
        <v>35244</v>
      </c>
      <c r="BK24" s="134">
        <v>-1155</v>
      </c>
      <c r="BL24" s="134">
        <v>1155</v>
      </c>
      <c r="BM24" s="134">
        <v>0</v>
      </c>
      <c r="BN24" s="134">
        <v>60</v>
      </c>
      <c r="BO24" s="134">
        <v>266</v>
      </c>
      <c r="BP24" s="134">
        <v>326</v>
      </c>
      <c r="BQ24" s="134">
        <v>363</v>
      </c>
      <c r="BR24" s="134">
        <v>3146</v>
      </c>
      <c r="BS24" s="134">
        <v>3509</v>
      </c>
      <c r="BT24" s="134">
        <v>2685</v>
      </c>
      <c r="BU24" s="134">
        <v>12850</v>
      </c>
      <c r="BV24" s="134">
        <v>15535</v>
      </c>
      <c r="BW24" s="134">
        <v>81951</v>
      </c>
      <c r="BX24" s="134">
        <v>469307</v>
      </c>
      <c r="BY24" s="134">
        <v>551258</v>
      </c>
      <c r="BZ24" s="134">
        <v>79578</v>
      </c>
      <c r="CA24" s="134">
        <v>460473</v>
      </c>
      <c r="CB24" s="134">
        <v>540051</v>
      </c>
      <c r="CC24" s="134">
        <v>1082596</v>
      </c>
      <c r="CD24" s="134">
        <v>642</v>
      </c>
      <c r="CE24" s="134">
        <v>9084</v>
      </c>
      <c r="CF24" s="134">
        <v>2185</v>
      </c>
      <c r="CG24" s="134">
        <v>5378</v>
      </c>
      <c r="CH24" s="134">
        <v>7563</v>
      </c>
      <c r="CI24" s="134">
        <v>4110</v>
      </c>
      <c r="CJ24" s="134">
        <v>544</v>
      </c>
      <c r="CK24" s="134">
        <v>188</v>
      </c>
      <c r="CL24" s="134">
        <v>3456</v>
      </c>
      <c r="CM24" s="134">
        <v>3644</v>
      </c>
      <c r="CN24" s="134">
        <v>3170</v>
      </c>
      <c r="CO24" s="134">
        <v>26311</v>
      </c>
      <c r="CP24" s="134">
        <v>29481</v>
      </c>
      <c r="CQ24" s="134">
        <v>58</v>
      </c>
      <c r="CR24" s="134">
        <v>332</v>
      </c>
      <c r="CS24" s="134">
        <v>390</v>
      </c>
      <c r="CT24" s="134">
        <v>78781</v>
      </c>
      <c r="CU24" s="134">
        <v>442996</v>
      </c>
      <c r="CV24" s="134">
        <v>521777</v>
      </c>
      <c r="CW24" s="134">
        <v>5734</v>
      </c>
      <c r="CX24" s="134">
        <v>20809</v>
      </c>
      <c r="CY24" s="134">
        <v>26543</v>
      </c>
      <c r="CZ24" s="134">
        <v>5518</v>
      </c>
      <c r="DA24" s="134">
        <v>170</v>
      </c>
      <c r="DB24" s="134">
        <v>9</v>
      </c>
      <c r="DC24" s="134">
        <v>20133</v>
      </c>
      <c r="DD24" s="134">
        <v>327</v>
      </c>
      <c r="DE24" s="134">
        <v>114</v>
      </c>
      <c r="DF24" s="134">
        <v>5697</v>
      </c>
      <c r="DG24" s="134">
        <v>20574</v>
      </c>
      <c r="DH24" s="134">
        <v>26271</v>
      </c>
      <c r="DI24" s="134">
        <v>37</v>
      </c>
      <c r="DJ24" s="134">
        <v>0</v>
      </c>
      <c r="DK24" s="134">
        <v>0</v>
      </c>
      <c r="DL24" s="134">
        <v>226</v>
      </c>
      <c r="DM24" s="134">
        <v>9</v>
      </c>
      <c r="DN24" s="134">
        <v>0</v>
      </c>
      <c r="DO24" s="134">
        <v>37</v>
      </c>
      <c r="DP24" s="134">
        <v>235</v>
      </c>
      <c r="DQ24" s="134">
        <v>272</v>
      </c>
      <c r="DR24" s="134">
        <v>0</v>
      </c>
      <c r="DS24" s="134">
        <v>0</v>
      </c>
      <c r="DT24" s="135">
        <v>0</v>
      </c>
      <c r="DV24" s="136"/>
      <c r="DW24" s="137"/>
      <c r="DX24" s="136"/>
      <c r="DY24" s="136"/>
    </row>
    <row r="25" spans="1:129" s="116" customFormat="1">
      <c r="A25" s="133" t="s">
        <v>294</v>
      </c>
      <c r="B25" s="134">
        <v>670</v>
      </c>
      <c r="C25" s="134">
        <v>103</v>
      </c>
      <c r="D25" s="134">
        <v>641</v>
      </c>
      <c r="E25" s="134">
        <v>420</v>
      </c>
      <c r="F25" s="134">
        <v>1</v>
      </c>
      <c r="G25" s="134">
        <v>2</v>
      </c>
      <c r="H25" s="134">
        <v>3</v>
      </c>
      <c r="I25" s="134">
        <v>0</v>
      </c>
      <c r="J25" s="134">
        <v>190</v>
      </c>
      <c r="K25" s="134">
        <v>190</v>
      </c>
      <c r="L25" s="134">
        <v>0</v>
      </c>
      <c r="M25" s="134">
        <v>87</v>
      </c>
      <c r="N25" s="134">
        <v>87</v>
      </c>
      <c r="O25" s="134">
        <v>0</v>
      </c>
      <c r="P25" s="134">
        <v>103</v>
      </c>
      <c r="Q25" s="134">
        <v>103</v>
      </c>
      <c r="R25" s="134">
        <v>0</v>
      </c>
      <c r="S25" s="134">
        <v>1</v>
      </c>
      <c r="T25" s="134">
        <v>1</v>
      </c>
      <c r="U25" s="134">
        <v>0</v>
      </c>
      <c r="V25" s="134">
        <v>31</v>
      </c>
      <c r="W25" s="134">
        <v>31</v>
      </c>
      <c r="X25" s="134">
        <v>28</v>
      </c>
      <c r="Y25" s="134">
        <v>613</v>
      </c>
      <c r="Z25" s="134">
        <v>641</v>
      </c>
      <c r="AA25" s="134">
        <v>13</v>
      </c>
      <c r="AB25" s="134">
        <v>233</v>
      </c>
      <c r="AC25" s="134">
        <v>246</v>
      </c>
      <c r="AD25" s="134">
        <v>13</v>
      </c>
      <c r="AE25" s="134">
        <v>231</v>
      </c>
      <c r="AF25" s="134">
        <v>244</v>
      </c>
      <c r="AG25" s="134">
        <v>0</v>
      </c>
      <c r="AH25" s="134">
        <v>2</v>
      </c>
      <c r="AI25" s="134">
        <v>2</v>
      </c>
      <c r="AJ25" s="134">
        <v>0</v>
      </c>
      <c r="AK25" s="134">
        <v>0</v>
      </c>
      <c r="AL25" s="134">
        <v>0</v>
      </c>
      <c r="AM25" s="134">
        <v>15</v>
      </c>
      <c r="AN25" s="134">
        <v>380</v>
      </c>
      <c r="AO25" s="134">
        <v>395</v>
      </c>
      <c r="AP25" s="134">
        <v>1542</v>
      </c>
      <c r="AQ25" s="134">
        <v>9191</v>
      </c>
      <c r="AR25" s="134">
        <v>10733</v>
      </c>
      <c r="AS25" s="134">
        <v>1542</v>
      </c>
      <c r="AT25" s="134">
        <v>9191</v>
      </c>
      <c r="AU25" s="134">
        <v>10733</v>
      </c>
      <c r="AV25" s="134">
        <v>0</v>
      </c>
      <c r="AW25" s="134">
        <v>0</v>
      </c>
      <c r="AX25" s="134">
        <v>0</v>
      </c>
      <c r="AY25" s="134">
        <v>45</v>
      </c>
      <c r="AZ25" s="134">
        <v>672</v>
      </c>
      <c r="BA25" s="134">
        <v>717</v>
      </c>
      <c r="BB25" s="134">
        <v>29</v>
      </c>
      <c r="BC25" s="134">
        <v>2</v>
      </c>
      <c r="BD25" s="134">
        <v>0</v>
      </c>
      <c r="BE25" s="134">
        <v>384</v>
      </c>
      <c r="BF25" s="134">
        <v>3</v>
      </c>
      <c r="BG25" s="134">
        <v>2</v>
      </c>
      <c r="BH25" s="134">
        <v>31</v>
      </c>
      <c r="BI25" s="134">
        <v>389</v>
      </c>
      <c r="BJ25" s="134">
        <v>420</v>
      </c>
      <c r="BK25" s="134">
        <v>-30</v>
      </c>
      <c r="BL25" s="134">
        <v>30</v>
      </c>
      <c r="BM25" s="134">
        <v>0</v>
      </c>
      <c r="BN25" s="134">
        <v>9</v>
      </c>
      <c r="BO25" s="134">
        <v>20</v>
      </c>
      <c r="BP25" s="134">
        <v>29</v>
      </c>
      <c r="BQ25" s="134">
        <v>7</v>
      </c>
      <c r="BR25" s="134">
        <v>137</v>
      </c>
      <c r="BS25" s="134">
        <v>144</v>
      </c>
      <c r="BT25" s="134">
        <v>28</v>
      </c>
      <c r="BU25" s="134">
        <v>96</v>
      </c>
      <c r="BV25" s="134">
        <v>124</v>
      </c>
      <c r="BW25" s="134">
        <v>1587</v>
      </c>
      <c r="BX25" s="134">
        <v>9863</v>
      </c>
      <c r="BY25" s="134">
        <v>11450</v>
      </c>
      <c r="BZ25" s="134">
        <v>1574</v>
      </c>
      <c r="CA25" s="134">
        <v>9790</v>
      </c>
      <c r="CB25" s="134">
        <v>11364</v>
      </c>
      <c r="CC25" s="134">
        <v>27597</v>
      </c>
      <c r="CD25" s="134">
        <v>2</v>
      </c>
      <c r="CE25" s="134">
        <v>78</v>
      </c>
      <c r="CF25" s="134">
        <v>12</v>
      </c>
      <c r="CG25" s="134">
        <v>65</v>
      </c>
      <c r="CH25" s="134">
        <v>77</v>
      </c>
      <c r="CI25" s="134">
        <v>9</v>
      </c>
      <c r="CJ25" s="134">
        <v>6</v>
      </c>
      <c r="CK25" s="134">
        <v>1</v>
      </c>
      <c r="CL25" s="134">
        <v>8</v>
      </c>
      <c r="CM25" s="134">
        <v>9</v>
      </c>
      <c r="CN25" s="134">
        <v>62</v>
      </c>
      <c r="CO25" s="134">
        <v>657</v>
      </c>
      <c r="CP25" s="134">
        <v>719</v>
      </c>
      <c r="CQ25" s="134">
        <v>0</v>
      </c>
      <c r="CR25" s="134">
        <v>0</v>
      </c>
      <c r="CS25" s="134">
        <v>0</v>
      </c>
      <c r="CT25" s="134">
        <v>1525</v>
      </c>
      <c r="CU25" s="134">
        <v>9206</v>
      </c>
      <c r="CV25" s="134">
        <v>10731</v>
      </c>
      <c r="CW25" s="134">
        <v>121</v>
      </c>
      <c r="CX25" s="134">
        <v>529</v>
      </c>
      <c r="CY25" s="134">
        <v>650</v>
      </c>
      <c r="CZ25" s="134">
        <v>118</v>
      </c>
      <c r="DA25" s="134">
        <v>2</v>
      </c>
      <c r="DB25" s="134">
        <v>0</v>
      </c>
      <c r="DC25" s="134">
        <v>518</v>
      </c>
      <c r="DD25" s="134">
        <v>2</v>
      </c>
      <c r="DE25" s="134">
        <v>0</v>
      </c>
      <c r="DF25" s="134">
        <v>120</v>
      </c>
      <c r="DG25" s="134">
        <v>520</v>
      </c>
      <c r="DH25" s="134">
        <v>640</v>
      </c>
      <c r="DI25" s="134">
        <v>1</v>
      </c>
      <c r="DJ25" s="134">
        <v>0</v>
      </c>
      <c r="DK25" s="134">
        <v>0</v>
      </c>
      <c r="DL25" s="134">
        <v>9</v>
      </c>
      <c r="DM25" s="134">
        <v>0</v>
      </c>
      <c r="DN25" s="134">
        <v>0</v>
      </c>
      <c r="DO25" s="134">
        <v>1</v>
      </c>
      <c r="DP25" s="134">
        <v>9</v>
      </c>
      <c r="DQ25" s="134">
        <v>10</v>
      </c>
      <c r="DR25" s="134">
        <v>0</v>
      </c>
      <c r="DS25" s="134">
        <v>0</v>
      </c>
      <c r="DT25" s="135">
        <v>0</v>
      </c>
      <c r="DV25" s="136"/>
      <c r="DW25" s="137"/>
      <c r="DX25" s="136"/>
      <c r="DY25" s="136"/>
    </row>
    <row r="26" spans="1:129" s="116" customFormat="1">
      <c r="A26" s="133" t="s">
        <v>295</v>
      </c>
      <c r="B26" s="134">
        <v>531</v>
      </c>
      <c r="C26" s="134">
        <v>177</v>
      </c>
      <c r="D26" s="134">
        <v>489</v>
      </c>
      <c r="E26" s="134">
        <v>317</v>
      </c>
      <c r="F26" s="134">
        <v>0</v>
      </c>
      <c r="G26" s="134">
        <v>5</v>
      </c>
      <c r="H26" s="134">
        <v>5</v>
      </c>
      <c r="I26" s="134">
        <v>0</v>
      </c>
      <c r="J26" s="134">
        <v>159</v>
      </c>
      <c r="K26" s="134">
        <v>159</v>
      </c>
      <c r="L26" s="134">
        <v>0</v>
      </c>
      <c r="M26" s="134">
        <v>63</v>
      </c>
      <c r="N26" s="134">
        <v>63</v>
      </c>
      <c r="O26" s="134">
        <v>0</v>
      </c>
      <c r="P26" s="134">
        <v>96</v>
      </c>
      <c r="Q26" s="134">
        <v>96</v>
      </c>
      <c r="R26" s="134">
        <v>0</v>
      </c>
      <c r="S26" s="134">
        <v>4</v>
      </c>
      <c r="T26" s="134">
        <v>4</v>
      </c>
      <c r="U26" s="134">
        <v>0</v>
      </c>
      <c r="V26" s="134">
        <v>13</v>
      </c>
      <c r="W26" s="134">
        <v>13</v>
      </c>
      <c r="X26" s="134">
        <v>11</v>
      </c>
      <c r="Y26" s="134">
        <v>478</v>
      </c>
      <c r="Z26" s="134">
        <v>489</v>
      </c>
      <c r="AA26" s="134">
        <v>9</v>
      </c>
      <c r="AB26" s="134">
        <v>204</v>
      </c>
      <c r="AC26" s="134">
        <v>213</v>
      </c>
      <c r="AD26" s="134">
        <v>9</v>
      </c>
      <c r="AE26" s="134">
        <v>191</v>
      </c>
      <c r="AF26" s="134">
        <v>200</v>
      </c>
      <c r="AG26" s="134">
        <v>0</v>
      </c>
      <c r="AH26" s="134">
        <v>7</v>
      </c>
      <c r="AI26" s="134">
        <v>7</v>
      </c>
      <c r="AJ26" s="134">
        <v>0</v>
      </c>
      <c r="AK26" s="134">
        <v>6</v>
      </c>
      <c r="AL26" s="134">
        <v>6</v>
      </c>
      <c r="AM26" s="134">
        <v>2</v>
      </c>
      <c r="AN26" s="134">
        <v>274</v>
      </c>
      <c r="AO26" s="134">
        <v>276</v>
      </c>
      <c r="AP26" s="134">
        <v>514</v>
      </c>
      <c r="AQ26" s="134">
        <v>5024</v>
      </c>
      <c r="AR26" s="134">
        <v>5538</v>
      </c>
      <c r="AS26" s="134">
        <v>514</v>
      </c>
      <c r="AT26" s="134">
        <v>5024</v>
      </c>
      <c r="AU26" s="134">
        <v>5538</v>
      </c>
      <c r="AV26" s="134">
        <v>0</v>
      </c>
      <c r="AW26" s="134">
        <v>0</v>
      </c>
      <c r="AX26" s="134">
        <v>0</v>
      </c>
      <c r="AY26" s="134">
        <v>43</v>
      </c>
      <c r="AZ26" s="134">
        <v>496</v>
      </c>
      <c r="BA26" s="134">
        <v>539</v>
      </c>
      <c r="BB26" s="134">
        <v>14</v>
      </c>
      <c r="BC26" s="134">
        <v>0</v>
      </c>
      <c r="BD26" s="134">
        <v>0</v>
      </c>
      <c r="BE26" s="134">
        <v>288</v>
      </c>
      <c r="BF26" s="134">
        <v>9</v>
      </c>
      <c r="BG26" s="134">
        <v>6</v>
      </c>
      <c r="BH26" s="134">
        <v>14</v>
      </c>
      <c r="BI26" s="134">
        <v>303</v>
      </c>
      <c r="BJ26" s="134">
        <v>317</v>
      </c>
      <c r="BK26" s="134">
        <v>7</v>
      </c>
      <c r="BL26" s="134">
        <v>-7</v>
      </c>
      <c r="BM26" s="134">
        <v>0</v>
      </c>
      <c r="BN26" s="134">
        <v>5</v>
      </c>
      <c r="BO26" s="134">
        <v>17</v>
      </c>
      <c r="BP26" s="134">
        <v>22</v>
      </c>
      <c r="BQ26" s="134">
        <v>4</v>
      </c>
      <c r="BR26" s="134">
        <v>53</v>
      </c>
      <c r="BS26" s="134">
        <v>57</v>
      </c>
      <c r="BT26" s="134">
        <v>13</v>
      </c>
      <c r="BU26" s="134">
        <v>130</v>
      </c>
      <c r="BV26" s="134">
        <v>143</v>
      </c>
      <c r="BW26" s="134">
        <v>557</v>
      </c>
      <c r="BX26" s="134">
        <v>5520</v>
      </c>
      <c r="BY26" s="134">
        <v>6077</v>
      </c>
      <c r="BZ26" s="134">
        <v>517</v>
      </c>
      <c r="CA26" s="134">
        <v>5219</v>
      </c>
      <c r="CB26" s="134">
        <v>5736</v>
      </c>
      <c r="CC26" s="134">
        <v>9642</v>
      </c>
      <c r="CD26" s="134">
        <v>8</v>
      </c>
      <c r="CE26" s="134">
        <v>314</v>
      </c>
      <c r="CF26" s="134">
        <v>39</v>
      </c>
      <c r="CG26" s="134">
        <v>233</v>
      </c>
      <c r="CH26" s="134">
        <v>272</v>
      </c>
      <c r="CI26" s="134">
        <v>68</v>
      </c>
      <c r="CJ26" s="134">
        <v>13</v>
      </c>
      <c r="CK26" s="134">
        <v>1</v>
      </c>
      <c r="CL26" s="134">
        <v>68</v>
      </c>
      <c r="CM26" s="134">
        <v>69</v>
      </c>
      <c r="CN26" s="134">
        <v>26</v>
      </c>
      <c r="CO26" s="134">
        <v>499</v>
      </c>
      <c r="CP26" s="134">
        <v>525</v>
      </c>
      <c r="CQ26" s="134">
        <v>0</v>
      </c>
      <c r="CR26" s="134">
        <v>1</v>
      </c>
      <c r="CS26" s="134">
        <v>1</v>
      </c>
      <c r="CT26" s="134">
        <v>531</v>
      </c>
      <c r="CU26" s="134">
        <v>5021</v>
      </c>
      <c r="CV26" s="134">
        <v>5552</v>
      </c>
      <c r="CW26" s="134">
        <v>43</v>
      </c>
      <c r="CX26" s="134">
        <v>191</v>
      </c>
      <c r="CY26" s="134">
        <v>234</v>
      </c>
      <c r="CZ26" s="134">
        <v>40</v>
      </c>
      <c r="DA26" s="134">
        <v>3</v>
      </c>
      <c r="DB26" s="134">
        <v>0</v>
      </c>
      <c r="DC26" s="134">
        <v>177</v>
      </c>
      <c r="DD26" s="134">
        <v>11</v>
      </c>
      <c r="DE26" s="134">
        <v>0</v>
      </c>
      <c r="DF26" s="134">
        <v>43</v>
      </c>
      <c r="DG26" s="134">
        <v>188</v>
      </c>
      <c r="DH26" s="134">
        <v>231</v>
      </c>
      <c r="DI26" s="134">
        <v>0</v>
      </c>
      <c r="DJ26" s="134">
        <v>0</v>
      </c>
      <c r="DK26" s="134">
        <v>0</v>
      </c>
      <c r="DL26" s="134">
        <v>3</v>
      </c>
      <c r="DM26" s="134">
        <v>0</v>
      </c>
      <c r="DN26" s="134">
        <v>0</v>
      </c>
      <c r="DO26" s="134">
        <v>0</v>
      </c>
      <c r="DP26" s="134">
        <v>3</v>
      </c>
      <c r="DQ26" s="134">
        <v>3</v>
      </c>
      <c r="DR26" s="134">
        <v>0</v>
      </c>
      <c r="DS26" s="134">
        <v>0</v>
      </c>
      <c r="DT26" s="135">
        <v>0</v>
      </c>
      <c r="DV26" s="136"/>
      <c r="DW26" s="137"/>
      <c r="DX26" s="136"/>
      <c r="DY26" s="136"/>
    </row>
    <row r="27" spans="1:129" s="116" customFormat="1">
      <c r="A27" s="133" t="s">
        <v>296</v>
      </c>
      <c r="B27" s="134">
        <v>96</v>
      </c>
      <c r="C27" s="134">
        <v>15</v>
      </c>
      <c r="D27" s="134">
        <v>105</v>
      </c>
      <c r="E27" s="134">
        <v>48</v>
      </c>
      <c r="F27" s="134">
        <v>0</v>
      </c>
      <c r="G27" s="134">
        <v>5</v>
      </c>
      <c r="H27" s="134">
        <v>5</v>
      </c>
      <c r="I27" s="134">
        <v>0</v>
      </c>
      <c r="J27" s="134">
        <v>46</v>
      </c>
      <c r="K27" s="134">
        <v>46</v>
      </c>
      <c r="L27" s="134">
        <v>0</v>
      </c>
      <c r="M27" s="134">
        <v>17</v>
      </c>
      <c r="N27" s="134">
        <v>17</v>
      </c>
      <c r="O27" s="134">
        <v>0</v>
      </c>
      <c r="P27" s="134">
        <v>29</v>
      </c>
      <c r="Q27" s="134">
        <v>29</v>
      </c>
      <c r="R27" s="134">
        <v>0</v>
      </c>
      <c r="S27" s="134">
        <v>3</v>
      </c>
      <c r="T27" s="134">
        <v>3</v>
      </c>
      <c r="U27" s="134">
        <v>0</v>
      </c>
      <c r="V27" s="134">
        <v>11</v>
      </c>
      <c r="W27" s="134">
        <v>11</v>
      </c>
      <c r="X27" s="134">
        <v>4</v>
      </c>
      <c r="Y27" s="134">
        <v>101</v>
      </c>
      <c r="Z27" s="134">
        <v>105</v>
      </c>
      <c r="AA27" s="134">
        <v>3</v>
      </c>
      <c r="AB27" s="134">
        <v>33</v>
      </c>
      <c r="AC27" s="134">
        <v>36</v>
      </c>
      <c r="AD27" s="134">
        <v>3</v>
      </c>
      <c r="AE27" s="134">
        <v>21</v>
      </c>
      <c r="AF27" s="134">
        <v>24</v>
      </c>
      <c r="AG27" s="134">
        <v>0</v>
      </c>
      <c r="AH27" s="134">
        <v>10</v>
      </c>
      <c r="AI27" s="134">
        <v>10</v>
      </c>
      <c r="AJ27" s="134">
        <v>0</v>
      </c>
      <c r="AK27" s="134">
        <v>2</v>
      </c>
      <c r="AL27" s="134">
        <v>2</v>
      </c>
      <c r="AM27" s="134">
        <v>1</v>
      </c>
      <c r="AN27" s="134">
        <v>68</v>
      </c>
      <c r="AO27" s="134">
        <v>69</v>
      </c>
      <c r="AP27" s="134">
        <v>76</v>
      </c>
      <c r="AQ27" s="134">
        <v>875</v>
      </c>
      <c r="AR27" s="134">
        <v>951</v>
      </c>
      <c r="AS27" s="134">
        <v>76</v>
      </c>
      <c r="AT27" s="134">
        <v>875</v>
      </c>
      <c r="AU27" s="134">
        <v>951</v>
      </c>
      <c r="AV27" s="134">
        <v>0</v>
      </c>
      <c r="AW27" s="134">
        <v>0</v>
      </c>
      <c r="AX27" s="134">
        <v>0</v>
      </c>
      <c r="AY27" s="134">
        <v>7</v>
      </c>
      <c r="AZ27" s="134">
        <v>79</v>
      </c>
      <c r="BA27" s="134">
        <v>86</v>
      </c>
      <c r="BB27" s="134">
        <v>4</v>
      </c>
      <c r="BC27" s="134">
        <v>0</v>
      </c>
      <c r="BD27" s="134">
        <v>0</v>
      </c>
      <c r="BE27" s="134">
        <v>44</v>
      </c>
      <c r="BF27" s="134">
        <v>0</v>
      </c>
      <c r="BG27" s="134">
        <v>0</v>
      </c>
      <c r="BH27" s="134">
        <v>4</v>
      </c>
      <c r="BI27" s="134">
        <v>44</v>
      </c>
      <c r="BJ27" s="134">
        <v>48</v>
      </c>
      <c r="BK27" s="134">
        <v>1</v>
      </c>
      <c r="BL27" s="134">
        <v>-1</v>
      </c>
      <c r="BM27" s="134">
        <v>0</v>
      </c>
      <c r="BN27" s="134">
        <v>0</v>
      </c>
      <c r="BO27" s="134">
        <v>6</v>
      </c>
      <c r="BP27" s="134">
        <v>6</v>
      </c>
      <c r="BQ27" s="134">
        <v>1</v>
      </c>
      <c r="BR27" s="134">
        <v>6</v>
      </c>
      <c r="BS27" s="134">
        <v>7</v>
      </c>
      <c r="BT27" s="134">
        <v>1</v>
      </c>
      <c r="BU27" s="134">
        <v>24</v>
      </c>
      <c r="BV27" s="134">
        <v>25</v>
      </c>
      <c r="BW27" s="134">
        <v>83</v>
      </c>
      <c r="BX27" s="134">
        <v>954</v>
      </c>
      <c r="BY27" s="134">
        <v>1037</v>
      </c>
      <c r="BZ27" s="134">
        <v>82</v>
      </c>
      <c r="CA27" s="134">
        <v>952</v>
      </c>
      <c r="CB27" s="134">
        <v>1034</v>
      </c>
      <c r="CC27" s="134">
        <v>1882</v>
      </c>
      <c r="CD27" s="134">
        <v>0</v>
      </c>
      <c r="CE27" s="134">
        <v>2</v>
      </c>
      <c r="CF27" s="134">
        <v>1</v>
      </c>
      <c r="CG27" s="134">
        <v>1</v>
      </c>
      <c r="CH27" s="134">
        <v>2</v>
      </c>
      <c r="CI27" s="134">
        <v>1</v>
      </c>
      <c r="CJ27" s="134">
        <v>0</v>
      </c>
      <c r="CK27" s="134">
        <v>0</v>
      </c>
      <c r="CL27" s="134">
        <v>1</v>
      </c>
      <c r="CM27" s="134">
        <v>1</v>
      </c>
      <c r="CN27" s="134">
        <v>0</v>
      </c>
      <c r="CO27" s="134">
        <v>64</v>
      </c>
      <c r="CP27" s="134">
        <v>64</v>
      </c>
      <c r="CQ27" s="134">
        <v>0</v>
      </c>
      <c r="CR27" s="134">
        <v>2</v>
      </c>
      <c r="CS27" s="134">
        <v>2</v>
      </c>
      <c r="CT27" s="134">
        <v>83</v>
      </c>
      <c r="CU27" s="134">
        <v>890</v>
      </c>
      <c r="CV27" s="134">
        <v>973</v>
      </c>
      <c r="CW27" s="134">
        <v>3</v>
      </c>
      <c r="CX27" s="134">
        <v>38</v>
      </c>
      <c r="CY27" s="134">
        <v>41</v>
      </c>
      <c r="CZ27" s="134">
        <v>3</v>
      </c>
      <c r="DA27" s="134">
        <v>0</v>
      </c>
      <c r="DB27" s="134">
        <v>0</v>
      </c>
      <c r="DC27" s="134">
        <v>38</v>
      </c>
      <c r="DD27" s="134">
        <v>0</v>
      </c>
      <c r="DE27" s="134">
        <v>0</v>
      </c>
      <c r="DF27" s="134">
        <v>3</v>
      </c>
      <c r="DG27" s="134">
        <v>38</v>
      </c>
      <c r="DH27" s="134">
        <v>41</v>
      </c>
      <c r="DI27" s="134">
        <v>0</v>
      </c>
      <c r="DJ27" s="134">
        <v>0</v>
      </c>
      <c r="DK27" s="134">
        <v>0</v>
      </c>
      <c r="DL27" s="134">
        <v>0</v>
      </c>
      <c r="DM27" s="134">
        <v>0</v>
      </c>
      <c r="DN27" s="134">
        <v>0</v>
      </c>
      <c r="DO27" s="134">
        <v>0</v>
      </c>
      <c r="DP27" s="134">
        <v>0</v>
      </c>
      <c r="DQ27" s="134">
        <v>0</v>
      </c>
      <c r="DR27" s="134">
        <v>0</v>
      </c>
      <c r="DS27" s="134">
        <v>0</v>
      </c>
      <c r="DT27" s="135">
        <v>0</v>
      </c>
      <c r="DV27" s="136"/>
      <c r="DW27" s="137"/>
      <c r="DX27" s="136"/>
      <c r="DY27" s="136"/>
    </row>
    <row r="28" spans="1:129" s="116" customFormat="1">
      <c r="A28" s="133" t="s">
        <v>297</v>
      </c>
      <c r="B28" s="134">
        <v>664</v>
      </c>
      <c r="C28" s="134">
        <v>77</v>
      </c>
      <c r="D28" s="134">
        <v>598</v>
      </c>
      <c r="E28" s="134">
        <v>469</v>
      </c>
      <c r="F28" s="134">
        <v>0</v>
      </c>
      <c r="G28" s="134">
        <v>30</v>
      </c>
      <c r="H28" s="134">
        <v>30</v>
      </c>
      <c r="I28" s="134">
        <v>0</v>
      </c>
      <c r="J28" s="134">
        <v>120</v>
      </c>
      <c r="K28" s="134">
        <v>120</v>
      </c>
      <c r="L28" s="134">
        <v>0</v>
      </c>
      <c r="M28" s="134">
        <v>57</v>
      </c>
      <c r="N28" s="134">
        <v>57</v>
      </c>
      <c r="O28" s="134">
        <v>0</v>
      </c>
      <c r="P28" s="134">
        <v>63</v>
      </c>
      <c r="Q28" s="134">
        <v>63</v>
      </c>
      <c r="R28" s="134">
        <v>0</v>
      </c>
      <c r="S28" s="134">
        <v>5</v>
      </c>
      <c r="T28" s="134">
        <v>5</v>
      </c>
      <c r="U28" s="134">
        <v>0</v>
      </c>
      <c r="V28" s="134">
        <v>9</v>
      </c>
      <c r="W28" s="134">
        <v>9</v>
      </c>
      <c r="X28" s="134">
        <v>5</v>
      </c>
      <c r="Y28" s="134">
        <v>593</v>
      </c>
      <c r="Z28" s="134">
        <v>598</v>
      </c>
      <c r="AA28" s="134">
        <v>3</v>
      </c>
      <c r="AB28" s="134">
        <v>309</v>
      </c>
      <c r="AC28" s="134">
        <v>312</v>
      </c>
      <c r="AD28" s="134">
        <v>3</v>
      </c>
      <c r="AE28" s="134">
        <v>292</v>
      </c>
      <c r="AF28" s="134">
        <v>295</v>
      </c>
      <c r="AG28" s="134">
        <v>0</v>
      </c>
      <c r="AH28" s="134">
        <v>12</v>
      </c>
      <c r="AI28" s="134">
        <v>12</v>
      </c>
      <c r="AJ28" s="134">
        <v>0</v>
      </c>
      <c r="AK28" s="134">
        <v>5</v>
      </c>
      <c r="AL28" s="134">
        <v>5</v>
      </c>
      <c r="AM28" s="134">
        <v>2</v>
      </c>
      <c r="AN28" s="134">
        <v>284</v>
      </c>
      <c r="AO28" s="134">
        <v>286</v>
      </c>
      <c r="AP28" s="134">
        <v>489</v>
      </c>
      <c r="AQ28" s="134">
        <v>5273</v>
      </c>
      <c r="AR28" s="134">
        <v>5762</v>
      </c>
      <c r="AS28" s="134">
        <v>489</v>
      </c>
      <c r="AT28" s="134">
        <v>5273</v>
      </c>
      <c r="AU28" s="134">
        <v>5762</v>
      </c>
      <c r="AV28" s="134">
        <v>0</v>
      </c>
      <c r="AW28" s="134">
        <v>0</v>
      </c>
      <c r="AX28" s="134">
        <v>0</v>
      </c>
      <c r="AY28" s="134">
        <v>22</v>
      </c>
      <c r="AZ28" s="134">
        <v>685</v>
      </c>
      <c r="BA28" s="134">
        <v>707</v>
      </c>
      <c r="BB28" s="134">
        <v>6</v>
      </c>
      <c r="BC28" s="134">
        <v>0</v>
      </c>
      <c r="BD28" s="134">
        <v>0</v>
      </c>
      <c r="BE28" s="134">
        <v>462</v>
      </c>
      <c r="BF28" s="134">
        <v>0</v>
      </c>
      <c r="BG28" s="134">
        <v>1</v>
      </c>
      <c r="BH28" s="134">
        <v>6</v>
      </c>
      <c r="BI28" s="134">
        <v>463</v>
      </c>
      <c r="BJ28" s="134">
        <v>469</v>
      </c>
      <c r="BK28" s="134">
        <v>-9</v>
      </c>
      <c r="BL28" s="134">
        <v>9</v>
      </c>
      <c r="BM28" s="134">
        <v>0</v>
      </c>
      <c r="BN28" s="134">
        <v>0</v>
      </c>
      <c r="BO28" s="134">
        <v>14</v>
      </c>
      <c r="BP28" s="134">
        <v>14</v>
      </c>
      <c r="BQ28" s="134">
        <v>13</v>
      </c>
      <c r="BR28" s="134">
        <v>90</v>
      </c>
      <c r="BS28" s="134">
        <v>103</v>
      </c>
      <c r="BT28" s="134">
        <v>12</v>
      </c>
      <c r="BU28" s="134">
        <v>109</v>
      </c>
      <c r="BV28" s="134">
        <v>121</v>
      </c>
      <c r="BW28" s="134">
        <v>511</v>
      </c>
      <c r="BX28" s="134">
        <v>5958</v>
      </c>
      <c r="BY28" s="134">
        <v>6469</v>
      </c>
      <c r="BZ28" s="134">
        <v>508</v>
      </c>
      <c r="CA28" s="134">
        <v>5908</v>
      </c>
      <c r="CB28" s="134">
        <v>6416</v>
      </c>
      <c r="CC28" s="134">
        <v>11903</v>
      </c>
      <c r="CD28" s="134">
        <v>3</v>
      </c>
      <c r="CE28" s="134">
        <v>43</v>
      </c>
      <c r="CF28" s="134">
        <v>3</v>
      </c>
      <c r="CG28" s="134">
        <v>38</v>
      </c>
      <c r="CH28" s="134">
        <v>41</v>
      </c>
      <c r="CI28" s="134">
        <v>13</v>
      </c>
      <c r="CJ28" s="134">
        <v>2</v>
      </c>
      <c r="CK28" s="134">
        <v>0</v>
      </c>
      <c r="CL28" s="134">
        <v>12</v>
      </c>
      <c r="CM28" s="134">
        <v>12</v>
      </c>
      <c r="CN28" s="134">
        <v>34</v>
      </c>
      <c r="CO28" s="134">
        <v>569</v>
      </c>
      <c r="CP28" s="134">
        <v>603</v>
      </c>
      <c r="CQ28" s="134">
        <v>0</v>
      </c>
      <c r="CR28" s="134">
        <v>0</v>
      </c>
      <c r="CS28" s="134">
        <v>0</v>
      </c>
      <c r="CT28" s="134">
        <v>477</v>
      </c>
      <c r="CU28" s="134">
        <v>5389</v>
      </c>
      <c r="CV28" s="134">
        <v>5866</v>
      </c>
      <c r="CW28" s="134">
        <v>22</v>
      </c>
      <c r="CX28" s="134">
        <v>221</v>
      </c>
      <c r="CY28" s="134">
        <v>243</v>
      </c>
      <c r="CZ28" s="134">
        <v>22</v>
      </c>
      <c r="DA28" s="134">
        <v>0</v>
      </c>
      <c r="DB28" s="134">
        <v>0</v>
      </c>
      <c r="DC28" s="134">
        <v>212</v>
      </c>
      <c r="DD28" s="134">
        <v>3</v>
      </c>
      <c r="DE28" s="134">
        <v>0</v>
      </c>
      <c r="DF28" s="134">
        <v>22</v>
      </c>
      <c r="DG28" s="134">
        <v>215</v>
      </c>
      <c r="DH28" s="134">
        <v>237</v>
      </c>
      <c r="DI28" s="134">
        <v>0</v>
      </c>
      <c r="DJ28" s="134">
        <v>0</v>
      </c>
      <c r="DK28" s="134">
        <v>0</v>
      </c>
      <c r="DL28" s="134">
        <v>6</v>
      </c>
      <c r="DM28" s="134">
        <v>0</v>
      </c>
      <c r="DN28" s="134">
        <v>0</v>
      </c>
      <c r="DO28" s="134">
        <v>0</v>
      </c>
      <c r="DP28" s="134">
        <v>6</v>
      </c>
      <c r="DQ28" s="134">
        <v>6</v>
      </c>
      <c r="DR28" s="134">
        <v>0</v>
      </c>
      <c r="DS28" s="134">
        <v>0</v>
      </c>
      <c r="DT28" s="135">
        <v>0</v>
      </c>
      <c r="DV28" s="136"/>
      <c r="DW28" s="137"/>
      <c r="DX28" s="136"/>
      <c r="DY28" s="136"/>
    </row>
    <row r="29" spans="1:129" s="116" customFormat="1">
      <c r="A29" s="133" t="s">
        <v>298</v>
      </c>
      <c r="B29" s="134">
        <v>1808</v>
      </c>
      <c r="C29" s="134">
        <v>390</v>
      </c>
      <c r="D29" s="134">
        <v>1753</v>
      </c>
      <c r="E29" s="134">
        <v>972</v>
      </c>
      <c r="F29" s="134">
        <v>3</v>
      </c>
      <c r="G29" s="134">
        <v>20</v>
      </c>
      <c r="H29" s="134">
        <v>23</v>
      </c>
      <c r="I29" s="134">
        <v>1</v>
      </c>
      <c r="J29" s="134">
        <v>623</v>
      </c>
      <c r="K29" s="134">
        <v>624</v>
      </c>
      <c r="L29" s="134">
        <v>1</v>
      </c>
      <c r="M29" s="134">
        <v>251</v>
      </c>
      <c r="N29" s="134">
        <v>252</v>
      </c>
      <c r="O29" s="134">
        <v>0</v>
      </c>
      <c r="P29" s="134">
        <v>372</v>
      </c>
      <c r="Q29" s="134">
        <v>372</v>
      </c>
      <c r="R29" s="134">
        <v>0</v>
      </c>
      <c r="S29" s="134">
        <v>15</v>
      </c>
      <c r="T29" s="134">
        <v>15</v>
      </c>
      <c r="U29" s="134">
        <v>0</v>
      </c>
      <c r="V29" s="134">
        <v>157</v>
      </c>
      <c r="W29" s="134">
        <v>157</v>
      </c>
      <c r="X29" s="134">
        <v>56</v>
      </c>
      <c r="Y29" s="134">
        <v>1696</v>
      </c>
      <c r="Z29" s="134">
        <v>1752</v>
      </c>
      <c r="AA29" s="134">
        <v>38</v>
      </c>
      <c r="AB29" s="134">
        <v>643</v>
      </c>
      <c r="AC29" s="134">
        <v>681</v>
      </c>
      <c r="AD29" s="134">
        <v>37</v>
      </c>
      <c r="AE29" s="134">
        <v>614</v>
      </c>
      <c r="AF29" s="134">
        <v>651</v>
      </c>
      <c r="AG29" s="134">
        <v>1</v>
      </c>
      <c r="AH29" s="134">
        <v>14</v>
      </c>
      <c r="AI29" s="134">
        <v>15</v>
      </c>
      <c r="AJ29" s="134">
        <v>0</v>
      </c>
      <c r="AK29" s="134">
        <v>15</v>
      </c>
      <c r="AL29" s="134">
        <v>15</v>
      </c>
      <c r="AM29" s="134">
        <v>18</v>
      </c>
      <c r="AN29" s="134">
        <v>1053</v>
      </c>
      <c r="AO29" s="134">
        <v>1071</v>
      </c>
      <c r="AP29" s="134">
        <v>3314</v>
      </c>
      <c r="AQ29" s="134">
        <v>18747</v>
      </c>
      <c r="AR29" s="134">
        <v>22061</v>
      </c>
      <c r="AS29" s="134">
        <v>3314</v>
      </c>
      <c r="AT29" s="134">
        <v>18747</v>
      </c>
      <c r="AU29" s="134">
        <v>22061</v>
      </c>
      <c r="AV29" s="134">
        <v>0</v>
      </c>
      <c r="AW29" s="134">
        <v>0</v>
      </c>
      <c r="AX29" s="134">
        <v>0</v>
      </c>
      <c r="AY29" s="134">
        <v>104</v>
      </c>
      <c r="AZ29" s="134">
        <v>1685</v>
      </c>
      <c r="BA29" s="134">
        <v>1789</v>
      </c>
      <c r="BB29" s="134">
        <v>54</v>
      </c>
      <c r="BC29" s="134">
        <v>1</v>
      </c>
      <c r="BD29" s="134">
        <v>0</v>
      </c>
      <c r="BE29" s="134">
        <v>911</v>
      </c>
      <c r="BF29" s="134">
        <v>5</v>
      </c>
      <c r="BG29" s="134">
        <v>1</v>
      </c>
      <c r="BH29" s="134">
        <v>55</v>
      </c>
      <c r="BI29" s="134">
        <v>917</v>
      </c>
      <c r="BJ29" s="134">
        <v>972</v>
      </c>
      <c r="BK29" s="134">
        <v>-40</v>
      </c>
      <c r="BL29" s="134">
        <v>40</v>
      </c>
      <c r="BM29" s="134">
        <v>0</v>
      </c>
      <c r="BN29" s="134">
        <v>15</v>
      </c>
      <c r="BO29" s="134">
        <v>48</v>
      </c>
      <c r="BP29" s="134">
        <v>63</v>
      </c>
      <c r="BQ29" s="134">
        <v>18</v>
      </c>
      <c r="BR29" s="134">
        <v>294</v>
      </c>
      <c r="BS29" s="134">
        <v>312</v>
      </c>
      <c r="BT29" s="134">
        <v>56</v>
      </c>
      <c r="BU29" s="134">
        <v>386</v>
      </c>
      <c r="BV29" s="134">
        <v>442</v>
      </c>
      <c r="BW29" s="134">
        <v>3418</v>
      </c>
      <c r="BX29" s="134">
        <v>20432</v>
      </c>
      <c r="BY29" s="134">
        <v>23850</v>
      </c>
      <c r="BZ29" s="134">
        <v>3398</v>
      </c>
      <c r="CA29" s="134">
        <v>20328</v>
      </c>
      <c r="CB29" s="134">
        <v>23726</v>
      </c>
      <c r="CC29" s="134">
        <v>54767</v>
      </c>
      <c r="CD29" s="134">
        <v>5</v>
      </c>
      <c r="CE29" s="134">
        <v>115</v>
      </c>
      <c r="CF29" s="134">
        <v>20</v>
      </c>
      <c r="CG29" s="134">
        <v>90</v>
      </c>
      <c r="CH29" s="134">
        <v>110</v>
      </c>
      <c r="CI29" s="134">
        <v>11</v>
      </c>
      <c r="CJ29" s="134">
        <v>3</v>
      </c>
      <c r="CK29" s="134">
        <v>0</v>
      </c>
      <c r="CL29" s="134">
        <v>14</v>
      </c>
      <c r="CM29" s="134">
        <v>14</v>
      </c>
      <c r="CN29" s="134">
        <v>125</v>
      </c>
      <c r="CO29" s="134">
        <v>1617</v>
      </c>
      <c r="CP29" s="134">
        <v>1742</v>
      </c>
      <c r="CQ29" s="134">
        <v>0</v>
      </c>
      <c r="CR29" s="134">
        <v>26</v>
      </c>
      <c r="CS29" s="134">
        <v>26</v>
      </c>
      <c r="CT29" s="134">
        <v>3293</v>
      </c>
      <c r="CU29" s="134">
        <v>18815</v>
      </c>
      <c r="CV29" s="134">
        <v>22108</v>
      </c>
      <c r="CW29" s="134">
        <v>226</v>
      </c>
      <c r="CX29" s="134">
        <v>926</v>
      </c>
      <c r="CY29" s="134">
        <v>1152</v>
      </c>
      <c r="CZ29" s="134">
        <v>224</v>
      </c>
      <c r="DA29" s="134">
        <v>2</v>
      </c>
      <c r="DB29" s="134">
        <v>0</v>
      </c>
      <c r="DC29" s="134">
        <v>910</v>
      </c>
      <c r="DD29" s="134">
        <v>3</v>
      </c>
      <c r="DE29" s="134">
        <v>0</v>
      </c>
      <c r="DF29" s="134">
        <v>226</v>
      </c>
      <c r="DG29" s="134">
        <v>913</v>
      </c>
      <c r="DH29" s="134">
        <v>1139</v>
      </c>
      <c r="DI29" s="134">
        <v>0</v>
      </c>
      <c r="DJ29" s="134">
        <v>0</v>
      </c>
      <c r="DK29" s="134">
        <v>0</v>
      </c>
      <c r="DL29" s="134">
        <v>12</v>
      </c>
      <c r="DM29" s="134">
        <v>1</v>
      </c>
      <c r="DN29" s="134">
        <v>0</v>
      </c>
      <c r="DO29" s="134">
        <v>0</v>
      </c>
      <c r="DP29" s="134">
        <v>13</v>
      </c>
      <c r="DQ29" s="134">
        <v>13</v>
      </c>
      <c r="DR29" s="134">
        <v>0</v>
      </c>
      <c r="DS29" s="134">
        <v>0</v>
      </c>
      <c r="DT29" s="135">
        <v>0</v>
      </c>
      <c r="DV29" s="136"/>
      <c r="DW29" s="137"/>
      <c r="DX29" s="136"/>
      <c r="DY29" s="136"/>
    </row>
    <row r="30" spans="1:129" s="116" customFormat="1">
      <c r="A30" s="133" t="s">
        <v>299</v>
      </c>
      <c r="B30" s="134">
        <v>43</v>
      </c>
      <c r="C30" s="134">
        <v>8</v>
      </c>
      <c r="D30" s="134">
        <v>50</v>
      </c>
      <c r="E30" s="134">
        <v>37</v>
      </c>
      <c r="F30" s="134">
        <v>0</v>
      </c>
      <c r="G30" s="134">
        <v>3</v>
      </c>
      <c r="H30" s="134">
        <v>3</v>
      </c>
      <c r="I30" s="134">
        <v>0</v>
      </c>
      <c r="J30" s="134">
        <v>12</v>
      </c>
      <c r="K30" s="134">
        <v>12</v>
      </c>
      <c r="L30" s="134">
        <v>0</v>
      </c>
      <c r="M30" s="134">
        <v>6</v>
      </c>
      <c r="N30" s="134">
        <v>6</v>
      </c>
      <c r="O30" s="134">
        <v>0</v>
      </c>
      <c r="P30" s="134">
        <v>6</v>
      </c>
      <c r="Q30" s="134">
        <v>6</v>
      </c>
      <c r="R30" s="134">
        <v>0</v>
      </c>
      <c r="S30" s="134">
        <v>0</v>
      </c>
      <c r="T30" s="134">
        <v>0</v>
      </c>
      <c r="U30" s="134">
        <v>0</v>
      </c>
      <c r="V30" s="134">
        <v>1</v>
      </c>
      <c r="W30" s="134">
        <v>1</v>
      </c>
      <c r="X30" s="134">
        <v>0</v>
      </c>
      <c r="Y30" s="134">
        <v>49</v>
      </c>
      <c r="Z30" s="134">
        <v>49</v>
      </c>
      <c r="AA30" s="134">
        <v>0</v>
      </c>
      <c r="AB30" s="134">
        <v>25</v>
      </c>
      <c r="AC30" s="134">
        <v>25</v>
      </c>
      <c r="AD30" s="134">
        <v>0</v>
      </c>
      <c r="AE30" s="134">
        <v>24</v>
      </c>
      <c r="AF30" s="134">
        <v>24</v>
      </c>
      <c r="AG30" s="134">
        <v>0</v>
      </c>
      <c r="AH30" s="134">
        <v>1</v>
      </c>
      <c r="AI30" s="134">
        <v>1</v>
      </c>
      <c r="AJ30" s="134">
        <v>0</v>
      </c>
      <c r="AK30" s="134">
        <v>0</v>
      </c>
      <c r="AL30" s="134">
        <v>0</v>
      </c>
      <c r="AM30" s="134">
        <v>0</v>
      </c>
      <c r="AN30" s="134">
        <v>24</v>
      </c>
      <c r="AO30" s="134">
        <v>24</v>
      </c>
      <c r="AP30" s="134">
        <v>77</v>
      </c>
      <c r="AQ30" s="134">
        <v>422</v>
      </c>
      <c r="AR30" s="134">
        <v>499</v>
      </c>
      <c r="AS30" s="134">
        <v>77</v>
      </c>
      <c r="AT30" s="134">
        <v>422</v>
      </c>
      <c r="AU30" s="134">
        <v>499</v>
      </c>
      <c r="AV30" s="134">
        <v>0</v>
      </c>
      <c r="AW30" s="134">
        <v>0</v>
      </c>
      <c r="AX30" s="134">
        <v>0</v>
      </c>
      <c r="AY30" s="134">
        <v>0</v>
      </c>
      <c r="AZ30" s="134">
        <v>59</v>
      </c>
      <c r="BA30" s="134">
        <v>59</v>
      </c>
      <c r="BB30" s="134">
        <v>0</v>
      </c>
      <c r="BC30" s="134">
        <v>0</v>
      </c>
      <c r="BD30" s="134">
        <v>0</v>
      </c>
      <c r="BE30" s="134">
        <v>37</v>
      </c>
      <c r="BF30" s="134">
        <v>0</v>
      </c>
      <c r="BG30" s="134">
        <v>0</v>
      </c>
      <c r="BH30" s="134">
        <v>0</v>
      </c>
      <c r="BI30" s="134">
        <v>37</v>
      </c>
      <c r="BJ30" s="134">
        <v>37</v>
      </c>
      <c r="BK30" s="134">
        <v>-2</v>
      </c>
      <c r="BL30" s="134">
        <v>2</v>
      </c>
      <c r="BM30" s="134">
        <v>0</v>
      </c>
      <c r="BN30" s="134">
        <v>2</v>
      </c>
      <c r="BO30" s="134">
        <v>2</v>
      </c>
      <c r="BP30" s="134">
        <v>4</v>
      </c>
      <c r="BQ30" s="134">
        <v>0</v>
      </c>
      <c r="BR30" s="134">
        <v>7</v>
      </c>
      <c r="BS30" s="134">
        <v>7</v>
      </c>
      <c r="BT30" s="134">
        <v>0</v>
      </c>
      <c r="BU30" s="134">
        <v>11</v>
      </c>
      <c r="BV30" s="134">
        <v>11</v>
      </c>
      <c r="BW30" s="134">
        <v>77</v>
      </c>
      <c r="BX30" s="134">
        <v>481</v>
      </c>
      <c r="BY30" s="134">
        <v>558</v>
      </c>
      <c r="BZ30" s="134">
        <v>76</v>
      </c>
      <c r="CA30" s="134">
        <v>480</v>
      </c>
      <c r="CB30" s="134">
        <v>556</v>
      </c>
      <c r="CC30" s="134">
        <v>1181</v>
      </c>
      <c r="CD30" s="134">
        <v>0</v>
      </c>
      <c r="CE30" s="134">
        <v>1</v>
      </c>
      <c r="CF30" s="134">
        <v>1</v>
      </c>
      <c r="CG30" s="134">
        <v>0</v>
      </c>
      <c r="CH30" s="134">
        <v>1</v>
      </c>
      <c r="CI30" s="134">
        <v>2</v>
      </c>
      <c r="CJ30" s="134">
        <v>0</v>
      </c>
      <c r="CK30" s="134">
        <v>0</v>
      </c>
      <c r="CL30" s="134">
        <v>1</v>
      </c>
      <c r="CM30" s="134">
        <v>1</v>
      </c>
      <c r="CN30" s="134">
        <v>2</v>
      </c>
      <c r="CO30" s="134">
        <v>47</v>
      </c>
      <c r="CP30" s="134">
        <v>49</v>
      </c>
      <c r="CQ30" s="134">
        <v>0</v>
      </c>
      <c r="CR30" s="134">
        <v>0</v>
      </c>
      <c r="CS30" s="134">
        <v>0</v>
      </c>
      <c r="CT30" s="134">
        <v>75</v>
      </c>
      <c r="CU30" s="134">
        <v>434</v>
      </c>
      <c r="CV30" s="134">
        <v>509</v>
      </c>
      <c r="CW30" s="134">
        <v>2</v>
      </c>
      <c r="CX30" s="134">
        <v>15</v>
      </c>
      <c r="CY30" s="134">
        <v>17</v>
      </c>
      <c r="CZ30" s="134">
        <v>2</v>
      </c>
      <c r="DA30" s="134">
        <v>0</v>
      </c>
      <c r="DB30" s="134">
        <v>0</v>
      </c>
      <c r="DC30" s="134">
        <v>15</v>
      </c>
      <c r="DD30" s="134">
        <v>0</v>
      </c>
      <c r="DE30" s="134">
        <v>0</v>
      </c>
      <c r="DF30" s="134">
        <v>2</v>
      </c>
      <c r="DG30" s="134">
        <v>15</v>
      </c>
      <c r="DH30" s="134">
        <v>17</v>
      </c>
      <c r="DI30" s="134">
        <v>0</v>
      </c>
      <c r="DJ30" s="134">
        <v>0</v>
      </c>
      <c r="DK30" s="134">
        <v>0</v>
      </c>
      <c r="DL30" s="134">
        <v>0</v>
      </c>
      <c r="DM30" s="134">
        <v>0</v>
      </c>
      <c r="DN30" s="134">
        <v>0</v>
      </c>
      <c r="DO30" s="134">
        <v>0</v>
      </c>
      <c r="DP30" s="134">
        <v>0</v>
      </c>
      <c r="DQ30" s="134">
        <v>0</v>
      </c>
      <c r="DR30" s="134">
        <v>0</v>
      </c>
      <c r="DS30" s="134">
        <v>0</v>
      </c>
      <c r="DT30" s="135">
        <v>0</v>
      </c>
      <c r="DV30" s="136"/>
      <c r="DW30" s="137"/>
      <c r="DX30" s="136"/>
      <c r="DY30" s="136"/>
    </row>
    <row r="31" spans="1:129" s="116" customFormat="1">
      <c r="A31" s="133" t="s">
        <v>300</v>
      </c>
      <c r="B31" s="134">
        <v>34</v>
      </c>
      <c r="C31" s="134">
        <v>10</v>
      </c>
      <c r="D31" s="134">
        <v>32</v>
      </c>
      <c r="E31" s="134">
        <v>23</v>
      </c>
      <c r="F31" s="134">
        <v>0</v>
      </c>
      <c r="G31" s="134">
        <v>0</v>
      </c>
      <c r="H31" s="134">
        <v>0</v>
      </c>
      <c r="I31" s="134">
        <v>0</v>
      </c>
      <c r="J31" s="134">
        <v>8</v>
      </c>
      <c r="K31" s="134">
        <v>8</v>
      </c>
      <c r="L31" s="134">
        <v>0</v>
      </c>
      <c r="M31" s="134">
        <v>3</v>
      </c>
      <c r="N31" s="134">
        <v>3</v>
      </c>
      <c r="O31" s="134">
        <v>0</v>
      </c>
      <c r="P31" s="134">
        <v>5</v>
      </c>
      <c r="Q31" s="134">
        <v>5</v>
      </c>
      <c r="R31" s="134">
        <v>0</v>
      </c>
      <c r="S31" s="134">
        <v>0</v>
      </c>
      <c r="T31" s="134">
        <v>0</v>
      </c>
      <c r="U31" s="134">
        <v>0</v>
      </c>
      <c r="V31" s="134">
        <v>1</v>
      </c>
      <c r="W31" s="134">
        <v>1</v>
      </c>
      <c r="X31" s="134">
        <v>1</v>
      </c>
      <c r="Y31" s="134">
        <v>31</v>
      </c>
      <c r="Z31" s="134">
        <v>32</v>
      </c>
      <c r="AA31" s="134">
        <v>1</v>
      </c>
      <c r="AB31" s="134">
        <v>12</v>
      </c>
      <c r="AC31" s="134">
        <v>13</v>
      </c>
      <c r="AD31" s="134">
        <v>1</v>
      </c>
      <c r="AE31" s="134">
        <v>12</v>
      </c>
      <c r="AF31" s="134">
        <v>13</v>
      </c>
      <c r="AG31" s="134">
        <v>0</v>
      </c>
      <c r="AH31" s="134">
        <v>0</v>
      </c>
      <c r="AI31" s="134">
        <v>0</v>
      </c>
      <c r="AJ31" s="134">
        <v>0</v>
      </c>
      <c r="AK31" s="134">
        <v>0</v>
      </c>
      <c r="AL31" s="134">
        <v>0</v>
      </c>
      <c r="AM31" s="134">
        <v>0</v>
      </c>
      <c r="AN31" s="134">
        <v>19</v>
      </c>
      <c r="AO31" s="134">
        <v>19</v>
      </c>
      <c r="AP31" s="134">
        <v>8</v>
      </c>
      <c r="AQ31" s="134">
        <v>361</v>
      </c>
      <c r="AR31" s="134">
        <v>369</v>
      </c>
      <c r="AS31" s="134">
        <v>8</v>
      </c>
      <c r="AT31" s="134">
        <v>361</v>
      </c>
      <c r="AU31" s="134">
        <v>369</v>
      </c>
      <c r="AV31" s="134">
        <v>0</v>
      </c>
      <c r="AW31" s="134">
        <v>0</v>
      </c>
      <c r="AX31" s="134">
        <v>0</v>
      </c>
      <c r="AY31" s="134">
        <v>2</v>
      </c>
      <c r="AZ31" s="134">
        <v>29</v>
      </c>
      <c r="BA31" s="134">
        <v>31</v>
      </c>
      <c r="BB31" s="134">
        <v>1</v>
      </c>
      <c r="BC31" s="134">
        <v>0</v>
      </c>
      <c r="BD31" s="134">
        <v>0</v>
      </c>
      <c r="BE31" s="134">
        <v>22</v>
      </c>
      <c r="BF31" s="134">
        <v>0</v>
      </c>
      <c r="BG31" s="134">
        <v>0</v>
      </c>
      <c r="BH31" s="134">
        <v>1</v>
      </c>
      <c r="BI31" s="134">
        <v>22</v>
      </c>
      <c r="BJ31" s="134">
        <v>23</v>
      </c>
      <c r="BK31" s="134">
        <v>1</v>
      </c>
      <c r="BL31" s="134">
        <v>-1</v>
      </c>
      <c r="BM31" s="134">
        <v>0</v>
      </c>
      <c r="BN31" s="134">
        <v>0</v>
      </c>
      <c r="BO31" s="134">
        <v>0</v>
      </c>
      <c r="BP31" s="134">
        <v>0</v>
      </c>
      <c r="BQ31" s="134">
        <v>0</v>
      </c>
      <c r="BR31" s="134">
        <v>1</v>
      </c>
      <c r="BS31" s="134">
        <v>1</v>
      </c>
      <c r="BT31" s="134">
        <v>0</v>
      </c>
      <c r="BU31" s="134">
        <v>7</v>
      </c>
      <c r="BV31" s="134">
        <v>7</v>
      </c>
      <c r="BW31" s="134">
        <v>10</v>
      </c>
      <c r="BX31" s="134">
        <v>390</v>
      </c>
      <c r="BY31" s="134">
        <v>400</v>
      </c>
      <c r="BZ31" s="134">
        <v>10</v>
      </c>
      <c r="CA31" s="134">
        <v>387</v>
      </c>
      <c r="CB31" s="134">
        <v>397</v>
      </c>
      <c r="CC31" s="134">
        <v>686</v>
      </c>
      <c r="CD31" s="134">
        <v>0</v>
      </c>
      <c r="CE31" s="134">
        <v>3</v>
      </c>
      <c r="CF31" s="134">
        <v>0</v>
      </c>
      <c r="CG31" s="134">
        <v>3</v>
      </c>
      <c r="CH31" s="134">
        <v>3</v>
      </c>
      <c r="CI31" s="134">
        <v>0</v>
      </c>
      <c r="CJ31" s="134">
        <v>0</v>
      </c>
      <c r="CK31" s="134">
        <v>0</v>
      </c>
      <c r="CL31" s="134">
        <v>0</v>
      </c>
      <c r="CM31" s="134">
        <v>0</v>
      </c>
      <c r="CN31" s="134">
        <v>0</v>
      </c>
      <c r="CO31" s="134">
        <v>44</v>
      </c>
      <c r="CP31" s="134">
        <v>44</v>
      </c>
      <c r="CQ31" s="134">
        <v>0</v>
      </c>
      <c r="CR31" s="134">
        <v>0</v>
      </c>
      <c r="CS31" s="134">
        <v>0</v>
      </c>
      <c r="CT31" s="134">
        <v>10</v>
      </c>
      <c r="CU31" s="134">
        <v>346</v>
      </c>
      <c r="CV31" s="134">
        <v>356</v>
      </c>
      <c r="CW31" s="134">
        <v>0</v>
      </c>
      <c r="CX31" s="134">
        <v>15</v>
      </c>
      <c r="CY31" s="134">
        <v>15</v>
      </c>
      <c r="CZ31" s="134">
        <v>0</v>
      </c>
      <c r="DA31" s="134">
        <v>0</v>
      </c>
      <c r="DB31" s="134">
        <v>0</v>
      </c>
      <c r="DC31" s="134">
        <v>15</v>
      </c>
      <c r="DD31" s="134">
        <v>0</v>
      </c>
      <c r="DE31" s="134">
        <v>0</v>
      </c>
      <c r="DF31" s="134">
        <v>0</v>
      </c>
      <c r="DG31" s="134">
        <v>15</v>
      </c>
      <c r="DH31" s="134">
        <v>15</v>
      </c>
      <c r="DI31" s="134">
        <v>0</v>
      </c>
      <c r="DJ31" s="134">
        <v>0</v>
      </c>
      <c r="DK31" s="134">
        <v>0</v>
      </c>
      <c r="DL31" s="134">
        <v>0</v>
      </c>
      <c r="DM31" s="134">
        <v>0</v>
      </c>
      <c r="DN31" s="134">
        <v>0</v>
      </c>
      <c r="DO31" s="134">
        <v>0</v>
      </c>
      <c r="DP31" s="134">
        <v>0</v>
      </c>
      <c r="DQ31" s="134">
        <v>0</v>
      </c>
      <c r="DR31" s="134">
        <v>0</v>
      </c>
      <c r="DS31" s="134">
        <v>0</v>
      </c>
      <c r="DT31" s="135">
        <v>0</v>
      </c>
      <c r="DV31" s="136"/>
      <c r="DW31" s="137"/>
      <c r="DX31" s="136"/>
      <c r="DY31" s="136"/>
    </row>
    <row r="32" spans="1:129" s="116" customFormat="1">
      <c r="A32" s="133" t="s">
        <v>301</v>
      </c>
      <c r="B32" s="134">
        <v>1841</v>
      </c>
      <c r="C32" s="134">
        <v>528</v>
      </c>
      <c r="D32" s="134">
        <v>1683</v>
      </c>
      <c r="E32" s="134">
        <v>1006</v>
      </c>
      <c r="F32" s="134">
        <v>0</v>
      </c>
      <c r="G32" s="134">
        <v>3</v>
      </c>
      <c r="H32" s="134">
        <v>3</v>
      </c>
      <c r="I32" s="134">
        <v>0</v>
      </c>
      <c r="J32" s="134">
        <v>599</v>
      </c>
      <c r="K32" s="134">
        <v>599</v>
      </c>
      <c r="L32" s="134">
        <v>0</v>
      </c>
      <c r="M32" s="134">
        <v>381</v>
      </c>
      <c r="N32" s="134">
        <v>381</v>
      </c>
      <c r="O32" s="134">
        <v>0</v>
      </c>
      <c r="P32" s="134">
        <v>218</v>
      </c>
      <c r="Q32" s="134">
        <v>218</v>
      </c>
      <c r="R32" s="134">
        <v>0</v>
      </c>
      <c r="S32" s="134">
        <v>2</v>
      </c>
      <c r="T32" s="134">
        <v>2</v>
      </c>
      <c r="U32" s="134">
        <v>0</v>
      </c>
      <c r="V32" s="134">
        <v>78</v>
      </c>
      <c r="W32" s="134">
        <v>78</v>
      </c>
      <c r="X32" s="134">
        <v>21</v>
      </c>
      <c r="Y32" s="134">
        <v>1662</v>
      </c>
      <c r="Z32" s="134">
        <v>1683</v>
      </c>
      <c r="AA32" s="134">
        <v>15</v>
      </c>
      <c r="AB32" s="134">
        <v>577</v>
      </c>
      <c r="AC32" s="134">
        <v>592</v>
      </c>
      <c r="AD32" s="134">
        <v>15</v>
      </c>
      <c r="AE32" s="134">
        <v>546</v>
      </c>
      <c r="AF32" s="134">
        <v>561</v>
      </c>
      <c r="AG32" s="134">
        <v>0</v>
      </c>
      <c r="AH32" s="134">
        <v>17</v>
      </c>
      <c r="AI32" s="134">
        <v>17</v>
      </c>
      <c r="AJ32" s="134">
        <v>0</v>
      </c>
      <c r="AK32" s="134">
        <v>14</v>
      </c>
      <c r="AL32" s="134">
        <v>14</v>
      </c>
      <c r="AM32" s="134">
        <v>6</v>
      </c>
      <c r="AN32" s="134">
        <v>1085</v>
      </c>
      <c r="AO32" s="134">
        <v>1091</v>
      </c>
      <c r="AP32" s="134">
        <v>2012</v>
      </c>
      <c r="AQ32" s="134">
        <v>16395</v>
      </c>
      <c r="AR32" s="134">
        <v>18407</v>
      </c>
      <c r="AS32" s="134">
        <v>2012</v>
      </c>
      <c r="AT32" s="134">
        <v>16395</v>
      </c>
      <c r="AU32" s="134">
        <v>18407</v>
      </c>
      <c r="AV32" s="134">
        <v>0</v>
      </c>
      <c r="AW32" s="134">
        <v>0</v>
      </c>
      <c r="AX32" s="134">
        <v>0</v>
      </c>
      <c r="AY32" s="134">
        <v>0</v>
      </c>
      <c r="AZ32" s="134">
        <v>1677</v>
      </c>
      <c r="BA32" s="134">
        <v>1677</v>
      </c>
      <c r="BB32" s="134">
        <v>25</v>
      </c>
      <c r="BC32" s="134">
        <v>0</v>
      </c>
      <c r="BD32" s="134">
        <v>0</v>
      </c>
      <c r="BE32" s="134">
        <v>973</v>
      </c>
      <c r="BF32" s="134">
        <v>7</v>
      </c>
      <c r="BG32" s="134">
        <v>1</v>
      </c>
      <c r="BH32" s="134">
        <v>25</v>
      </c>
      <c r="BI32" s="134">
        <v>981</v>
      </c>
      <c r="BJ32" s="134">
        <v>1006</v>
      </c>
      <c r="BK32" s="134">
        <v>-88</v>
      </c>
      <c r="BL32" s="134">
        <v>88</v>
      </c>
      <c r="BM32" s="134">
        <v>0</v>
      </c>
      <c r="BN32" s="134">
        <v>4</v>
      </c>
      <c r="BO32" s="134">
        <v>34</v>
      </c>
      <c r="BP32" s="134">
        <v>38</v>
      </c>
      <c r="BQ32" s="134">
        <v>10</v>
      </c>
      <c r="BR32" s="134">
        <v>215</v>
      </c>
      <c r="BS32" s="134">
        <v>225</v>
      </c>
      <c r="BT32" s="134">
        <v>49</v>
      </c>
      <c r="BU32" s="134">
        <v>359</v>
      </c>
      <c r="BV32" s="134">
        <v>408</v>
      </c>
      <c r="BW32" s="134">
        <v>2012</v>
      </c>
      <c r="BX32" s="134">
        <v>18072</v>
      </c>
      <c r="BY32" s="134">
        <v>20084</v>
      </c>
      <c r="BZ32" s="134">
        <v>1993</v>
      </c>
      <c r="CA32" s="134">
        <v>17877</v>
      </c>
      <c r="CB32" s="134">
        <v>19870</v>
      </c>
      <c r="CC32" s="134">
        <v>43414</v>
      </c>
      <c r="CD32" s="134">
        <v>11</v>
      </c>
      <c r="CE32" s="134">
        <v>190</v>
      </c>
      <c r="CF32" s="134">
        <v>19</v>
      </c>
      <c r="CG32" s="134">
        <v>163</v>
      </c>
      <c r="CH32" s="134">
        <v>182</v>
      </c>
      <c r="CI32" s="134">
        <v>41</v>
      </c>
      <c r="CJ32" s="134">
        <v>5</v>
      </c>
      <c r="CK32" s="134">
        <v>0</v>
      </c>
      <c r="CL32" s="134">
        <v>32</v>
      </c>
      <c r="CM32" s="134">
        <v>32</v>
      </c>
      <c r="CN32" s="134">
        <v>114</v>
      </c>
      <c r="CO32" s="134">
        <v>1794</v>
      </c>
      <c r="CP32" s="134">
        <v>1908</v>
      </c>
      <c r="CQ32" s="134">
        <v>0</v>
      </c>
      <c r="CR32" s="134">
        <v>2</v>
      </c>
      <c r="CS32" s="134">
        <v>2</v>
      </c>
      <c r="CT32" s="134">
        <v>1898</v>
      </c>
      <c r="CU32" s="134">
        <v>16278</v>
      </c>
      <c r="CV32" s="134">
        <v>18176</v>
      </c>
      <c r="CW32" s="134">
        <v>192</v>
      </c>
      <c r="CX32" s="134">
        <v>638</v>
      </c>
      <c r="CY32" s="134">
        <v>830</v>
      </c>
      <c r="CZ32" s="134">
        <v>190</v>
      </c>
      <c r="DA32" s="134">
        <v>2</v>
      </c>
      <c r="DB32" s="134">
        <v>0</v>
      </c>
      <c r="DC32" s="134">
        <v>603</v>
      </c>
      <c r="DD32" s="134">
        <v>4</v>
      </c>
      <c r="DE32" s="134">
        <v>1</v>
      </c>
      <c r="DF32" s="134">
        <v>192</v>
      </c>
      <c r="DG32" s="134">
        <v>608</v>
      </c>
      <c r="DH32" s="134">
        <v>800</v>
      </c>
      <c r="DI32" s="134">
        <v>0</v>
      </c>
      <c r="DJ32" s="134">
        <v>0</v>
      </c>
      <c r="DK32" s="134">
        <v>0</v>
      </c>
      <c r="DL32" s="134">
        <v>30</v>
      </c>
      <c r="DM32" s="134">
        <v>0</v>
      </c>
      <c r="DN32" s="134">
        <v>0</v>
      </c>
      <c r="DO32" s="134">
        <v>0</v>
      </c>
      <c r="DP32" s="134">
        <v>30</v>
      </c>
      <c r="DQ32" s="134">
        <v>30</v>
      </c>
      <c r="DR32" s="134">
        <v>0</v>
      </c>
      <c r="DS32" s="134">
        <v>0</v>
      </c>
      <c r="DT32" s="135">
        <v>0</v>
      </c>
      <c r="DV32" s="136"/>
      <c r="DW32" s="137"/>
      <c r="DX32" s="136"/>
      <c r="DY32" s="136"/>
    </row>
    <row r="33" spans="1:129" s="116" customFormat="1">
      <c r="A33" s="133" t="s">
        <v>302</v>
      </c>
      <c r="B33" s="134">
        <v>308</v>
      </c>
      <c r="C33" s="134">
        <v>82</v>
      </c>
      <c r="D33" s="134">
        <v>308</v>
      </c>
      <c r="E33" s="134">
        <v>133</v>
      </c>
      <c r="F33" s="134">
        <v>1</v>
      </c>
      <c r="G33" s="134">
        <v>8</v>
      </c>
      <c r="H33" s="134">
        <v>9</v>
      </c>
      <c r="I33" s="134">
        <v>0</v>
      </c>
      <c r="J33" s="134">
        <v>138</v>
      </c>
      <c r="K33" s="134">
        <v>138</v>
      </c>
      <c r="L33" s="134">
        <v>0</v>
      </c>
      <c r="M33" s="134">
        <v>53</v>
      </c>
      <c r="N33" s="134">
        <v>53</v>
      </c>
      <c r="O33" s="134">
        <v>0</v>
      </c>
      <c r="P33" s="134">
        <v>85</v>
      </c>
      <c r="Q33" s="134">
        <v>85</v>
      </c>
      <c r="R33" s="134">
        <v>0</v>
      </c>
      <c r="S33" s="134">
        <v>5</v>
      </c>
      <c r="T33" s="134">
        <v>5</v>
      </c>
      <c r="U33" s="134">
        <v>0</v>
      </c>
      <c r="V33" s="134">
        <v>37</v>
      </c>
      <c r="W33" s="134">
        <v>37</v>
      </c>
      <c r="X33" s="134">
        <v>3</v>
      </c>
      <c r="Y33" s="134">
        <v>305</v>
      </c>
      <c r="Z33" s="134">
        <v>308</v>
      </c>
      <c r="AA33" s="134">
        <v>1</v>
      </c>
      <c r="AB33" s="134">
        <v>88</v>
      </c>
      <c r="AC33" s="134">
        <v>89</v>
      </c>
      <c r="AD33" s="134">
        <v>1</v>
      </c>
      <c r="AE33" s="134">
        <v>80</v>
      </c>
      <c r="AF33" s="134">
        <v>81</v>
      </c>
      <c r="AG33" s="134">
        <v>0</v>
      </c>
      <c r="AH33" s="134">
        <v>3</v>
      </c>
      <c r="AI33" s="134">
        <v>3</v>
      </c>
      <c r="AJ33" s="134">
        <v>0</v>
      </c>
      <c r="AK33" s="134">
        <v>5</v>
      </c>
      <c r="AL33" s="134">
        <v>5</v>
      </c>
      <c r="AM33" s="134">
        <v>2</v>
      </c>
      <c r="AN33" s="134">
        <v>217</v>
      </c>
      <c r="AO33" s="134">
        <v>219</v>
      </c>
      <c r="AP33" s="134">
        <v>247</v>
      </c>
      <c r="AQ33" s="134">
        <v>2674</v>
      </c>
      <c r="AR33" s="134">
        <v>2921</v>
      </c>
      <c r="AS33" s="134">
        <v>247</v>
      </c>
      <c r="AT33" s="134">
        <v>2674</v>
      </c>
      <c r="AU33" s="134">
        <v>2921</v>
      </c>
      <c r="AV33" s="134">
        <v>0</v>
      </c>
      <c r="AW33" s="134">
        <v>0</v>
      </c>
      <c r="AX33" s="134">
        <v>0</v>
      </c>
      <c r="AY33" s="134">
        <v>5</v>
      </c>
      <c r="AZ33" s="134">
        <v>270</v>
      </c>
      <c r="BA33" s="134">
        <v>275</v>
      </c>
      <c r="BB33" s="134">
        <v>4</v>
      </c>
      <c r="BC33" s="134">
        <v>0</v>
      </c>
      <c r="BD33" s="134">
        <v>0</v>
      </c>
      <c r="BE33" s="134">
        <v>127</v>
      </c>
      <c r="BF33" s="134">
        <v>2</v>
      </c>
      <c r="BG33" s="134">
        <v>0</v>
      </c>
      <c r="BH33" s="134">
        <v>4</v>
      </c>
      <c r="BI33" s="134">
        <v>129</v>
      </c>
      <c r="BJ33" s="134">
        <v>133</v>
      </c>
      <c r="BK33" s="134">
        <v>-10</v>
      </c>
      <c r="BL33" s="134">
        <v>10</v>
      </c>
      <c r="BM33" s="134">
        <v>0</v>
      </c>
      <c r="BN33" s="134">
        <v>0</v>
      </c>
      <c r="BO33" s="134">
        <v>13</v>
      </c>
      <c r="BP33" s="134">
        <v>13</v>
      </c>
      <c r="BQ33" s="134">
        <v>2</v>
      </c>
      <c r="BR33" s="134">
        <v>17</v>
      </c>
      <c r="BS33" s="134">
        <v>19</v>
      </c>
      <c r="BT33" s="134">
        <v>9</v>
      </c>
      <c r="BU33" s="134">
        <v>101</v>
      </c>
      <c r="BV33" s="134">
        <v>110</v>
      </c>
      <c r="BW33" s="134">
        <v>252</v>
      </c>
      <c r="BX33" s="134">
        <v>2944</v>
      </c>
      <c r="BY33" s="134">
        <v>3196</v>
      </c>
      <c r="BZ33" s="134">
        <v>249</v>
      </c>
      <c r="CA33" s="134">
        <v>2891</v>
      </c>
      <c r="CB33" s="134">
        <v>3140</v>
      </c>
      <c r="CC33" s="134">
        <v>6281</v>
      </c>
      <c r="CD33" s="134">
        <v>3</v>
      </c>
      <c r="CE33" s="134">
        <v>57</v>
      </c>
      <c r="CF33" s="134">
        <v>3</v>
      </c>
      <c r="CG33" s="134">
        <v>49</v>
      </c>
      <c r="CH33" s="134">
        <v>52</v>
      </c>
      <c r="CI33" s="134">
        <v>5</v>
      </c>
      <c r="CJ33" s="134">
        <v>0</v>
      </c>
      <c r="CK33" s="134">
        <v>0</v>
      </c>
      <c r="CL33" s="134">
        <v>4</v>
      </c>
      <c r="CM33" s="134">
        <v>4</v>
      </c>
      <c r="CN33" s="134">
        <v>10</v>
      </c>
      <c r="CO33" s="134">
        <v>290</v>
      </c>
      <c r="CP33" s="134">
        <v>300</v>
      </c>
      <c r="CQ33" s="134">
        <v>0</v>
      </c>
      <c r="CR33" s="134">
        <v>0</v>
      </c>
      <c r="CS33" s="134">
        <v>0</v>
      </c>
      <c r="CT33" s="134">
        <v>242</v>
      </c>
      <c r="CU33" s="134">
        <v>2654</v>
      </c>
      <c r="CV33" s="134">
        <v>2896</v>
      </c>
      <c r="CW33" s="134">
        <v>28</v>
      </c>
      <c r="CX33" s="134">
        <v>107</v>
      </c>
      <c r="CY33" s="134">
        <v>135</v>
      </c>
      <c r="CZ33" s="134">
        <v>28</v>
      </c>
      <c r="DA33" s="134">
        <v>0</v>
      </c>
      <c r="DB33" s="134">
        <v>0</v>
      </c>
      <c r="DC33" s="134">
        <v>103</v>
      </c>
      <c r="DD33" s="134">
        <v>2</v>
      </c>
      <c r="DE33" s="134">
        <v>0</v>
      </c>
      <c r="DF33" s="134">
        <v>28</v>
      </c>
      <c r="DG33" s="134">
        <v>105</v>
      </c>
      <c r="DH33" s="134">
        <v>133</v>
      </c>
      <c r="DI33" s="134">
        <v>0</v>
      </c>
      <c r="DJ33" s="134">
        <v>0</v>
      </c>
      <c r="DK33" s="134">
        <v>0</v>
      </c>
      <c r="DL33" s="134">
        <v>2</v>
      </c>
      <c r="DM33" s="134">
        <v>0</v>
      </c>
      <c r="DN33" s="134">
        <v>0</v>
      </c>
      <c r="DO33" s="134">
        <v>0</v>
      </c>
      <c r="DP33" s="134">
        <v>2</v>
      </c>
      <c r="DQ33" s="134">
        <v>2</v>
      </c>
      <c r="DR33" s="134">
        <v>0</v>
      </c>
      <c r="DS33" s="134">
        <v>0</v>
      </c>
      <c r="DT33" s="135">
        <v>0</v>
      </c>
      <c r="DV33" s="136"/>
      <c r="DW33" s="137"/>
      <c r="DX33" s="136"/>
      <c r="DY33" s="136"/>
    </row>
    <row r="34" spans="1:129" s="116" customFormat="1">
      <c r="A34" s="133" t="s">
        <v>303</v>
      </c>
      <c r="B34" s="134">
        <v>363</v>
      </c>
      <c r="C34" s="134">
        <v>101</v>
      </c>
      <c r="D34" s="134">
        <v>349</v>
      </c>
      <c r="E34" s="134">
        <v>222</v>
      </c>
      <c r="F34" s="134">
        <v>0</v>
      </c>
      <c r="G34" s="134">
        <v>23</v>
      </c>
      <c r="H34" s="134">
        <v>23</v>
      </c>
      <c r="I34" s="134">
        <v>0</v>
      </c>
      <c r="J34" s="134">
        <v>119</v>
      </c>
      <c r="K34" s="134">
        <v>119</v>
      </c>
      <c r="L34" s="134">
        <v>0</v>
      </c>
      <c r="M34" s="134">
        <v>55</v>
      </c>
      <c r="N34" s="134">
        <v>55</v>
      </c>
      <c r="O34" s="134">
        <v>0</v>
      </c>
      <c r="P34" s="134">
        <v>64</v>
      </c>
      <c r="Q34" s="134">
        <v>64</v>
      </c>
      <c r="R34" s="134">
        <v>0</v>
      </c>
      <c r="S34" s="134">
        <v>10</v>
      </c>
      <c r="T34" s="134">
        <v>10</v>
      </c>
      <c r="U34" s="134">
        <v>0</v>
      </c>
      <c r="V34" s="134">
        <v>8</v>
      </c>
      <c r="W34" s="134">
        <v>8</v>
      </c>
      <c r="X34" s="134">
        <v>7</v>
      </c>
      <c r="Y34" s="134">
        <v>342</v>
      </c>
      <c r="Z34" s="134">
        <v>349</v>
      </c>
      <c r="AA34" s="134">
        <v>4</v>
      </c>
      <c r="AB34" s="134">
        <v>149</v>
      </c>
      <c r="AC34" s="134">
        <v>153</v>
      </c>
      <c r="AD34" s="134">
        <v>3</v>
      </c>
      <c r="AE34" s="134">
        <v>128</v>
      </c>
      <c r="AF34" s="134">
        <v>131</v>
      </c>
      <c r="AG34" s="134">
        <v>1</v>
      </c>
      <c r="AH34" s="134">
        <v>8</v>
      </c>
      <c r="AI34" s="134">
        <v>9</v>
      </c>
      <c r="AJ34" s="134">
        <v>0</v>
      </c>
      <c r="AK34" s="134">
        <v>13</v>
      </c>
      <c r="AL34" s="134">
        <v>13</v>
      </c>
      <c r="AM34" s="134">
        <v>3</v>
      </c>
      <c r="AN34" s="134">
        <v>193</v>
      </c>
      <c r="AO34" s="134">
        <v>196</v>
      </c>
      <c r="AP34" s="134">
        <v>229</v>
      </c>
      <c r="AQ34" s="134">
        <v>3564</v>
      </c>
      <c r="AR34" s="134">
        <v>3793</v>
      </c>
      <c r="AS34" s="134">
        <v>229</v>
      </c>
      <c r="AT34" s="134">
        <v>3564</v>
      </c>
      <c r="AU34" s="134">
        <v>3793</v>
      </c>
      <c r="AV34" s="134">
        <v>0</v>
      </c>
      <c r="AW34" s="134">
        <v>0</v>
      </c>
      <c r="AX34" s="134">
        <v>0</v>
      </c>
      <c r="AY34" s="134">
        <v>16</v>
      </c>
      <c r="AZ34" s="134">
        <v>393</v>
      </c>
      <c r="BA34" s="134">
        <v>409</v>
      </c>
      <c r="BB34" s="134">
        <v>8</v>
      </c>
      <c r="BC34" s="134">
        <v>0</v>
      </c>
      <c r="BD34" s="134">
        <v>0</v>
      </c>
      <c r="BE34" s="134">
        <v>212</v>
      </c>
      <c r="BF34" s="134">
        <v>2</v>
      </c>
      <c r="BG34" s="134">
        <v>0</v>
      </c>
      <c r="BH34" s="134">
        <v>8</v>
      </c>
      <c r="BI34" s="134">
        <v>214</v>
      </c>
      <c r="BJ34" s="134">
        <v>222</v>
      </c>
      <c r="BK34" s="134">
        <v>0</v>
      </c>
      <c r="BL34" s="134">
        <v>0</v>
      </c>
      <c r="BM34" s="134">
        <v>0</v>
      </c>
      <c r="BN34" s="134">
        <v>1</v>
      </c>
      <c r="BO34" s="134">
        <v>13</v>
      </c>
      <c r="BP34" s="134">
        <v>14</v>
      </c>
      <c r="BQ34" s="134">
        <v>2</v>
      </c>
      <c r="BR34" s="134">
        <v>63</v>
      </c>
      <c r="BS34" s="134">
        <v>65</v>
      </c>
      <c r="BT34" s="134">
        <v>5</v>
      </c>
      <c r="BU34" s="134">
        <v>103</v>
      </c>
      <c r="BV34" s="134">
        <v>108</v>
      </c>
      <c r="BW34" s="134">
        <v>245</v>
      </c>
      <c r="BX34" s="134">
        <v>3957</v>
      </c>
      <c r="BY34" s="134">
        <v>4202</v>
      </c>
      <c r="BZ34" s="134">
        <v>244</v>
      </c>
      <c r="CA34" s="134">
        <v>3945</v>
      </c>
      <c r="CB34" s="134">
        <v>4189</v>
      </c>
      <c r="CC34" s="134">
        <v>7233</v>
      </c>
      <c r="CD34" s="134">
        <v>2</v>
      </c>
      <c r="CE34" s="134">
        <v>10</v>
      </c>
      <c r="CF34" s="134">
        <v>1</v>
      </c>
      <c r="CG34" s="134">
        <v>11</v>
      </c>
      <c r="CH34" s="134">
        <v>12</v>
      </c>
      <c r="CI34" s="134">
        <v>1</v>
      </c>
      <c r="CJ34" s="134">
        <v>0</v>
      </c>
      <c r="CK34" s="134">
        <v>0</v>
      </c>
      <c r="CL34" s="134">
        <v>1</v>
      </c>
      <c r="CM34" s="134">
        <v>1</v>
      </c>
      <c r="CN34" s="134">
        <v>21</v>
      </c>
      <c r="CO34" s="134">
        <v>394</v>
      </c>
      <c r="CP34" s="134">
        <v>415</v>
      </c>
      <c r="CQ34" s="134">
        <v>0</v>
      </c>
      <c r="CR34" s="134">
        <v>3</v>
      </c>
      <c r="CS34" s="134">
        <v>3</v>
      </c>
      <c r="CT34" s="134">
        <v>224</v>
      </c>
      <c r="CU34" s="134">
        <v>3563</v>
      </c>
      <c r="CV34" s="134">
        <v>3787</v>
      </c>
      <c r="CW34" s="134">
        <v>14</v>
      </c>
      <c r="CX34" s="134">
        <v>171</v>
      </c>
      <c r="CY34" s="134">
        <v>185</v>
      </c>
      <c r="CZ34" s="134">
        <v>14</v>
      </c>
      <c r="DA34" s="134">
        <v>0</v>
      </c>
      <c r="DB34" s="134">
        <v>0</v>
      </c>
      <c r="DC34" s="134">
        <v>165</v>
      </c>
      <c r="DD34" s="134">
        <v>0</v>
      </c>
      <c r="DE34" s="134">
        <v>0</v>
      </c>
      <c r="DF34" s="134">
        <v>14</v>
      </c>
      <c r="DG34" s="134">
        <v>165</v>
      </c>
      <c r="DH34" s="134">
        <v>179</v>
      </c>
      <c r="DI34" s="134">
        <v>0</v>
      </c>
      <c r="DJ34" s="134">
        <v>0</v>
      </c>
      <c r="DK34" s="134">
        <v>0</v>
      </c>
      <c r="DL34" s="134">
        <v>6</v>
      </c>
      <c r="DM34" s="134">
        <v>0</v>
      </c>
      <c r="DN34" s="134">
        <v>0</v>
      </c>
      <c r="DO34" s="134">
        <v>0</v>
      </c>
      <c r="DP34" s="134">
        <v>6</v>
      </c>
      <c r="DQ34" s="134">
        <v>6</v>
      </c>
      <c r="DR34" s="134">
        <v>0</v>
      </c>
      <c r="DS34" s="134">
        <v>0</v>
      </c>
      <c r="DT34" s="135">
        <v>0</v>
      </c>
      <c r="DV34" s="136"/>
      <c r="DW34" s="137"/>
      <c r="DX34" s="136"/>
      <c r="DY34" s="136"/>
    </row>
    <row r="35" spans="1:129" s="116" customFormat="1">
      <c r="A35" s="133" t="s">
        <v>304</v>
      </c>
      <c r="B35" s="134">
        <v>7995</v>
      </c>
      <c r="C35" s="134">
        <v>1961</v>
      </c>
      <c r="D35" s="134">
        <v>7671</v>
      </c>
      <c r="E35" s="134">
        <v>5383</v>
      </c>
      <c r="F35" s="134">
        <v>6</v>
      </c>
      <c r="G35" s="134">
        <v>16</v>
      </c>
      <c r="H35" s="134">
        <v>22</v>
      </c>
      <c r="I35" s="134">
        <v>111</v>
      </c>
      <c r="J35" s="134">
        <v>1845</v>
      </c>
      <c r="K35" s="134">
        <v>1956</v>
      </c>
      <c r="L35" s="134">
        <v>67</v>
      </c>
      <c r="M35" s="134">
        <v>1107</v>
      </c>
      <c r="N35" s="134">
        <v>1174</v>
      </c>
      <c r="O35" s="134">
        <v>44</v>
      </c>
      <c r="P35" s="134">
        <v>738</v>
      </c>
      <c r="Q35" s="134">
        <v>782</v>
      </c>
      <c r="R35" s="134">
        <v>4</v>
      </c>
      <c r="S35" s="134">
        <v>65</v>
      </c>
      <c r="T35" s="134">
        <v>69</v>
      </c>
      <c r="U35" s="134">
        <v>44</v>
      </c>
      <c r="V35" s="134">
        <v>288</v>
      </c>
      <c r="W35" s="134">
        <v>332</v>
      </c>
      <c r="X35" s="134">
        <v>119</v>
      </c>
      <c r="Y35" s="134">
        <v>6222</v>
      </c>
      <c r="Z35" s="134">
        <v>6341</v>
      </c>
      <c r="AA35" s="134">
        <v>63</v>
      </c>
      <c r="AB35" s="134">
        <v>2321</v>
      </c>
      <c r="AC35" s="134">
        <v>2384</v>
      </c>
      <c r="AD35" s="134">
        <v>63</v>
      </c>
      <c r="AE35" s="134">
        <v>2307</v>
      </c>
      <c r="AF35" s="134">
        <v>2370</v>
      </c>
      <c r="AG35" s="134">
        <v>0</v>
      </c>
      <c r="AH35" s="134">
        <v>9</v>
      </c>
      <c r="AI35" s="134">
        <v>9</v>
      </c>
      <c r="AJ35" s="134">
        <v>0</v>
      </c>
      <c r="AK35" s="134">
        <v>5</v>
      </c>
      <c r="AL35" s="134">
        <v>5</v>
      </c>
      <c r="AM35" s="134">
        <v>56</v>
      </c>
      <c r="AN35" s="134">
        <v>3901</v>
      </c>
      <c r="AO35" s="134">
        <v>3957</v>
      </c>
      <c r="AP35" s="134">
        <v>9003</v>
      </c>
      <c r="AQ35" s="134">
        <v>97302</v>
      </c>
      <c r="AR35" s="134">
        <v>106305</v>
      </c>
      <c r="AS35" s="134">
        <v>9088</v>
      </c>
      <c r="AT35" s="134">
        <v>97225</v>
      </c>
      <c r="AU35" s="134">
        <v>106313</v>
      </c>
      <c r="AV35" s="134">
        <v>-85</v>
      </c>
      <c r="AW35" s="134">
        <v>77</v>
      </c>
      <c r="AX35" s="134">
        <v>-8</v>
      </c>
      <c r="AY35" s="134">
        <v>483</v>
      </c>
      <c r="AZ35" s="134">
        <v>9445</v>
      </c>
      <c r="BA35" s="134">
        <v>9928</v>
      </c>
      <c r="BB35" s="134">
        <v>288</v>
      </c>
      <c r="BC35" s="134">
        <v>7</v>
      </c>
      <c r="BD35" s="134">
        <v>0</v>
      </c>
      <c r="BE35" s="134">
        <v>4929</v>
      </c>
      <c r="BF35" s="134">
        <v>92</v>
      </c>
      <c r="BG35" s="134">
        <v>67</v>
      </c>
      <c r="BH35" s="134">
        <v>295</v>
      </c>
      <c r="BI35" s="134">
        <v>5088</v>
      </c>
      <c r="BJ35" s="134">
        <v>5383</v>
      </c>
      <c r="BK35" s="134">
        <v>-121</v>
      </c>
      <c r="BL35" s="134">
        <v>121</v>
      </c>
      <c r="BM35" s="134">
        <v>0</v>
      </c>
      <c r="BN35" s="134">
        <v>9</v>
      </c>
      <c r="BO35" s="134">
        <v>83</v>
      </c>
      <c r="BP35" s="134">
        <v>92</v>
      </c>
      <c r="BQ35" s="134">
        <v>44</v>
      </c>
      <c r="BR35" s="134">
        <v>934</v>
      </c>
      <c r="BS35" s="134">
        <v>978</v>
      </c>
      <c r="BT35" s="134">
        <v>256</v>
      </c>
      <c r="BU35" s="134">
        <v>3219</v>
      </c>
      <c r="BV35" s="134">
        <v>3475</v>
      </c>
      <c r="BW35" s="134">
        <v>9486</v>
      </c>
      <c r="BX35" s="134">
        <v>106747</v>
      </c>
      <c r="BY35" s="134">
        <v>116233</v>
      </c>
      <c r="BZ35" s="134">
        <v>9303</v>
      </c>
      <c r="CA35" s="134">
        <v>103581</v>
      </c>
      <c r="CB35" s="134">
        <v>112884</v>
      </c>
      <c r="CC35" s="134">
        <v>235412</v>
      </c>
      <c r="CD35" s="134">
        <v>257</v>
      </c>
      <c r="CE35" s="134">
        <v>2954</v>
      </c>
      <c r="CF35" s="134">
        <v>181</v>
      </c>
      <c r="CG35" s="134">
        <v>2044</v>
      </c>
      <c r="CH35" s="134">
        <v>2225</v>
      </c>
      <c r="CI35" s="134">
        <v>1525</v>
      </c>
      <c r="CJ35" s="134">
        <v>20</v>
      </c>
      <c r="CK35" s="134">
        <v>2</v>
      </c>
      <c r="CL35" s="134">
        <v>1122</v>
      </c>
      <c r="CM35" s="134">
        <v>1124</v>
      </c>
      <c r="CN35" s="134">
        <v>447</v>
      </c>
      <c r="CO35" s="134">
        <v>8569</v>
      </c>
      <c r="CP35" s="134">
        <v>9016</v>
      </c>
      <c r="CQ35" s="134">
        <v>0</v>
      </c>
      <c r="CR35" s="134">
        <v>0</v>
      </c>
      <c r="CS35" s="134">
        <v>0</v>
      </c>
      <c r="CT35" s="134">
        <v>9039</v>
      </c>
      <c r="CU35" s="134">
        <v>98178</v>
      </c>
      <c r="CV35" s="134">
        <v>107217</v>
      </c>
      <c r="CW35" s="134">
        <v>726</v>
      </c>
      <c r="CX35" s="134">
        <v>6673</v>
      </c>
      <c r="CY35" s="134">
        <v>7399</v>
      </c>
      <c r="CZ35" s="134">
        <v>699</v>
      </c>
      <c r="DA35" s="134">
        <v>11</v>
      </c>
      <c r="DB35" s="134">
        <v>0</v>
      </c>
      <c r="DC35" s="134">
        <v>5415</v>
      </c>
      <c r="DD35" s="134">
        <v>132</v>
      </c>
      <c r="DE35" s="134">
        <v>42</v>
      </c>
      <c r="DF35" s="134">
        <v>710</v>
      </c>
      <c r="DG35" s="134">
        <v>5589</v>
      </c>
      <c r="DH35" s="134">
        <v>6299</v>
      </c>
      <c r="DI35" s="134">
        <v>15</v>
      </c>
      <c r="DJ35" s="134">
        <v>1</v>
      </c>
      <c r="DK35" s="134">
        <v>0</v>
      </c>
      <c r="DL35" s="134">
        <v>1042</v>
      </c>
      <c r="DM35" s="134">
        <v>32</v>
      </c>
      <c r="DN35" s="134">
        <v>10</v>
      </c>
      <c r="DO35" s="134">
        <v>16</v>
      </c>
      <c r="DP35" s="134">
        <v>1084</v>
      </c>
      <c r="DQ35" s="134">
        <v>1100</v>
      </c>
      <c r="DR35" s="134">
        <v>1</v>
      </c>
      <c r="DS35" s="134">
        <v>0</v>
      </c>
      <c r="DT35" s="135">
        <v>1</v>
      </c>
      <c r="DV35" s="136"/>
      <c r="DW35" s="137"/>
      <c r="DX35" s="136"/>
      <c r="DY35" s="136"/>
    </row>
    <row r="36" spans="1:129" s="116" customFormat="1">
      <c r="A36" s="133" t="s">
        <v>305</v>
      </c>
      <c r="B36" s="134">
        <v>779</v>
      </c>
      <c r="C36" s="134">
        <v>425</v>
      </c>
      <c r="D36" s="134">
        <v>626</v>
      </c>
      <c r="E36" s="134">
        <v>311</v>
      </c>
      <c r="F36" s="134">
        <v>0</v>
      </c>
      <c r="G36" s="134">
        <v>0</v>
      </c>
      <c r="H36" s="134">
        <v>0</v>
      </c>
      <c r="I36" s="134">
        <v>0</v>
      </c>
      <c r="J36" s="134">
        <v>267</v>
      </c>
      <c r="K36" s="134">
        <v>267</v>
      </c>
      <c r="L36" s="134">
        <v>0</v>
      </c>
      <c r="M36" s="134">
        <v>61</v>
      </c>
      <c r="N36" s="134">
        <v>61</v>
      </c>
      <c r="O36" s="134">
        <v>0</v>
      </c>
      <c r="P36" s="134">
        <v>206</v>
      </c>
      <c r="Q36" s="134">
        <v>206</v>
      </c>
      <c r="R36" s="134">
        <v>0</v>
      </c>
      <c r="S36" s="134">
        <v>14</v>
      </c>
      <c r="T36" s="134">
        <v>14</v>
      </c>
      <c r="U36" s="134">
        <v>0</v>
      </c>
      <c r="V36" s="134">
        <v>48</v>
      </c>
      <c r="W36" s="134">
        <v>48</v>
      </c>
      <c r="X36" s="134">
        <v>3</v>
      </c>
      <c r="Y36" s="134">
        <v>505</v>
      </c>
      <c r="Z36" s="134">
        <v>508</v>
      </c>
      <c r="AA36" s="134">
        <v>3</v>
      </c>
      <c r="AB36" s="134">
        <v>221</v>
      </c>
      <c r="AC36" s="134">
        <v>224</v>
      </c>
      <c r="AD36" s="134">
        <v>3</v>
      </c>
      <c r="AE36" s="134">
        <v>195</v>
      </c>
      <c r="AF36" s="134">
        <v>198</v>
      </c>
      <c r="AG36" s="134">
        <v>0</v>
      </c>
      <c r="AH36" s="134">
        <v>17</v>
      </c>
      <c r="AI36" s="134">
        <v>17</v>
      </c>
      <c r="AJ36" s="134">
        <v>0</v>
      </c>
      <c r="AK36" s="134">
        <v>9</v>
      </c>
      <c r="AL36" s="134">
        <v>9</v>
      </c>
      <c r="AM36" s="134">
        <v>0</v>
      </c>
      <c r="AN36" s="134">
        <v>284</v>
      </c>
      <c r="AO36" s="134">
        <v>284</v>
      </c>
      <c r="AP36" s="134">
        <v>588</v>
      </c>
      <c r="AQ36" s="134">
        <v>7523</v>
      </c>
      <c r="AR36" s="134">
        <v>8111</v>
      </c>
      <c r="AS36" s="134">
        <v>574</v>
      </c>
      <c r="AT36" s="134">
        <v>7286</v>
      </c>
      <c r="AU36" s="134">
        <v>7860</v>
      </c>
      <c r="AV36" s="134">
        <v>14</v>
      </c>
      <c r="AW36" s="134">
        <v>237</v>
      </c>
      <c r="AX36" s="134">
        <v>251</v>
      </c>
      <c r="AY36" s="134">
        <v>47</v>
      </c>
      <c r="AZ36" s="134">
        <v>599</v>
      </c>
      <c r="BA36" s="134">
        <v>646</v>
      </c>
      <c r="BB36" s="134">
        <v>23</v>
      </c>
      <c r="BC36" s="134">
        <v>1</v>
      </c>
      <c r="BD36" s="134">
        <v>0</v>
      </c>
      <c r="BE36" s="134">
        <v>286</v>
      </c>
      <c r="BF36" s="134">
        <v>1</v>
      </c>
      <c r="BG36" s="134">
        <v>0</v>
      </c>
      <c r="BH36" s="134">
        <v>24</v>
      </c>
      <c r="BI36" s="134">
        <v>287</v>
      </c>
      <c r="BJ36" s="134">
        <v>311</v>
      </c>
      <c r="BK36" s="134">
        <v>-10</v>
      </c>
      <c r="BL36" s="134">
        <v>10</v>
      </c>
      <c r="BM36" s="134">
        <v>0</v>
      </c>
      <c r="BN36" s="134">
        <v>7</v>
      </c>
      <c r="BO36" s="134">
        <v>15</v>
      </c>
      <c r="BP36" s="134">
        <v>22</v>
      </c>
      <c r="BQ36" s="134">
        <v>6</v>
      </c>
      <c r="BR36" s="134">
        <v>89</v>
      </c>
      <c r="BS36" s="134">
        <v>95</v>
      </c>
      <c r="BT36" s="134">
        <v>20</v>
      </c>
      <c r="BU36" s="134">
        <v>198</v>
      </c>
      <c r="BV36" s="134">
        <v>218</v>
      </c>
      <c r="BW36" s="134">
        <v>635</v>
      </c>
      <c r="BX36" s="134">
        <v>8122</v>
      </c>
      <c r="BY36" s="134">
        <v>8757</v>
      </c>
      <c r="BZ36" s="134">
        <v>622</v>
      </c>
      <c r="CA36" s="134">
        <v>8050</v>
      </c>
      <c r="CB36" s="134">
        <v>8672</v>
      </c>
      <c r="CC36" s="134">
        <v>15946</v>
      </c>
      <c r="CD36" s="134">
        <v>0</v>
      </c>
      <c r="CE36" s="134">
        <v>72</v>
      </c>
      <c r="CF36" s="134">
        <v>12</v>
      </c>
      <c r="CG36" s="134">
        <v>38</v>
      </c>
      <c r="CH36" s="134">
        <v>50</v>
      </c>
      <c r="CI36" s="134">
        <v>47</v>
      </c>
      <c r="CJ36" s="134">
        <v>7</v>
      </c>
      <c r="CK36" s="134">
        <v>1</v>
      </c>
      <c r="CL36" s="134">
        <v>34</v>
      </c>
      <c r="CM36" s="134">
        <v>35</v>
      </c>
      <c r="CN36" s="134">
        <v>40</v>
      </c>
      <c r="CO36" s="134">
        <v>817</v>
      </c>
      <c r="CP36" s="134">
        <v>857</v>
      </c>
      <c r="CQ36" s="134">
        <v>0</v>
      </c>
      <c r="CR36" s="134">
        <v>0</v>
      </c>
      <c r="CS36" s="134">
        <v>0</v>
      </c>
      <c r="CT36" s="134">
        <v>595</v>
      </c>
      <c r="CU36" s="134">
        <v>7305</v>
      </c>
      <c r="CV36" s="134">
        <v>7900</v>
      </c>
      <c r="CW36" s="134">
        <v>31</v>
      </c>
      <c r="CX36" s="134">
        <v>325</v>
      </c>
      <c r="CY36" s="134">
        <v>356</v>
      </c>
      <c r="CZ36" s="134">
        <v>29</v>
      </c>
      <c r="DA36" s="134">
        <v>2</v>
      </c>
      <c r="DB36" s="134">
        <v>0</v>
      </c>
      <c r="DC36" s="134">
        <v>318</v>
      </c>
      <c r="DD36" s="134">
        <v>1</v>
      </c>
      <c r="DE36" s="134">
        <v>0</v>
      </c>
      <c r="DF36" s="134">
        <v>31</v>
      </c>
      <c r="DG36" s="134">
        <v>319</v>
      </c>
      <c r="DH36" s="134">
        <v>350</v>
      </c>
      <c r="DI36" s="134">
        <v>0</v>
      </c>
      <c r="DJ36" s="134">
        <v>0</v>
      </c>
      <c r="DK36" s="134">
        <v>0</v>
      </c>
      <c r="DL36" s="134">
        <v>6</v>
      </c>
      <c r="DM36" s="134">
        <v>0</v>
      </c>
      <c r="DN36" s="134">
        <v>0</v>
      </c>
      <c r="DO36" s="134">
        <v>0</v>
      </c>
      <c r="DP36" s="134">
        <v>6</v>
      </c>
      <c r="DQ36" s="134">
        <v>6</v>
      </c>
      <c r="DR36" s="134">
        <v>0</v>
      </c>
      <c r="DS36" s="134">
        <v>0</v>
      </c>
      <c r="DT36" s="135">
        <v>0</v>
      </c>
      <c r="DV36" s="136"/>
      <c r="DW36" s="137"/>
      <c r="DX36" s="136"/>
      <c r="DY36" s="136"/>
    </row>
    <row r="37" spans="1:129" s="116" customFormat="1">
      <c r="A37" s="133" t="s">
        <v>306</v>
      </c>
      <c r="B37" s="134">
        <v>142</v>
      </c>
      <c r="C37" s="134">
        <v>21</v>
      </c>
      <c r="D37" s="134">
        <v>122</v>
      </c>
      <c r="E37" s="134">
        <v>84</v>
      </c>
      <c r="F37" s="134">
        <v>0</v>
      </c>
      <c r="G37" s="134">
        <v>1</v>
      </c>
      <c r="H37" s="134">
        <v>1</v>
      </c>
      <c r="I37" s="134">
        <v>0</v>
      </c>
      <c r="J37" s="134">
        <v>34</v>
      </c>
      <c r="K37" s="134">
        <v>34</v>
      </c>
      <c r="L37" s="134">
        <v>0</v>
      </c>
      <c r="M37" s="134">
        <v>15</v>
      </c>
      <c r="N37" s="134">
        <v>15</v>
      </c>
      <c r="O37" s="134">
        <v>0</v>
      </c>
      <c r="P37" s="134">
        <v>19</v>
      </c>
      <c r="Q37" s="134">
        <v>19</v>
      </c>
      <c r="R37" s="134">
        <v>0</v>
      </c>
      <c r="S37" s="134">
        <v>2</v>
      </c>
      <c r="T37" s="134">
        <v>2</v>
      </c>
      <c r="U37" s="134">
        <v>0</v>
      </c>
      <c r="V37" s="134">
        <v>4</v>
      </c>
      <c r="W37" s="134">
        <v>4</v>
      </c>
      <c r="X37" s="134">
        <v>5</v>
      </c>
      <c r="Y37" s="134">
        <v>117</v>
      </c>
      <c r="Z37" s="134">
        <v>122</v>
      </c>
      <c r="AA37" s="134">
        <v>1</v>
      </c>
      <c r="AB37" s="134">
        <v>65</v>
      </c>
      <c r="AC37" s="134">
        <v>66</v>
      </c>
      <c r="AD37" s="134">
        <v>1</v>
      </c>
      <c r="AE37" s="134">
        <v>61</v>
      </c>
      <c r="AF37" s="134">
        <v>62</v>
      </c>
      <c r="AG37" s="134">
        <v>0</v>
      </c>
      <c r="AH37" s="134">
        <v>3</v>
      </c>
      <c r="AI37" s="134">
        <v>3</v>
      </c>
      <c r="AJ37" s="134">
        <v>0</v>
      </c>
      <c r="AK37" s="134">
        <v>1</v>
      </c>
      <c r="AL37" s="134">
        <v>1</v>
      </c>
      <c r="AM37" s="134">
        <v>4</v>
      </c>
      <c r="AN37" s="134">
        <v>52</v>
      </c>
      <c r="AO37" s="134">
        <v>56</v>
      </c>
      <c r="AP37" s="134">
        <v>63</v>
      </c>
      <c r="AQ37" s="134">
        <v>926</v>
      </c>
      <c r="AR37" s="134">
        <v>989</v>
      </c>
      <c r="AS37" s="134">
        <v>63</v>
      </c>
      <c r="AT37" s="134">
        <v>926</v>
      </c>
      <c r="AU37" s="134">
        <v>989</v>
      </c>
      <c r="AV37" s="134">
        <v>0</v>
      </c>
      <c r="AW37" s="134">
        <v>0</v>
      </c>
      <c r="AX37" s="134">
        <v>0</v>
      </c>
      <c r="AY37" s="134">
        <v>0</v>
      </c>
      <c r="AZ37" s="134">
        <v>121</v>
      </c>
      <c r="BA37" s="134">
        <v>121</v>
      </c>
      <c r="BB37" s="134">
        <v>5</v>
      </c>
      <c r="BC37" s="134">
        <v>0</v>
      </c>
      <c r="BD37" s="134">
        <v>0</v>
      </c>
      <c r="BE37" s="134">
        <v>79</v>
      </c>
      <c r="BF37" s="134">
        <v>0</v>
      </c>
      <c r="BG37" s="134">
        <v>0</v>
      </c>
      <c r="BH37" s="134">
        <v>5</v>
      </c>
      <c r="BI37" s="134">
        <v>79</v>
      </c>
      <c r="BJ37" s="134">
        <v>84</v>
      </c>
      <c r="BK37" s="134">
        <v>-6</v>
      </c>
      <c r="BL37" s="134">
        <v>6</v>
      </c>
      <c r="BM37" s="134">
        <v>0</v>
      </c>
      <c r="BN37" s="134">
        <v>0</v>
      </c>
      <c r="BO37" s="134">
        <v>0</v>
      </c>
      <c r="BP37" s="134">
        <v>0</v>
      </c>
      <c r="BQ37" s="134">
        <v>1</v>
      </c>
      <c r="BR37" s="134">
        <v>16</v>
      </c>
      <c r="BS37" s="134">
        <v>17</v>
      </c>
      <c r="BT37" s="134">
        <v>0</v>
      </c>
      <c r="BU37" s="134">
        <v>20</v>
      </c>
      <c r="BV37" s="134">
        <v>20</v>
      </c>
      <c r="BW37" s="134">
        <v>63</v>
      </c>
      <c r="BX37" s="134">
        <v>1047</v>
      </c>
      <c r="BY37" s="134">
        <v>1110</v>
      </c>
      <c r="BZ37" s="134">
        <v>63</v>
      </c>
      <c r="CA37" s="134">
        <v>1046</v>
      </c>
      <c r="CB37" s="134">
        <v>1109</v>
      </c>
      <c r="CC37" s="134">
        <v>1997</v>
      </c>
      <c r="CD37" s="134">
        <v>0</v>
      </c>
      <c r="CE37" s="134">
        <v>1</v>
      </c>
      <c r="CF37" s="134">
        <v>0</v>
      </c>
      <c r="CG37" s="134">
        <v>1</v>
      </c>
      <c r="CH37" s="134">
        <v>1</v>
      </c>
      <c r="CI37" s="134">
        <v>0</v>
      </c>
      <c r="CJ37" s="134">
        <v>0</v>
      </c>
      <c r="CK37" s="134">
        <v>0</v>
      </c>
      <c r="CL37" s="134">
        <v>0</v>
      </c>
      <c r="CM37" s="134">
        <v>0</v>
      </c>
      <c r="CN37" s="134">
        <v>5</v>
      </c>
      <c r="CO37" s="134">
        <v>117</v>
      </c>
      <c r="CP37" s="134">
        <v>122</v>
      </c>
      <c r="CQ37" s="134">
        <v>0</v>
      </c>
      <c r="CR37" s="134">
        <v>0</v>
      </c>
      <c r="CS37" s="134">
        <v>0</v>
      </c>
      <c r="CT37" s="134">
        <v>58</v>
      </c>
      <c r="CU37" s="134">
        <v>930</v>
      </c>
      <c r="CV37" s="134">
        <v>988</v>
      </c>
      <c r="CW37" s="134">
        <v>3</v>
      </c>
      <c r="CX37" s="134">
        <v>51</v>
      </c>
      <c r="CY37" s="134">
        <v>54</v>
      </c>
      <c r="CZ37" s="134">
        <v>3</v>
      </c>
      <c r="DA37" s="134">
        <v>0</v>
      </c>
      <c r="DB37" s="134">
        <v>0</v>
      </c>
      <c r="DC37" s="134">
        <v>51</v>
      </c>
      <c r="DD37" s="134">
        <v>0</v>
      </c>
      <c r="DE37" s="134">
        <v>0</v>
      </c>
      <c r="DF37" s="134">
        <v>3</v>
      </c>
      <c r="DG37" s="134">
        <v>51</v>
      </c>
      <c r="DH37" s="134">
        <v>54</v>
      </c>
      <c r="DI37" s="134">
        <v>0</v>
      </c>
      <c r="DJ37" s="134">
        <v>0</v>
      </c>
      <c r="DK37" s="134">
        <v>0</v>
      </c>
      <c r="DL37" s="134">
        <v>0</v>
      </c>
      <c r="DM37" s="134">
        <v>0</v>
      </c>
      <c r="DN37" s="134">
        <v>0</v>
      </c>
      <c r="DO37" s="134">
        <v>0</v>
      </c>
      <c r="DP37" s="134">
        <v>0</v>
      </c>
      <c r="DQ37" s="134">
        <v>0</v>
      </c>
      <c r="DR37" s="134">
        <v>0</v>
      </c>
      <c r="DS37" s="134">
        <v>0</v>
      </c>
      <c r="DT37" s="135">
        <v>0</v>
      </c>
      <c r="DV37" s="136"/>
      <c r="DW37" s="137"/>
      <c r="DX37" s="136"/>
      <c r="DY37" s="136"/>
    </row>
    <row r="38" spans="1:129" s="116" customFormat="1">
      <c r="A38" s="133" t="s">
        <v>307</v>
      </c>
      <c r="B38" s="134">
        <v>12191</v>
      </c>
      <c r="C38" s="134">
        <v>3601</v>
      </c>
      <c r="D38" s="134">
        <v>12316</v>
      </c>
      <c r="E38" s="134">
        <v>7077</v>
      </c>
      <c r="F38" s="134">
        <v>1</v>
      </c>
      <c r="G38" s="134">
        <v>30</v>
      </c>
      <c r="H38" s="134">
        <v>31</v>
      </c>
      <c r="I38" s="134">
        <v>8</v>
      </c>
      <c r="J38" s="134">
        <v>4788</v>
      </c>
      <c r="K38" s="134">
        <v>4796</v>
      </c>
      <c r="L38" s="134">
        <v>7</v>
      </c>
      <c r="M38" s="134">
        <v>1846</v>
      </c>
      <c r="N38" s="134">
        <v>1853</v>
      </c>
      <c r="O38" s="134">
        <v>1</v>
      </c>
      <c r="P38" s="134">
        <v>2942</v>
      </c>
      <c r="Q38" s="134">
        <v>2943</v>
      </c>
      <c r="R38" s="134">
        <v>1</v>
      </c>
      <c r="S38" s="134">
        <v>13</v>
      </c>
      <c r="T38" s="134">
        <v>14</v>
      </c>
      <c r="U38" s="134">
        <v>0</v>
      </c>
      <c r="V38" s="134">
        <v>443</v>
      </c>
      <c r="W38" s="134">
        <v>443</v>
      </c>
      <c r="X38" s="134">
        <v>327</v>
      </c>
      <c r="Y38" s="134">
        <v>11988</v>
      </c>
      <c r="Z38" s="134">
        <v>12315</v>
      </c>
      <c r="AA38" s="134">
        <v>223</v>
      </c>
      <c r="AB38" s="134">
        <v>4565</v>
      </c>
      <c r="AC38" s="134">
        <v>4788</v>
      </c>
      <c r="AD38" s="134">
        <v>209</v>
      </c>
      <c r="AE38" s="134">
        <v>4283</v>
      </c>
      <c r="AF38" s="134">
        <v>4492</v>
      </c>
      <c r="AG38" s="134">
        <v>3</v>
      </c>
      <c r="AH38" s="134">
        <v>162</v>
      </c>
      <c r="AI38" s="134">
        <v>165</v>
      </c>
      <c r="AJ38" s="134">
        <v>11</v>
      </c>
      <c r="AK38" s="134">
        <v>120</v>
      </c>
      <c r="AL38" s="134">
        <v>131</v>
      </c>
      <c r="AM38" s="134">
        <v>104</v>
      </c>
      <c r="AN38" s="134">
        <v>7423</v>
      </c>
      <c r="AO38" s="134">
        <v>7527</v>
      </c>
      <c r="AP38" s="134">
        <v>13492</v>
      </c>
      <c r="AQ38" s="134">
        <v>99832</v>
      </c>
      <c r="AR38" s="134">
        <v>113324</v>
      </c>
      <c r="AS38" s="134">
        <v>13492</v>
      </c>
      <c r="AT38" s="134">
        <v>99832</v>
      </c>
      <c r="AU38" s="134">
        <v>113324</v>
      </c>
      <c r="AV38" s="134">
        <v>0</v>
      </c>
      <c r="AW38" s="134">
        <v>0</v>
      </c>
      <c r="AX38" s="134">
        <v>0</v>
      </c>
      <c r="AY38" s="134">
        <v>951</v>
      </c>
      <c r="AZ38" s="134">
        <v>10839</v>
      </c>
      <c r="BA38" s="134">
        <v>11790</v>
      </c>
      <c r="BB38" s="134">
        <v>387</v>
      </c>
      <c r="BC38" s="134">
        <v>7</v>
      </c>
      <c r="BD38" s="134">
        <v>0</v>
      </c>
      <c r="BE38" s="134">
        <v>6628</v>
      </c>
      <c r="BF38" s="134">
        <v>39</v>
      </c>
      <c r="BG38" s="134">
        <v>16</v>
      </c>
      <c r="BH38" s="134">
        <v>394</v>
      </c>
      <c r="BI38" s="134">
        <v>6683</v>
      </c>
      <c r="BJ38" s="134">
        <v>7077</v>
      </c>
      <c r="BK38" s="134">
        <v>47</v>
      </c>
      <c r="BL38" s="134">
        <v>-47</v>
      </c>
      <c r="BM38" s="134">
        <v>0</v>
      </c>
      <c r="BN38" s="134">
        <v>35</v>
      </c>
      <c r="BO38" s="134">
        <v>235</v>
      </c>
      <c r="BP38" s="134">
        <v>270</v>
      </c>
      <c r="BQ38" s="134">
        <v>96</v>
      </c>
      <c r="BR38" s="134">
        <v>1728</v>
      </c>
      <c r="BS38" s="134">
        <v>1824</v>
      </c>
      <c r="BT38" s="134">
        <v>379</v>
      </c>
      <c r="BU38" s="134">
        <v>2240</v>
      </c>
      <c r="BV38" s="134">
        <v>2619</v>
      </c>
      <c r="BW38" s="134">
        <v>14443</v>
      </c>
      <c r="BX38" s="134">
        <v>110671</v>
      </c>
      <c r="BY38" s="134">
        <v>125114</v>
      </c>
      <c r="BZ38" s="134">
        <v>14338</v>
      </c>
      <c r="CA38" s="134">
        <v>109786</v>
      </c>
      <c r="CB38" s="134">
        <v>124124</v>
      </c>
      <c r="CC38" s="134">
        <v>274054</v>
      </c>
      <c r="CD38" s="134">
        <v>108</v>
      </c>
      <c r="CE38" s="134">
        <v>831</v>
      </c>
      <c r="CF38" s="134">
        <v>103</v>
      </c>
      <c r="CG38" s="134">
        <v>711</v>
      </c>
      <c r="CH38" s="134">
        <v>814</v>
      </c>
      <c r="CI38" s="134">
        <v>212</v>
      </c>
      <c r="CJ38" s="134">
        <v>19</v>
      </c>
      <c r="CK38" s="134">
        <v>2</v>
      </c>
      <c r="CL38" s="134">
        <v>174</v>
      </c>
      <c r="CM38" s="134">
        <v>176</v>
      </c>
      <c r="CN38" s="134">
        <v>714</v>
      </c>
      <c r="CO38" s="134">
        <v>9266</v>
      </c>
      <c r="CP38" s="134">
        <v>9980</v>
      </c>
      <c r="CQ38" s="134">
        <v>0</v>
      </c>
      <c r="CR38" s="134">
        <v>146</v>
      </c>
      <c r="CS38" s="134">
        <v>146</v>
      </c>
      <c r="CT38" s="134">
        <v>13729</v>
      </c>
      <c r="CU38" s="134">
        <v>101405</v>
      </c>
      <c r="CV38" s="134">
        <v>115134</v>
      </c>
      <c r="CW38" s="134">
        <v>1030</v>
      </c>
      <c r="CX38" s="134">
        <v>4935</v>
      </c>
      <c r="CY38" s="134">
        <v>5965</v>
      </c>
      <c r="CZ38" s="134">
        <v>1022</v>
      </c>
      <c r="DA38" s="134">
        <v>2</v>
      </c>
      <c r="DB38" s="134">
        <v>0</v>
      </c>
      <c r="DC38" s="134">
        <v>4830</v>
      </c>
      <c r="DD38" s="134">
        <v>48</v>
      </c>
      <c r="DE38" s="134">
        <v>3</v>
      </c>
      <c r="DF38" s="134">
        <v>1024</v>
      </c>
      <c r="DG38" s="134">
        <v>4881</v>
      </c>
      <c r="DH38" s="134">
        <v>5905</v>
      </c>
      <c r="DI38" s="134">
        <v>6</v>
      </c>
      <c r="DJ38" s="134">
        <v>0</v>
      </c>
      <c r="DK38" s="134">
        <v>0</v>
      </c>
      <c r="DL38" s="134">
        <v>53</v>
      </c>
      <c r="DM38" s="134">
        <v>1</v>
      </c>
      <c r="DN38" s="134">
        <v>0</v>
      </c>
      <c r="DO38" s="134">
        <v>6</v>
      </c>
      <c r="DP38" s="134">
        <v>54</v>
      </c>
      <c r="DQ38" s="134">
        <v>60</v>
      </c>
      <c r="DR38" s="134">
        <v>0</v>
      </c>
      <c r="DS38" s="134">
        <v>0</v>
      </c>
      <c r="DT38" s="135">
        <v>0</v>
      </c>
      <c r="DV38" s="136"/>
      <c r="DW38" s="137"/>
      <c r="DX38" s="136"/>
      <c r="DY38" s="136"/>
    </row>
    <row r="39" spans="1:129" s="116" customFormat="1">
      <c r="A39" s="133" t="s">
        <v>308</v>
      </c>
      <c r="B39" s="134">
        <v>8716</v>
      </c>
      <c r="C39" s="134">
        <v>2558</v>
      </c>
      <c r="D39" s="134">
        <v>7171</v>
      </c>
      <c r="E39" s="134">
        <v>4427</v>
      </c>
      <c r="F39" s="134">
        <v>2</v>
      </c>
      <c r="G39" s="134">
        <v>19</v>
      </c>
      <c r="H39" s="134">
        <v>21</v>
      </c>
      <c r="I39" s="134">
        <v>2</v>
      </c>
      <c r="J39" s="134">
        <v>2498</v>
      </c>
      <c r="K39" s="134">
        <v>2500</v>
      </c>
      <c r="L39" s="134">
        <v>1</v>
      </c>
      <c r="M39" s="134">
        <v>854</v>
      </c>
      <c r="N39" s="134">
        <v>855</v>
      </c>
      <c r="O39" s="134">
        <v>1</v>
      </c>
      <c r="P39" s="134">
        <v>1644</v>
      </c>
      <c r="Q39" s="134">
        <v>1645</v>
      </c>
      <c r="R39" s="134">
        <v>1</v>
      </c>
      <c r="S39" s="134">
        <v>108</v>
      </c>
      <c r="T39" s="134">
        <v>109</v>
      </c>
      <c r="U39" s="134">
        <v>0</v>
      </c>
      <c r="V39" s="134">
        <v>244</v>
      </c>
      <c r="W39" s="134">
        <v>244</v>
      </c>
      <c r="X39" s="134">
        <v>267</v>
      </c>
      <c r="Y39" s="134">
        <v>6904</v>
      </c>
      <c r="Z39" s="134">
        <v>7171</v>
      </c>
      <c r="AA39" s="134">
        <v>132</v>
      </c>
      <c r="AB39" s="134">
        <v>1947</v>
      </c>
      <c r="AC39" s="134">
        <v>2079</v>
      </c>
      <c r="AD39" s="134">
        <v>130</v>
      </c>
      <c r="AE39" s="134">
        <v>1925</v>
      </c>
      <c r="AF39" s="134">
        <v>2055</v>
      </c>
      <c r="AG39" s="134">
        <v>2</v>
      </c>
      <c r="AH39" s="134">
        <v>13</v>
      </c>
      <c r="AI39" s="134">
        <v>15</v>
      </c>
      <c r="AJ39" s="134">
        <v>0</v>
      </c>
      <c r="AK39" s="134">
        <v>9</v>
      </c>
      <c r="AL39" s="134">
        <v>9</v>
      </c>
      <c r="AM39" s="134">
        <v>135</v>
      </c>
      <c r="AN39" s="134">
        <v>4957</v>
      </c>
      <c r="AO39" s="134">
        <v>5092</v>
      </c>
      <c r="AP39" s="134">
        <v>12856</v>
      </c>
      <c r="AQ39" s="134">
        <v>76864</v>
      </c>
      <c r="AR39" s="134">
        <v>89720</v>
      </c>
      <c r="AS39" s="134">
        <v>12750</v>
      </c>
      <c r="AT39" s="134">
        <v>76653</v>
      </c>
      <c r="AU39" s="134">
        <v>89403</v>
      </c>
      <c r="AV39" s="134">
        <v>106</v>
      </c>
      <c r="AW39" s="134">
        <v>211</v>
      </c>
      <c r="AX39" s="134">
        <v>317</v>
      </c>
      <c r="AY39" s="134">
        <v>897</v>
      </c>
      <c r="AZ39" s="134">
        <v>8353</v>
      </c>
      <c r="BA39" s="134">
        <v>9250</v>
      </c>
      <c r="BB39" s="134">
        <v>425</v>
      </c>
      <c r="BC39" s="134">
        <v>13</v>
      </c>
      <c r="BD39" s="134">
        <v>2</v>
      </c>
      <c r="BE39" s="134">
        <v>3918</v>
      </c>
      <c r="BF39" s="134">
        <v>41</v>
      </c>
      <c r="BG39" s="134">
        <v>28</v>
      </c>
      <c r="BH39" s="134">
        <v>440</v>
      </c>
      <c r="BI39" s="134">
        <v>3987</v>
      </c>
      <c r="BJ39" s="134">
        <v>4427</v>
      </c>
      <c r="BK39" s="134">
        <v>-188</v>
      </c>
      <c r="BL39" s="134">
        <v>188</v>
      </c>
      <c r="BM39" s="134">
        <v>0</v>
      </c>
      <c r="BN39" s="134">
        <v>40</v>
      </c>
      <c r="BO39" s="134">
        <v>112</v>
      </c>
      <c r="BP39" s="134">
        <v>152</v>
      </c>
      <c r="BQ39" s="134">
        <v>60</v>
      </c>
      <c r="BR39" s="134">
        <v>875</v>
      </c>
      <c r="BS39" s="134">
        <v>935</v>
      </c>
      <c r="BT39" s="134">
        <v>545</v>
      </c>
      <c r="BU39" s="134">
        <v>3191</v>
      </c>
      <c r="BV39" s="134">
        <v>3736</v>
      </c>
      <c r="BW39" s="134">
        <v>13753</v>
      </c>
      <c r="BX39" s="134">
        <v>85217</v>
      </c>
      <c r="BY39" s="134">
        <v>98970</v>
      </c>
      <c r="BZ39" s="134">
        <v>13218</v>
      </c>
      <c r="CA39" s="134">
        <v>83520</v>
      </c>
      <c r="CB39" s="134">
        <v>96738</v>
      </c>
      <c r="CC39" s="134">
        <v>206710</v>
      </c>
      <c r="CD39" s="134">
        <v>127</v>
      </c>
      <c r="CE39" s="134">
        <v>2640</v>
      </c>
      <c r="CF39" s="134">
        <v>527</v>
      </c>
      <c r="CG39" s="134">
        <v>1156</v>
      </c>
      <c r="CH39" s="134">
        <v>1683</v>
      </c>
      <c r="CI39" s="134">
        <v>735</v>
      </c>
      <c r="CJ39" s="134">
        <v>18</v>
      </c>
      <c r="CK39" s="134">
        <v>8</v>
      </c>
      <c r="CL39" s="134">
        <v>541</v>
      </c>
      <c r="CM39" s="134">
        <v>549</v>
      </c>
      <c r="CN39" s="134">
        <v>910</v>
      </c>
      <c r="CO39" s="134">
        <v>7949</v>
      </c>
      <c r="CP39" s="134">
        <v>8859</v>
      </c>
      <c r="CQ39" s="134">
        <v>0</v>
      </c>
      <c r="CR39" s="134">
        <v>0</v>
      </c>
      <c r="CS39" s="134">
        <v>0</v>
      </c>
      <c r="CT39" s="134">
        <v>12843</v>
      </c>
      <c r="CU39" s="134">
        <v>77268</v>
      </c>
      <c r="CV39" s="134">
        <v>90111</v>
      </c>
      <c r="CW39" s="134">
        <v>880</v>
      </c>
      <c r="CX39" s="134">
        <v>4348</v>
      </c>
      <c r="CY39" s="134">
        <v>5228</v>
      </c>
      <c r="CZ39" s="134">
        <v>802</v>
      </c>
      <c r="DA39" s="134">
        <v>35</v>
      </c>
      <c r="DB39" s="134">
        <v>1</v>
      </c>
      <c r="DC39" s="134">
        <v>3974</v>
      </c>
      <c r="DD39" s="134">
        <v>81</v>
      </c>
      <c r="DE39" s="134">
        <v>23</v>
      </c>
      <c r="DF39" s="134">
        <v>838</v>
      </c>
      <c r="DG39" s="134">
        <v>4078</v>
      </c>
      <c r="DH39" s="134">
        <v>4916</v>
      </c>
      <c r="DI39" s="134">
        <v>40</v>
      </c>
      <c r="DJ39" s="134">
        <v>2</v>
      </c>
      <c r="DK39" s="134">
        <v>0</v>
      </c>
      <c r="DL39" s="134">
        <v>260</v>
      </c>
      <c r="DM39" s="134">
        <v>9</v>
      </c>
      <c r="DN39" s="134">
        <v>1</v>
      </c>
      <c r="DO39" s="134">
        <v>42</v>
      </c>
      <c r="DP39" s="134">
        <v>270</v>
      </c>
      <c r="DQ39" s="134">
        <v>312</v>
      </c>
      <c r="DR39" s="134">
        <v>1</v>
      </c>
      <c r="DS39" s="134">
        <v>0</v>
      </c>
      <c r="DT39" s="135">
        <v>1</v>
      </c>
      <c r="DV39" s="136"/>
      <c r="DW39" s="137"/>
      <c r="DX39" s="136"/>
      <c r="DY39" s="136"/>
    </row>
    <row r="40" spans="1:129" s="116" customFormat="1">
      <c r="A40" s="133" t="s">
        <v>309</v>
      </c>
      <c r="B40" s="134">
        <v>185</v>
      </c>
      <c r="C40" s="134">
        <v>46</v>
      </c>
      <c r="D40" s="134">
        <v>157</v>
      </c>
      <c r="E40" s="134">
        <v>96</v>
      </c>
      <c r="F40" s="134">
        <v>0</v>
      </c>
      <c r="G40" s="134">
        <v>1</v>
      </c>
      <c r="H40" s="134">
        <v>1</v>
      </c>
      <c r="I40" s="134">
        <v>0</v>
      </c>
      <c r="J40" s="134">
        <v>45</v>
      </c>
      <c r="K40" s="134">
        <v>45</v>
      </c>
      <c r="L40" s="134">
        <v>0</v>
      </c>
      <c r="M40" s="134">
        <v>7</v>
      </c>
      <c r="N40" s="134">
        <v>7</v>
      </c>
      <c r="O40" s="134">
        <v>0</v>
      </c>
      <c r="P40" s="134">
        <v>38</v>
      </c>
      <c r="Q40" s="134">
        <v>38</v>
      </c>
      <c r="R40" s="134">
        <v>0</v>
      </c>
      <c r="S40" s="134">
        <v>1</v>
      </c>
      <c r="T40" s="134">
        <v>1</v>
      </c>
      <c r="U40" s="134">
        <v>0</v>
      </c>
      <c r="V40" s="134">
        <v>16</v>
      </c>
      <c r="W40" s="134">
        <v>16</v>
      </c>
      <c r="X40" s="134">
        <v>7</v>
      </c>
      <c r="Y40" s="134">
        <v>149</v>
      </c>
      <c r="Z40" s="134">
        <v>156</v>
      </c>
      <c r="AA40" s="134">
        <v>6</v>
      </c>
      <c r="AB40" s="134">
        <v>60</v>
      </c>
      <c r="AC40" s="134">
        <v>66</v>
      </c>
      <c r="AD40" s="134">
        <v>5</v>
      </c>
      <c r="AE40" s="134">
        <v>58</v>
      </c>
      <c r="AF40" s="134">
        <v>63</v>
      </c>
      <c r="AG40" s="134">
        <v>1</v>
      </c>
      <c r="AH40" s="134">
        <v>1</v>
      </c>
      <c r="AI40" s="134">
        <v>2</v>
      </c>
      <c r="AJ40" s="134">
        <v>0</v>
      </c>
      <c r="AK40" s="134">
        <v>1</v>
      </c>
      <c r="AL40" s="134">
        <v>1</v>
      </c>
      <c r="AM40" s="134">
        <v>1</v>
      </c>
      <c r="AN40" s="134">
        <v>89</v>
      </c>
      <c r="AO40" s="134">
        <v>90</v>
      </c>
      <c r="AP40" s="134">
        <v>212</v>
      </c>
      <c r="AQ40" s="134">
        <v>1771</v>
      </c>
      <c r="AR40" s="134">
        <v>1983</v>
      </c>
      <c r="AS40" s="134">
        <v>212</v>
      </c>
      <c r="AT40" s="134">
        <v>1771</v>
      </c>
      <c r="AU40" s="134">
        <v>1983</v>
      </c>
      <c r="AV40" s="134">
        <v>0</v>
      </c>
      <c r="AW40" s="134">
        <v>0</v>
      </c>
      <c r="AX40" s="134">
        <v>0</v>
      </c>
      <c r="AY40" s="134">
        <v>9</v>
      </c>
      <c r="AZ40" s="134">
        <v>180</v>
      </c>
      <c r="BA40" s="134">
        <v>189</v>
      </c>
      <c r="BB40" s="134">
        <v>9</v>
      </c>
      <c r="BC40" s="134">
        <v>0</v>
      </c>
      <c r="BD40" s="134">
        <v>0</v>
      </c>
      <c r="BE40" s="134">
        <v>87</v>
      </c>
      <c r="BF40" s="134">
        <v>0</v>
      </c>
      <c r="BG40" s="134">
        <v>0</v>
      </c>
      <c r="BH40" s="134">
        <v>9</v>
      </c>
      <c r="BI40" s="134">
        <v>87</v>
      </c>
      <c r="BJ40" s="134">
        <v>96</v>
      </c>
      <c r="BK40" s="134">
        <v>-9</v>
      </c>
      <c r="BL40" s="134">
        <v>9</v>
      </c>
      <c r="BM40" s="134">
        <v>0</v>
      </c>
      <c r="BN40" s="134">
        <v>0</v>
      </c>
      <c r="BO40" s="134">
        <v>10</v>
      </c>
      <c r="BP40" s="134">
        <v>10</v>
      </c>
      <c r="BQ40" s="134">
        <v>2</v>
      </c>
      <c r="BR40" s="134">
        <v>15</v>
      </c>
      <c r="BS40" s="134">
        <v>17</v>
      </c>
      <c r="BT40" s="134">
        <v>7</v>
      </c>
      <c r="BU40" s="134">
        <v>59</v>
      </c>
      <c r="BV40" s="134">
        <v>66</v>
      </c>
      <c r="BW40" s="134">
        <v>221</v>
      </c>
      <c r="BX40" s="134">
        <v>1951</v>
      </c>
      <c r="BY40" s="134">
        <v>2172</v>
      </c>
      <c r="BZ40" s="134">
        <v>219</v>
      </c>
      <c r="CA40" s="134">
        <v>1931</v>
      </c>
      <c r="CB40" s="134">
        <v>2150</v>
      </c>
      <c r="CC40" s="134">
        <v>4794</v>
      </c>
      <c r="CD40" s="134">
        <v>4</v>
      </c>
      <c r="CE40" s="134">
        <v>19</v>
      </c>
      <c r="CF40" s="134">
        <v>2</v>
      </c>
      <c r="CG40" s="134">
        <v>19</v>
      </c>
      <c r="CH40" s="134">
        <v>21</v>
      </c>
      <c r="CI40" s="134">
        <v>1</v>
      </c>
      <c r="CJ40" s="134">
        <v>0</v>
      </c>
      <c r="CK40" s="134">
        <v>0</v>
      </c>
      <c r="CL40" s="134">
        <v>1</v>
      </c>
      <c r="CM40" s="134">
        <v>1</v>
      </c>
      <c r="CN40" s="134">
        <v>6</v>
      </c>
      <c r="CO40" s="134">
        <v>184</v>
      </c>
      <c r="CP40" s="134">
        <v>190</v>
      </c>
      <c r="CQ40" s="134">
        <v>0</v>
      </c>
      <c r="CR40" s="134">
        <v>0</v>
      </c>
      <c r="CS40" s="134">
        <v>0</v>
      </c>
      <c r="CT40" s="134">
        <v>215</v>
      </c>
      <c r="CU40" s="134">
        <v>1767</v>
      </c>
      <c r="CV40" s="134">
        <v>1982</v>
      </c>
      <c r="CW40" s="134">
        <v>11</v>
      </c>
      <c r="CX40" s="134">
        <v>69</v>
      </c>
      <c r="CY40" s="134">
        <v>80</v>
      </c>
      <c r="CZ40" s="134">
        <v>11</v>
      </c>
      <c r="DA40" s="134">
        <v>0</v>
      </c>
      <c r="DB40" s="134">
        <v>0</v>
      </c>
      <c r="DC40" s="134">
        <v>65</v>
      </c>
      <c r="DD40" s="134">
        <v>1</v>
      </c>
      <c r="DE40" s="134">
        <v>0</v>
      </c>
      <c r="DF40" s="134">
        <v>11</v>
      </c>
      <c r="DG40" s="134">
        <v>66</v>
      </c>
      <c r="DH40" s="134">
        <v>77</v>
      </c>
      <c r="DI40" s="134">
        <v>0</v>
      </c>
      <c r="DJ40" s="134">
        <v>0</v>
      </c>
      <c r="DK40" s="134">
        <v>0</v>
      </c>
      <c r="DL40" s="134">
        <v>3</v>
      </c>
      <c r="DM40" s="134">
        <v>0</v>
      </c>
      <c r="DN40" s="134">
        <v>0</v>
      </c>
      <c r="DO40" s="134">
        <v>0</v>
      </c>
      <c r="DP40" s="134">
        <v>3</v>
      </c>
      <c r="DQ40" s="134">
        <v>3</v>
      </c>
      <c r="DR40" s="134">
        <v>0</v>
      </c>
      <c r="DS40" s="134">
        <v>0</v>
      </c>
      <c r="DT40" s="135">
        <v>0</v>
      </c>
      <c r="DV40" s="136"/>
      <c r="DW40" s="137"/>
      <c r="DX40" s="136"/>
      <c r="DY40" s="136"/>
    </row>
    <row r="41" spans="1:129" s="116" customFormat="1">
      <c r="A41" s="133" t="s">
        <v>310</v>
      </c>
      <c r="B41" s="134">
        <v>13766</v>
      </c>
      <c r="C41" s="134">
        <v>3850</v>
      </c>
      <c r="D41" s="134">
        <v>13524</v>
      </c>
      <c r="E41" s="134">
        <v>9461</v>
      </c>
      <c r="F41" s="134">
        <v>5</v>
      </c>
      <c r="G41" s="134">
        <v>44</v>
      </c>
      <c r="H41" s="134">
        <v>49</v>
      </c>
      <c r="I41" s="134">
        <v>3</v>
      </c>
      <c r="J41" s="134">
        <v>3656</v>
      </c>
      <c r="K41" s="134">
        <v>3659</v>
      </c>
      <c r="L41" s="134">
        <v>3</v>
      </c>
      <c r="M41" s="134">
        <v>1596</v>
      </c>
      <c r="N41" s="134">
        <v>1599</v>
      </c>
      <c r="O41" s="134">
        <v>0</v>
      </c>
      <c r="P41" s="134">
        <v>2060</v>
      </c>
      <c r="Q41" s="134">
        <v>2060</v>
      </c>
      <c r="R41" s="134">
        <v>0</v>
      </c>
      <c r="S41" s="134">
        <v>34</v>
      </c>
      <c r="T41" s="134">
        <v>34</v>
      </c>
      <c r="U41" s="134">
        <v>0</v>
      </c>
      <c r="V41" s="134">
        <v>404</v>
      </c>
      <c r="W41" s="134">
        <v>404</v>
      </c>
      <c r="X41" s="134">
        <v>396</v>
      </c>
      <c r="Y41" s="134">
        <v>13126</v>
      </c>
      <c r="Z41" s="134">
        <v>13522</v>
      </c>
      <c r="AA41" s="134">
        <v>275</v>
      </c>
      <c r="AB41" s="134">
        <v>6098</v>
      </c>
      <c r="AC41" s="134">
        <v>6373</v>
      </c>
      <c r="AD41" s="134">
        <v>250</v>
      </c>
      <c r="AE41" s="134">
        <v>5752</v>
      </c>
      <c r="AF41" s="134">
        <v>6002</v>
      </c>
      <c r="AG41" s="134">
        <v>13</v>
      </c>
      <c r="AH41" s="134">
        <v>213</v>
      </c>
      <c r="AI41" s="134">
        <v>226</v>
      </c>
      <c r="AJ41" s="134">
        <v>12</v>
      </c>
      <c r="AK41" s="134">
        <v>133</v>
      </c>
      <c r="AL41" s="134">
        <v>145</v>
      </c>
      <c r="AM41" s="134">
        <v>121</v>
      </c>
      <c r="AN41" s="134">
        <v>7028</v>
      </c>
      <c r="AO41" s="134">
        <v>7149</v>
      </c>
      <c r="AP41" s="134">
        <v>21254</v>
      </c>
      <c r="AQ41" s="134">
        <v>132143</v>
      </c>
      <c r="AR41" s="134">
        <v>153397</v>
      </c>
      <c r="AS41" s="134">
        <v>21256</v>
      </c>
      <c r="AT41" s="134">
        <v>132145</v>
      </c>
      <c r="AU41" s="134">
        <v>153401</v>
      </c>
      <c r="AV41" s="134">
        <v>-2</v>
      </c>
      <c r="AW41" s="134">
        <v>-2</v>
      </c>
      <c r="AX41" s="134">
        <v>-4</v>
      </c>
      <c r="AY41" s="134">
        <v>1477</v>
      </c>
      <c r="AZ41" s="134">
        <v>14127</v>
      </c>
      <c r="BA41" s="134">
        <v>15604</v>
      </c>
      <c r="BB41" s="134">
        <v>497</v>
      </c>
      <c r="BC41" s="134">
        <v>0</v>
      </c>
      <c r="BD41" s="134">
        <v>0</v>
      </c>
      <c r="BE41" s="134">
        <v>8872</v>
      </c>
      <c r="BF41" s="134">
        <v>67</v>
      </c>
      <c r="BG41" s="134">
        <v>25</v>
      </c>
      <c r="BH41" s="134">
        <v>497</v>
      </c>
      <c r="BI41" s="134">
        <v>8964</v>
      </c>
      <c r="BJ41" s="134">
        <v>9461</v>
      </c>
      <c r="BK41" s="134">
        <v>-14</v>
      </c>
      <c r="BL41" s="134">
        <v>14</v>
      </c>
      <c r="BM41" s="134">
        <v>0</v>
      </c>
      <c r="BN41" s="134">
        <v>52</v>
      </c>
      <c r="BO41" s="134">
        <v>224</v>
      </c>
      <c r="BP41" s="134">
        <v>276</v>
      </c>
      <c r="BQ41" s="134">
        <v>83</v>
      </c>
      <c r="BR41" s="134">
        <v>1447</v>
      </c>
      <c r="BS41" s="134">
        <v>1530</v>
      </c>
      <c r="BT41" s="134">
        <v>859</v>
      </c>
      <c r="BU41" s="134">
        <v>3478</v>
      </c>
      <c r="BV41" s="134">
        <v>4337</v>
      </c>
      <c r="BW41" s="134">
        <v>22731</v>
      </c>
      <c r="BX41" s="134">
        <v>146270</v>
      </c>
      <c r="BY41" s="134">
        <v>169001</v>
      </c>
      <c r="BZ41" s="134">
        <v>22594</v>
      </c>
      <c r="CA41" s="134">
        <v>145050</v>
      </c>
      <c r="CB41" s="134">
        <v>167644</v>
      </c>
      <c r="CC41" s="134">
        <v>365109</v>
      </c>
      <c r="CD41" s="134">
        <v>112</v>
      </c>
      <c r="CE41" s="134">
        <v>1089</v>
      </c>
      <c r="CF41" s="134">
        <v>128</v>
      </c>
      <c r="CG41" s="134">
        <v>915</v>
      </c>
      <c r="CH41" s="134">
        <v>1043</v>
      </c>
      <c r="CI41" s="134">
        <v>369</v>
      </c>
      <c r="CJ41" s="134">
        <v>59</v>
      </c>
      <c r="CK41" s="134">
        <v>9</v>
      </c>
      <c r="CL41" s="134">
        <v>305</v>
      </c>
      <c r="CM41" s="134">
        <v>314</v>
      </c>
      <c r="CN41" s="134">
        <v>1298</v>
      </c>
      <c r="CO41" s="134">
        <v>11843</v>
      </c>
      <c r="CP41" s="134">
        <v>13141</v>
      </c>
      <c r="CQ41" s="134">
        <v>0</v>
      </c>
      <c r="CR41" s="134">
        <v>41</v>
      </c>
      <c r="CS41" s="134">
        <v>41</v>
      </c>
      <c r="CT41" s="134">
        <v>21433</v>
      </c>
      <c r="CU41" s="134">
        <v>134427</v>
      </c>
      <c r="CV41" s="134">
        <v>155860</v>
      </c>
      <c r="CW41" s="134">
        <v>1714</v>
      </c>
      <c r="CX41" s="134">
        <v>6903</v>
      </c>
      <c r="CY41" s="134">
        <v>8617</v>
      </c>
      <c r="CZ41" s="134">
        <v>1707</v>
      </c>
      <c r="DA41" s="134">
        <v>7</v>
      </c>
      <c r="DB41" s="134">
        <v>0</v>
      </c>
      <c r="DC41" s="134">
        <v>6774</v>
      </c>
      <c r="DD41" s="134">
        <v>60</v>
      </c>
      <c r="DE41" s="134">
        <v>11</v>
      </c>
      <c r="DF41" s="134">
        <v>1714</v>
      </c>
      <c r="DG41" s="134">
        <v>6845</v>
      </c>
      <c r="DH41" s="134">
        <v>8559</v>
      </c>
      <c r="DI41" s="134">
        <v>0</v>
      </c>
      <c r="DJ41" s="134">
        <v>0</v>
      </c>
      <c r="DK41" s="134">
        <v>0</v>
      </c>
      <c r="DL41" s="134">
        <v>57</v>
      </c>
      <c r="DM41" s="134">
        <v>1</v>
      </c>
      <c r="DN41" s="134">
        <v>0</v>
      </c>
      <c r="DO41" s="134">
        <v>0</v>
      </c>
      <c r="DP41" s="134">
        <v>58</v>
      </c>
      <c r="DQ41" s="134">
        <v>58</v>
      </c>
      <c r="DR41" s="134">
        <v>0</v>
      </c>
      <c r="DS41" s="134">
        <v>0</v>
      </c>
      <c r="DT41" s="135">
        <v>0</v>
      </c>
      <c r="DV41" s="136"/>
      <c r="DW41" s="137"/>
      <c r="DX41" s="136"/>
      <c r="DY41" s="136"/>
    </row>
    <row r="42" spans="1:129" s="116" customFormat="1">
      <c r="A42" s="133" t="s">
        <v>311</v>
      </c>
      <c r="B42" s="134">
        <v>14024</v>
      </c>
      <c r="C42" s="134">
        <v>5965</v>
      </c>
      <c r="D42" s="134">
        <v>12502</v>
      </c>
      <c r="E42" s="134">
        <v>6947</v>
      </c>
      <c r="F42" s="134">
        <v>7</v>
      </c>
      <c r="G42" s="134">
        <v>115</v>
      </c>
      <c r="H42" s="134">
        <v>122</v>
      </c>
      <c r="I42" s="134">
        <v>7</v>
      </c>
      <c r="J42" s="134">
        <v>5046</v>
      </c>
      <c r="K42" s="134">
        <v>5053</v>
      </c>
      <c r="L42" s="134">
        <v>7</v>
      </c>
      <c r="M42" s="134">
        <v>5040</v>
      </c>
      <c r="N42" s="134">
        <v>5047</v>
      </c>
      <c r="O42" s="134">
        <v>0</v>
      </c>
      <c r="P42" s="134">
        <v>6</v>
      </c>
      <c r="Q42" s="134">
        <v>6</v>
      </c>
      <c r="R42" s="134">
        <v>0</v>
      </c>
      <c r="S42" s="134">
        <v>579</v>
      </c>
      <c r="T42" s="134">
        <v>579</v>
      </c>
      <c r="U42" s="134">
        <v>0</v>
      </c>
      <c r="V42" s="134">
        <v>502</v>
      </c>
      <c r="W42" s="134">
        <v>502</v>
      </c>
      <c r="X42" s="134">
        <v>153</v>
      </c>
      <c r="Y42" s="134">
        <v>8075</v>
      </c>
      <c r="Z42" s="134">
        <v>8228</v>
      </c>
      <c r="AA42" s="134">
        <v>79</v>
      </c>
      <c r="AB42" s="134">
        <v>2526</v>
      </c>
      <c r="AC42" s="134">
        <v>2605</v>
      </c>
      <c r="AD42" s="134">
        <v>75</v>
      </c>
      <c r="AE42" s="134">
        <v>2412</v>
      </c>
      <c r="AF42" s="134">
        <v>2487</v>
      </c>
      <c r="AG42" s="134">
        <v>3</v>
      </c>
      <c r="AH42" s="134">
        <v>86</v>
      </c>
      <c r="AI42" s="134">
        <v>89</v>
      </c>
      <c r="AJ42" s="134">
        <v>1</v>
      </c>
      <c r="AK42" s="134">
        <v>28</v>
      </c>
      <c r="AL42" s="134">
        <v>29</v>
      </c>
      <c r="AM42" s="134">
        <v>74</v>
      </c>
      <c r="AN42" s="134">
        <v>5549</v>
      </c>
      <c r="AO42" s="134">
        <v>5623</v>
      </c>
      <c r="AP42" s="134">
        <v>11014</v>
      </c>
      <c r="AQ42" s="134">
        <v>111295</v>
      </c>
      <c r="AR42" s="134">
        <v>122309</v>
      </c>
      <c r="AS42" s="134">
        <v>10975</v>
      </c>
      <c r="AT42" s="134">
        <v>110568</v>
      </c>
      <c r="AU42" s="134">
        <v>121543</v>
      </c>
      <c r="AV42" s="134">
        <v>39</v>
      </c>
      <c r="AW42" s="134">
        <v>727</v>
      </c>
      <c r="AX42" s="134">
        <v>766</v>
      </c>
      <c r="AY42" s="134">
        <v>713</v>
      </c>
      <c r="AZ42" s="134">
        <v>11112</v>
      </c>
      <c r="BA42" s="134">
        <v>11825</v>
      </c>
      <c r="BB42" s="134">
        <v>250</v>
      </c>
      <c r="BC42" s="134">
        <v>8</v>
      </c>
      <c r="BD42" s="134">
        <v>0</v>
      </c>
      <c r="BE42" s="134">
        <v>6577</v>
      </c>
      <c r="BF42" s="134">
        <v>91</v>
      </c>
      <c r="BG42" s="134">
        <v>21</v>
      </c>
      <c r="BH42" s="134">
        <v>258</v>
      </c>
      <c r="BI42" s="134">
        <v>6689</v>
      </c>
      <c r="BJ42" s="134">
        <v>6947</v>
      </c>
      <c r="BK42" s="134">
        <v>-30</v>
      </c>
      <c r="BL42" s="134">
        <v>30</v>
      </c>
      <c r="BM42" s="134">
        <v>0</v>
      </c>
      <c r="BN42" s="134">
        <v>13</v>
      </c>
      <c r="BO42" s="134">
        <v>133</v>
      </c>
      <c r="BP42" s="134">
        <v>146</v>
      </c>
      <c r="BQ42" s="134">
        <v>19</v>
      </c>
      <c r="BR42" s="134">
        <v>333</v>
      </c>
      <c r="BS42" s="134">
        <v>352</v>
      </c>
      <c r="BT42" s="134">
        <v>453</v>
      </c>
      <c r="BU42" s="134">
        <v>3927</v>
      </c>
      <c r="BV42" s="134">
        <v>4380</v>
      </c>
      <c r="BW42" s="134">
        <v>11727</v>
      </c>
      <c r="BX42" s="134">
        <v>122407</v>
      </c>
      <c r="BY42" s="134">
        <v>134134</v>
      </c>
      <c r="BZ42" s="134">
        <v>11416</v>
      </c>
      <c r="CA42" s="134">
        <v>120131</v>
      </c>
      <c r="CB42" s="134">
        <v>131547</v>
      </c>
      <c r="CC42" s="134">
        <v>269711</v>
      </c>
      <c r="CD42" s="134">
        <v>237</v>
      </c>
      <c r="CE42" s="134">
        <v>2383</v>
      </c>
      <c r="CF42" s="134">
        <v>302</v>
      </c>
      <c r="CG42" s="134">
        <v>1645</v>
      </c>
      <c r="CH42" s="134">
        <v>1947</v>
      </c>
      <c r="CI42" s="134">
        <v>796</v>
      </c>
      <c r="CJ42" s="134">
        <v>34</v>
      </c>
      <c r="CK42" s="134">
        <v>9</v>
      </c>
      <c r="CL42" s="134">
        <v>631</v>
      </c>
      <c r="CM42" s="134">
        <v>640</v>
      </c>
      <c r="CN42" s="134">
        <v>746</v>
      </c>
      <c r="CO42" s="134">
        <v>10466</v>
      </c>
      <c r="CP42" s="134">
        <v>11212</v>
      </c>
      <c r="CQ42" s="134">
        <v>0</v>
      </c>
      <c r="CR42" s="134">
        <v>0</v>
      </c>
      <c r="CS42" s="134">
        <v>0</v>
      </c>
      <c r="CT42" s="134">
        <v>10981</v>
      </c>
      <c r="CU42" s="134">
        <v>111941</v>
      </c>
      <c r="CV42" s="134">
        <v>122922</v>
      </c>
      <c r="CW42" s="134">
        <v>995</v>
      </c>
      <c r="CX42" s="134">
        <v>6148</v>
      </c>
      <c r="CY42" s="134">
        <v>7143</v>
      </c>
      <c r="CZ42" s="134">
        <v>918</v>
      </c>
      <c r="DA42" s="134">
        <v>20</v>
      </c>
      <c r="DB42" s="134">
        <v>2</v>
      </c>
      <c r="DC42" s="134">
        <v>5452</v>
      </c>
      <c r="DD42" s="134">
        <v>105</v>
      </c>
      <c r="DE42" s="134">
        <v>25</v>
      </c>
      <c r="DF42" s="134">
        <v>940</v>
      </c>
      <c r="DG42" s="134">
        <v>5582</v>
      </c>
      <c r="DH42" s="134">
        <v>6522</v>
      </c>
      <c r="DI42" s="134">
        <v>55</v>
      </c>
      <c r="DJ42" s="134">
        <v>0</v>
      </c>
      <c r="DK42" s="134">
        <v>0</v>
      </c>
      <c r="DL42" s="134">
        <v>554</v>
      </c>
      <c r="DM42" s="134">
        <v>10</v>
      </c>
      <c r="DN42" s="134">
        <v>2</v>
      </c>
      <c r="DO42" s="134">
        <v>55</v>
      </c>
      <c r="DP42" s="134">
        <v>566</v>
      </c>
      <c r="DQ42" s="134">
        <v>621</v>
      </c>
      <c r="DR42" s="134">
        <v>0</v>
      </c>
      <c r="DS42" s="134">
        <v>0</v>
      </c>
      <c r="DT42" s="135">
        <v>0</v>
      </c>
      <c r="DV42" s="136"/>
      <c r="DW42" s="137"/>
      <c r="DX42" s="136"/>
      <c r="DY42" s="136"/>
    </row>
    <row r="43" spans="1:129" s="116" customFormat="1">
      <c r="A43" s="133" t="s">
        <v>312</v>
      </c>
      <c r="B43" s="134">
        <v>3270</v>
      </c>
      <c r="C43" s="134">
        <v>1172</v>
      </c>
      <c r="D43" s="134">
        <v>2761</v>
      </c>
      <c r="E43" s="134">
        <v>1665</v>
      </c>
      <c r="F43" s="134">
        <v>0</v>
      </c>
      <c r="G43" s="134">
        <v>23</v>
      </c>
      <c r="H43" s="134">
        <v>23</v>
      </c>
      <c r="I43" s="134">
        <v>1</v>
      </c>
      <c r="J43" s="134">
        <v>960</v>
      </c>
      <c r="K43" s="134">
        <v>961</v>
      </c>
      <c r="L43" s="134">
        <v>0</v>
      </c>
      <c r="M43" s="134">
        <v>335</v>
      </c>
      <c r="N43" s="134">
        <v>335</v>
      </c>
      <c r="O43" s="134">
        <v>1</v>
      </c>
      <c r="P43" s="134">
        <v>625</v>
      </c>
      <c r="Q43" s="134">
        <v>626</v>
      </c>
      <c r="R43" s="134">
        <v>0</v>
      </c>
      <c r="S43" s="134">
        <v>44</v>
      </c>
      <c r="T43" s="134">
        <v>44</v>
      </c>
      <c r="U43" s="134">
        <v>0</v>
      </c>
      <c r="V43" s="134">
        <v>135</v>
      </c>
      <c r="W43" s="134">
        <v>135</v>
      </c>
      <c r="X43" s="134">
        <v>43</v>
      </c>
      <c r="Y43" s="134">
        <v>2101</v>
      </c>
      <c r="Z43" s="134">
        <v>2144</v>
      </c>
      <c r="AA43" s="134">
        <v>20</v>
      </c>
      <c r="AB43" s="134">
        <v>831</v>
      </c>
      <c r="AC43" s="134">
        <v>851</v>
      </c>
      <c r="AD43" s="134">
        <v>16</v>
      </c>
      <c r="AE43" s="134">
        <v>753</v>
      </c>
      <c r="AF43" s="134">
        <v>769</v>
      </c>
      <c r="AG43" s="134">
        <v>4</v>
      </c>
      <c r="AH43" s="134">
        <v>53</v>
      </c>
      <c r="AI43" s="134">
        <v>57</v>
      </c>
      <c r="AJ43" s="134">
        <v>0</v>
      </c>
      <c r="AK43" s="134">
        <v>25</v>
      </c>
      <c r="AL43" s="134">
        <v>25</v>
      </c>
      <c r="AM43" s="134">
        <v>23</v>
      </c>
      <c r="AN43" s="134">
        <v>1270</v>
      </c>
      <c r="AO43" s="134">
        <v>1293</v>
      </c>
      <c r="AP43" s="134">
        <v>1936</v>
      </c>
      <c r="AQ43" s="134">
        <v>29214</v>
      </c>
      <c r="AR43" s="134">
        <v>31150</v>
      </c>
      <c r="AS43" s="134">
        <v>1910</v>
      </c>
      <c r="AT43" s="134">
        <v>29108</v>
      </c>
      <c r="AU43" s="134">
        <v>31018</v>
      </c>
      <c r="AV43" s="134">
        <v>26</v>
      </c>
      <c r="AW43" s="134">
        <v>106</v>
      </c>
      <c r="AX43" s="134">
        <v>132</v>
      </c>
      <c r="AY43" s="134">
        <v>153</v>
      </c>
      <c r="AZ43" s="134">
        <v>2845</v>
      </c>
      <c r="BA43" s="134">
        <v>2998</v>
      </c>
      <c r="BB43" s="134">
        <v>68</v>
      </c>
      <c r="BC43" s="134">
        <v>4</v>
      </c>
      <c r="BD43" s="134">
        <v>0</v>
      </c>
      <c r="BE43" s="134">
        <v>1504</v>
      </c>
      <c r="BF43" s="134">
        <v>40</v>
      </c>
      <c r="BG43" s="134">
        <v>49</v>
      </c>
      <c r="BH43" s="134">
        <v>72</v>
      </c>
      <c r="BI43" s="134">
        <v>1593</v>
      </c>
      <c r="BJ43" s="134">
        <v>1665</v>
      </c>
      <c r="BK43" s="134">
        <v>-35</v>
      </c>
      <c r="BL43" s="134">
        <v>35</v>
      </c>
      <c r="BM43" s="134">
        <v>0</v>
      </c>
      <c r="BN43" s="134">
        <v>3</v>
      </c>
      <c r="BO43" s="134">
        <v>33</v>
      </c>
      <c r="BP43" s="134">
        <v>36</v>
      </c>
      <c r="BQ43" s="134">
        <v>14</v>
      </c>
      <c r="BR43" s="134">
        <v>299</v>
      </c>
      <c r="BS43" s="134">
        <v>313</v>
      </c>
      <c r="BT43" s="134">
        <v>99</v>
      </c>
      <c r="BU43" s="134">
        <v>885</v>
      </c>
      <c r="BV43" s="134">
        <v>984</v>
      </c>
      <c r="BW43" s="134">
        <v>2089</v>
      </c>
      <c r="BX43" s="134">
        <v>32059</v>
      </c>
      <c r="BY43" s="134">
        <v>34148</v>
      </c>
      <c r="BZ43" s="134">
        <v>1944</v>
      </c>
      <c r="CA43" s="134">
        <v>30465</v>
      </c>
      <c r="CB43" s="134">
        <v>32409</v>
      </c>
      <c r="CC43" s="134">
        <v>50216</v>
      </c>
      <c r="CD43" s="134">
        <v>103</v>
      </c>
      <c r="CE43" s="134">
        <v>1081</v>
      </c>
      <c r="CF43" s="134">
        <v>133</v>
      </c>
      <c r="CG43" s="134">
        <v>728</v>
      </c>
      <c r="CH43" s="134">
        <v>861</v>
      </c>
      <c r="CI43" s="134">
        <v>1134</v>
      </c>
      <c r="CJ43" s="134">
        <v>50</v>
      </c>
      <c r="CK43" s="134">
        <v>12</v>
      </c>
      <c r="CL43" s="134">
        <v>866</v>
      </c>
      <c r="CM43" s="134">
        <v>878</v>
      </c>
      <c r="CN43" s="134">
        <v>143</v>
      </c>
      <c r="CO43" s="134">
        <v>2677</v>
      </c>
      <c r="CP43" s="134">
        <v>2820</v>
      </c>
      <c r="CQ43" s="134">
        <v>0</v>
      </c>
      <c r="CR43" s="134">
        <v>0</v>
      </c>
      <c r="CS43" s="134">
        <v>0</v>
      </c>
      <c r="CT43" s="134">
        <v>1946</v>
      </c>
      <c r="CU43" s="134">
        <v>29382</v>
      </c>
      <c r="CV43" s="134">
        <v>31328</v>
      </c>
      <c r="CW43" s="134">
        <v>179</v>
      </c>
      <c r="CX43" s="134">
        <v>1245</v>
      </c>
      <c r="CY43" s="134">
        <v>1424</v>
      </c>
      <c r="CZ43" s="134">
        <v>171</v>
      </c>
      <c r="DA43" s="134">
        <v>7</v>
      </c>
      <c r="DB43" s="134">
        <v>0</v>
      </c>
      <c r="DC43" s="134">
        <v>1142</v>
      </c>
      <c r="DD43" s="134">
        <v>37</v>
      </c>
      <c r="DE43" s="134">
        <v>23</v>
      </c>
      <c r="DF43" s="134">
        <v>178</v>
      </c>
      <c r="DG43" s="134">
        <v>1202</v>
      </c>
      <c r="DH43" s="134">
        <v>1380</v>
      </c>
      <c r="DI43" s="134">
        <v>1</v>
      </c>
      <c r="DJ43" s="134">
        <v>0</v>
      </c>
      <c r="DK43" s="134">
        <v>0</v>
      </c>
      <c r="DL43" s="134">
        <v>38</v>
      </c>
      <c r="DM43" s="134">
        <v>3</v>
      </c>
      <c r="DN43" s="134">
        <v>2</v>
      </c>
      <c r="DO43" s="134">
        <v>1</v>
      </c>
      <c r="DP43" s="134">
        <v>43</v>
      </c>
      <c r="DQ43" s="134">
        <v>44</v>
      </c>
      <c r="DR43" s="134">
        <v>0</v>
      </c>
      <c r="DS43" s="134">
        <v>2</v>
      </c>
      <c r="DT43" s="135">
        <v>2</v>
      </c>
      <c r="DV43" s="136"/>
      <c r="DW43" s="137"/>
      <c r="DX43" s="136"/>
      <c r="DY43" s="136"/>
    </row>
    <row r="44" spans="1:129" s="116" customFormat="1">
      <c r="A44" s="133" t="s">
        <v>313</v>
      </c>
      <c r="B44" s="134">
        <v>3641</v>
      </c>
      <c r="C44" s="134">
        <v>1351</v>
      </c>
      <c r="D44" s="134">
        <v>3553</v>
      </c>
      <c r="E44" s="134">
        <v>2232</v>
      </c>
      <c r="F44" s="134">
        <v>2</v>
      </c>
      <c r="G44" s="134">
        <v>31</v>
      </c>
      <c r="H44" s="134">
        <v>33</v>
      </c>
      <c r="I44" s="134">
        <v>2</v>
      </c>
      <c r="J44" s="134">
        <v>1152</v>
      </c>
      <c r="K44" s="134">
        <v>1154</v>
      </c>
      <c r="L44" s="134">
        <v>2</v>
      </c>
      <c r="M44" s="134">
        <v>571</v>
      </c>
      <c r="N44" s="134">
        <v>573</v>
      </c>
      <c r="O44" s="134">
        <v>0</v>
      </c>
      <c r="P44" s="134">
        <v>581</v>
      </c>
      <c r="Q44" s="134">
        <v>581</v>
      </c>
      <c r="R44" s="134">
        <v>0</v>
      </c>
      <c r="S44" s="134">
        <v>16</v>
      </c>
      <c r="T44" s="134">
        <v>16</v>
      </c>
      <c r="U44" s="134">
        <v>0</v>
      </c>
      <c r="V44" s="134">
        <v>167</v>
      </c>
      <c r="W44" s="134">
        <v>167</v>
      </c>
      <c r="X44" s="134">
        <v>124</v>
      </c>
      <c r="Y44" s="134">
        <v>3428</v>
      </c>
      <c r="Z44" s="134">
        <v>3552</v>
      </c>
      <c r="AA44" s="134">
        <v>86</v>
      </c>
      <c r="AB44" s="134">
        <v>1368</v>
      </c>
      <c r="AC44" s="134">
        <v>1454</v>
      </c>
      <c r="AD44" s="134">
        <v>79</v>
      </c>
      <c r="AE44" s="134">
        <v>1261</v>
      </c>
      <c r="AF44" s="134">
        <v>1340</v>
      </c>
      <c r="AG44" s="134">
        <v>2</v>
      </c>
      <c r="AH44" s="134">
        <v>56</v>
      </c>
      <c r="AI44" s="134">
        <v>58</v>
      </c>
      <c r="AJ44" s="134">
        <v>5</v>
      </c>
      <c r="AK44" s="134">
        <v>51</v>
      </c>
      <c r="AL44" s="134">
        <v>56</v>
      </c>
      <c r="AM44" s="134">
        <v>38</v>
      </c>
      <c r="AN44" s="134">
        <v>2060</v>
      </c>
      <c r="AO44" s="134">
        <v>2098</v>
      </c>
      <c r="AP44" s="134">
        <v>6144</v>
      </c>
      <c r="AQ44" s="134">
        <v>38582</v>
      </c>
      <c r="AR44" s="134">
        <v>44726</v>
      </c>
      <c r="AS44" s="134">
        <v>6144</v>
      </c>
      <c r="AT44" s="134">
        <v>38582</v>
      </c>
      <c r="AU44" s="134">
        <v>44726</v>
      </c>
      <c r="AV44" s="134">
        <v>0</v>
      </c>
      <c r="AW44" s="134">
        <v>0</v>
      </c>
      <c r="AX44" s="134">
        <v>0</v>
      </c>
      <c r="AY44" s="134">
        <v>331</v>
      </c>
      <c r="AZ44" s="134">
        <v>3672</v>
      </c>
      <c r="BA44" s="134">
        <v>4003</v>
      </c>
      <c r="BB44" s="134">
        <v>168</v>
      </c>
      <c r="BC44" s="134">
        <v>3</v>
      </c>
      <c r="BD44" s="134">
        <v>1</v>
      </c>
      <c r="BE44" s="134">
        <v>2032</v>
      </c>
      <c r="BF44" s="134">
        <v>23</v>
      </c>
      <c r="BG44" s="134">
        <v>5</v>
      </c>
      <c r="BH44" s="134">
        <v>172</v>
      </c>
      <c r="BI44" s="134">
        <v>2060</v>
      </c>
      <c r="BJ44" s="134">
        <v>2232</v>
      </c>
      <c r="BK44" s="134">
        <v>-70</v>
      </c>
      <c r="BL44" s="134">
        <v>70</v>
      </c>
      <c r="BM44" s="134">
        <v>0</v>
      </c>
      <c r="BN44" s="134">
        <v>23</v>
      </c>
      <c r="BO44" s="134">
        <v>84</v>
      </c>
      <c r="BP44" s="134">
        <v>107</v>
      </c>
      <c r="BQ44" s="134">
        <v>61</v>
      </c>
      <c r="BR44" s="134">
        <v>603</v>
      </c>
      <c r="BS44" s="134">
        <v>664</v>
      </c>
      <c r="BT44" s="134">
        <v>145</v>
      </c>
      <c r="BU44" s="134">
        <v>855</v>
      </c>
      <c r="BV44" s="134">
        <v>1000</v>
      </c>
      <c r="BW44" s="134">
        <v>6475</v>
      </c>
      <c r="BX44" s="134">
        <v>42254</v>
      </c>
      <c r="BY44" s="134">
        <v>48729</v>
      </c>
      <c r="BZ44" s="134">
        <v>6419</v>
      </c>
      <c r="CA44" s="134">
        <v>41696</v>
      </c>
      <c r="CB44" s="134">
        <v>48115</v>
      </c>
      <c r="CC44" s="134">
        <v>106718</v>
      </c>
      <c r="CD44" s="134">
        <v>36</v>
      </c>
      <c r="CE44" s="134">
        <v>555</v>
      </c>
      <c r="CF44" s="134">
        <v>54</v>
      </c>
      <c r="CG44" s="134">
        <v>413</v>
      </c>
      <c r="CH44" s="134">
        <v>467</v>
      </c>
      <c r="CI44" s="134">
        <v>183</v>
      </c>
      <c r="CJ44" s="134">
        <v>20</v>
      </c>
      <c r="CK44" s="134">
        <v>2</v>
      </c>
      <c r="CL44" s="134">
        <v>145</v>
      </c>
      <c r="CM44" s="134">
        <v>147</v>
      </c>
      <c r="CN44" s="134">
        <v>321</v>
      </c>
      <c r="CO44" s="134">
        <v>3383</v>
      </c>
      <c r="CP44" s="134">
        <v>3704</v>
      </c>
      <c r="CQ44" s="134">
        <v>0</v>
      </c>
      <c r="CR44" s="134">
        <v>3</v>
      </c>
      <c r="CS44" s="134">
        <v>3</v>
      </c>
      <c r="CT44" s="134">
        <v>6154</v>
      </c>
      <c r="CU44" s="134">
        <v>38871</v>
      </c>
      <c r="CV44" s="134">
        <v>45025</v>
      </c>
      <c r="CW44" s="134">
        <v>426</v>
      </c>
      <c r="CX44" s="134">
        <v>1860</v>
      </c>
      <c r="CY44" s="134">
        <v>2286</v>
      </c>
      <c r="CZ44" s="134">
        <v>419</v>
      </c>
      <c r="DA44" s="134">
        <v>5</v>
      </c>
      <c r="DB44" s="134">
        <v>0</v>
      </c>
      <c r="DC44" s="134">
        <v>1819</v>
      </c>
      <c r="DD44" s="134">
        <v>13</v>
      </c>
      <c r="DE44" s="134">
        <v>4</v>
      </c>
      <c r="DF44" s="134">
        <v>424</v>
      </c>
      <c r="DG44" s="134">
        <v>1836</v>
      </c>
      <c r="DH44" s="134">
        <v>2260</v>
      </c>
      <c r="DI44" s="134">
        <v>2</v>
      </c>
      <c r="DJ44" s="134">
        <v>0</v>
      </c>
      <c r="DK44" s="134">
        <v>0</v>
      </c>
      <c r="DL44" s="134">
        <v>24</v>
      </c>
      <c r="DM44" s="134">
        <v>0</v>
      </c>
      <c r="DN44" s="134">
        <v>0</v>
      </c>
      <c r="DO44" s="134">
        <v>2</v>
      </c>
      <c r="DP44" s="134">
        <v>24</v>
      </c>
      <c r="DQ44" s="134">
        <v>26</v>
      </c>
      <c r="DR44" s="134">
        <v>0</v>
      </c>
      <c r="DS44" s="134">
        <v>0</v>
      </c>
      <c r="DT44" s="135">
        <v>0</v>
      </c>
      <c r="DV44" s="136"/>
      <c r="DW44" s="137"/>
      <c r="DX44" s="136"/>
      <c r="DY44" s="136"/>
    </row>
    <row r="45" spans="1:129" s="116" customFormat="1">
      <c r="A45" s="133" t="s">
        <v>314</v>
      </c>
      <c r="B45" s="134">
        <v>885</v>
      </c>
      <c r="C45" s="134">
        <v>240</v>
      </c>
      <c r="D45" s="134">
        <v>756</v>
      </c>
      <c r="E45" s="134">
        <v>431</v>
      </c>
      <c r="F45" s="134">
        <v>1</v>
      </c>
      <c r="G45" s="134">
        <v>5</v>
      </c>
      <c r="H45" s="134">
        <v>6</v>
      </c>
      <c r="I45" s="134">
        <v>0</v>
      </c>
      <c r="J45" s="134">
        <v>186</v>
      </c>
      <c r="K45" s="134">
        <v>186</v>
      </c>
      <c r="L45" s="134">
        <v>0</v>
      </c>
      <c r="M45" s="134">
        <v>63</v>
      </c>
      <c r="N45" s="134">
        <v>63</v>
      </c>
      <c r="O45" s="134">
        <v>0</v>
      </c>
      <c r="P45" s="134">
        <v>123</v>
      </c>
      <c r="Q45" s="134">
        <v>123</v>
      </c>
      <c r="R45" s="134">
        <v>0</v>
      </c>
      <c r="S45" s="134">
        <v>5</v>
      </c>
      <c r="T45" s="134">
        <v>5</v>
      </c>
      <c r="U45" s="134">
        <v>0</v>
      </c>
      <c r="V45" s="134">
        <v>139</v>
      </c>
      <c r="W45" s="134">
        <v>139</v>
      </c>
      <c r="X45" s="134">
        <v>18</v>
      </c>
      <c r="Y45" s="134">
        <v>364</v>
      </c>
      <c r="Z45" s="134">
        <v>382</v>
      </c>
      <c r="AA45" s="134">
        <v>9</v>
      </c>
      <c r="AB45" s="134">
        <v>232</v>
      </c>
      <c r="AC45" s="134">
        <v>241</v>
      </c>
      <c r="AD45" s="134">
        <v>8</v>
      </c>
      <c r="AE45" s="134">
        <v>229</v>
      </c>
      <c r="AF45" s="134">
        <v>237</v>
      </c>
      <c r="AG45" s="134">
        <v>1</v>
      </c>
      <c r="AH45" s="134">
        <v>3</v>
      </c>
      <c r="AI45" s="134">
        <v>4</v>
      </c>
      <c r="AJ45" s="134">
        <v>0</v>
      </c>
      <c r="AK45" s="134">
        <v>0</v>
      </c>
      <c r="AL45" s="134">
        <v>0</v>
      </c>
      <c r="AM45" s="134">
        <v>9</v>
      </c>
      <c r="AN45" s="134">
        <v>132</v>
      </c>
      <c r="AO45" s="134">
        <v>141</v>
      </c>
      <c r="AP45" s="134">
        <v>752</v>
      </c>
      <c r="AQ45" s="134">
        <v>7797</v>
      </c>
      <c r="AR45" s="134">
        <v>8549</v>
      </c>
      <c r="AS45" s="134">
        <v>752</v>
      </c>
      <c r="AT45" s="134">
        <v>7797</v>
      </c>
      <c r="AU45" s="134">
        <v>8549</v>
      </c>
      <c r="AV45" s="134">
        <v>0</v>
      </c>
      <c r="AW45" s="134">
        <v>0</v>
      </c>
      <c r="AX45" s="134">
        <v>0</v>
      </c>
      <c r="AY45" s="134">
        <v>29</v>
      </c>
      <c r="AZ45" s="134">
        <v>878</v>
      </c>
      <c r="BA45" s="134">
        <v>907</v>
      </c>
      <c r="BB45" s="134">
        <v>29</v>
      </c>
      <c r="BC45" s="134">
        <v>0</v>
      </c>
      <c r="BD45" s="134">
        <v>0</v>
      </c>
      <c r="BE45" s="134">
        <v>400</v>
      </c>
      <c r="BF45" s="134">
        <v>2</v>
      </c>
      <c r="BG45" s="134">
        <v>0</v>
      </c>
      <c r="BH45" s="134">
        <v>29</v>
      </c>
      <c r="BI45" s="134">
        <v>402</v>
      </c>
      <c r="BJ45" s="134">
        <v>431</v>
      </c>
      <c r="BK45" s="134">
        <v>-9</v>
      </c>
      <c r="BL45" s="134">
        <v>9</v>
      </c>
      <c r="BM45" s="134">
        <v>0</v>
      </c>
      <c r="BN45" s="134">
        <v>3</v>
      </c>
      <c r="BO45" s="134">
        <v>16</v>
      </c>
      <c r="BP45" s="134">
        <v>19</v>
      </c>
      <c r="BQ45" s="134">
        <v>6</v>
      </c>
      <c r="BR45" s="134">
        <v>164</v>
      </c>
      <c r="BS45" s="134">
        <v>170</v>
      </c>
      <c r="BT45" s="134">
        <v>0</v>
      </c>
      <c r="BU45" s="134">
        <v>287</v>
      </c>
      <c r="BV45" s="134">
        <v>287</v>
      </c>
      <c r="BW45" s="134">
        <v>781</v>
      </c>
      <c r="BX45" s="134">
        <v>8675</v>
      </c>
      <c r="BY45" s="134">
        <v>9456</v>
      </c>
      <c r="BZ45" s="134">
        <v>776</v>
      </c>
      <c r="CA45" s="134">
        <v>8642</v>
      </c>
      <c r="CB45" s="134">
        <v>9418</v>
      </c>
      <c r="CC45" s="134">
        <v>16601</v>
      </c>
      <c r="CD45" s="134">
        <v>0</v>
      </c>
      <c r="CE45" s="134">
        <v>35</v>
      </c>
      <c r="CF45" s="134">
        <v>5</v>
      </c>
      <c r="CG45" s="134">
        <v>26</v>
      </c>
      <c r="CH45" s="134">
        <v>31</v>
      </c>
      <c r="CI45" s="134">
        <v>5</v>
      </c>
      <c r="CJ45" s="134">
        <v>4</v>
      </c>
      <c r="CK45" s="134">
        <v>0</v>
      </c>
      <c r="CL45" s="134">
        <v>7</v>
      </c>
      <c r="CM45" s="134">
        <v>7</v>
      </c>
      <c r="CN45" s="134">
        <v>43</v>
      </c>
      <c r="CO45" s="134">
        <v>803</v>
      </c>
      <c r="CP45" s="134">
        <v>846</v>
      </c>
      <c r="CQ45" s="134">
        <v>0</v>
      </c>
      <c r="CR45" s="134">
        <v>0</v>
      </c>
      <c r="CS45" s="134">
        <v>0</v>
      </c>
      <c r="CT45" s="134">
        <v>738</v>
      </c>
      <c r="CU45" s="134">
        <v>7872</v>
      </c>
      <c r="CV45" s="134">
        <v>8610</v>
      </c>
      <c r="CW45" s="134">
        <v>54</v>
      </c>
      <c r="CX45" s="134">
        <v>416</v>
      </c>
      <c r="CY45" s="134">
        <v>470</v>
      </c>
      <c r="CZ45" s="134">
        <v>53</v>
      </c>
      <c r="DA45" s="134">
        <v>0</v>
      </c>
      <c r="DB45" s="134">
        <v>0</v>
      </c>
      <c r="DC45" s="134">
        <v>362</v>
      </c>
      <c r="DD45" s="134">
        <v>3</v>
      </c>
      <c r="DE45" s="134">
        <v>0</v>
      </c>
      <c r="DF45" s="134">
        <v>53</v>
      </c>
      <c r="DG45" s="134">
        <v>365</v>
      </c>
      <c r="DH45" s="134">
        <v>418</v>
      </c>
      <c r="DI45" s="134">
        <v>1</v>
      </c>
      <c r="DJ45" s="134">
        <v>0</v>
      </c>
      <c r="DK45" s="134">
        <v>0</v>
      </c>
      <c r="DL45" s="134">
        <v>51</v>
      </c>
      <c r="DM45" s="134">
        <v>0</v>
      </c>
      <c r="DN45" s="134">
        <v>0</v>
      </c>
      <c r="DO45" s="134">
        <v>1</v>
      </c>
      <c r="DP45" s="134">
        <v>51</v>
      </c>
      <c r="DQ45" s="134">
        <v>52</v>
      </c>
      <c r="DR45" s="134">
        <v>0</v>
      </c>
      <c r="DS45" s="134">
        <v>0</v>
      </c>
      <c r="DT45" s="135">
        <v>0</v>
      </c>
      <c r="DV45" s="136"/>
      <c r="DW45" s="137"/>
      <c r="DX45" s="136"/>
      <c r="DY45" s="136"/>
    </row>
    <row r="46" spans="1:129" s="116" customFormat="1">
      <c r="A46" s="133" t="s">
        <v>315</v>
      </c>
      <c r="B46" s="134">
        <v>1330</v>
      </c>
      <c r="C46" s="134">
        <v>444</v>
      </c>
      <c r="D46" s="134">
        <v>1176</v>
      </c>
      <c r="E46" s="134">
        <v>551</v>
      </c>
      <c r="F46" s="134">
        <v>0</v>
      </c>
      <c r="G46" s="134">
        <v>10</v>
      </c>
      <c r="H46" s="134">
        <v>10</v>
      </c>
      <c r="I46" s="134">
        <v>0</v>
      </c>
      <c r="J46" s="134">
        <v>538</v>
      </c>
      <c r="K46" s="134">
        <v>538</v>
      </c>
      <c r="L46" s="134">
        <v>0</v>
      </c>
      <c r="M46" s="134">
        <v>214</v>
      </c>
      <c r="N46" s="134">
        <v>214</v>
      </c>
      <c r="O46" s="134">
        <v>0</v>
      </c>
      <c r="P46" s="134">
        <v>324</v>
      </c>
      <c r="Q46" s="134">
        <v>324</v>
      </c>
      <c r="R46" s="134">
        <v>0</v>
      </c>
      <c r="S46" s="134">
        <v>44</v>
      </c>
      <c r="T46" s="134">
        <v>44</v>
      </c>
      <c r="U46" s="134">
        <v>0</v>
      </c>
      <c r="V46" s="134">
        <v>87</v>
      </c>
      <c r="W46" s="134">
        <v>87</v>
      </c>
      <c r="X46" s="134">
        <v>15</v>
      </c>
      <c r="Y46" s="134">
        <v>853</v>
      </c>
      <c r="Z46" s="134">
        <v>868</v>
      </c>
      <c r="AA46" s="134">
        <v>7</v>
      </c>
      <c r="AB46" s="134">
        <v>326</v>
      </c>
      <c r="AC46" s="134">
        <v>333</v>
      </c>
      <c r="AD46" s="134">
        <v>4</v>
      </c>
      <c r="AE46" s="134">
        <v>288</v>
      </c>
      <c r="AF46" s="134">
        <v>292</v>
      </c>
      <c r="AG46" s="134">
        <v>2</v>
      </c>
      <c r="AH46" s="134">
        <v>25</v>
      </c>
      <c r="AI46" s="134">
        <v>27</v>
      </c>
      <c r="AJ46" s="134">
        <v>1</v>
      </c>
      <c r="AK46" s="134">
        <v>13</v>
      </c>
      <c r="AL46" s="134">
        <v>14</v>
      </c>
      <c r="AM46" s="134">
        <v>8</v>
      </c>
      <c r="AN46" s="134">
        <v>527</v>
      </c>
      <c r="AO46" s="134">
        <v>535</v>
      </c>
      <c r="AP46" s="134">
        <v>603</v>
      </c>
      <c r="AQ46" s="134">
        <v>11744</v>
      </c>
      <c r="AR46" s="134">
        <v>12347</v>
      </c>
      <c r="AS46" s="134">
        <v>616</v>
      </c>
      <c r="AT46" s="134">
        <v>11714</v>
      </c>
      <c r="AU46" s="134">
        <v>12330</v>
      </c>
      <c r="AV46" s="134">
        <v>-13</v>
      </c>
      <c r="AW46" s="134">
        <v>30</v>
      </c>
      <c r="AX46" s="134">
        <v>17</v>
      </c>
      <c r="AY46" s="134">
        <v>52</v>
      </c>
      <c r="AZ46" s="134">
        <v>1032</v>
      </c>
      <c r="BA46" s="134">
        <v>1084</v>
      </c>
      <c r="BB46" s="134">
        <v>14</v>
      </c>
      <c r="BC46" s="134">
        <v>0</v>
      </c>
      <c r="BD46" s="134">
        <v>0</v>
      </c>
      <c r="BE46" s="134">
        <v>511</v>
      </c>
      <c r="BF46" s="134">
        <v>18</v>
      </c>
      <c r="BG46" s="134">
        <v>8</v>
      </c>
      <c r="BH46" s="134">
        <v>14</v>
      </c>
      <c r="BI46" s="134">
        <v>537</v>
      </c>
      <c r="BJ46" s="134">
        <v>551</v>
      </c>
      <c r="BK46" s="134">
        <v>-2</v>
      </c>
      <c r="BL46" s="134">
        <v>2</v>
      </c>
      <c r="BM46" s="134">
        <v>0</v>
      </c>
      <c r="BN46" s="134">
        <v>15</v>
      </c>
      <c r="BO46" s="134">
        <v>17</v>
      </c>
      <c r="BP46" s="134">
        <v>32</v>
      </c>
      <c r="BQ46" s="134">
        <v>3</v>
      </c>
      <c r="BR46" s="134">
        <v>106</v>
      </c>
      <c r="BS46" s="134">
        <v>109</v>
      </c>
      <c r="BT46" s="134">
        <v>22</v>
      </c>
      <c r="BU46" s="134">
        <v>370</v>
      </c>
      <c r="BV46" s="134">
        <v>392</v>
      </c>
      <c r="BW46" s="134">
        <v>655</v>
      </c>
      <c r="BX46" s="134">
        <v>12776</v>
      </c>
      <c r="BY46" s="134">
        <v>13431</v>
      </c>
      <c r="BZ46" s="134">
        <v>638</v>
      </c>
      <c r="CA46" s="134">
        <v>12251</v>
      </c>
      <c r="CB46" s="134">
        <v>12889</v>
      </c>
      <c r="CC46" s="134">
        <v>25142</v>
      </c>
      <c r="CD46" s="134">
        <v>34</v>
      </c>
      <c r="CE46" s="134">
        <v>493</v>
      </c>
      <c r="CF46" s="134">
        <v>17</v>
      </c>
      <c r="CG46" s="134">
        <v>384</v>
      </c>
      <c r="CH46" s="134">
        <v>401</v>
      </c>
      <c r="CI46" s="134">
        <v>174</v>
      </c>
      <c r="CJ46" s="134">
        <v>14</v>
      </c>
      <c r="CK46" s="134">
        <v>0</v>
      </c>
      <c r="CL46" s="134">
        <v>141</v>
      </c>
      <c r="CM46" s="134">
        <v>141</v>
      </c>
      <c r="CN46" s="134">
        <v>37</v>
      </c>
      <c r="CO46" s="134">
        <v>1192</v>
      </c>
      <c r="CP46" s="134">
        <v>1229</v>
      </c>
      <c r="CQ46" s="134">
        <v>0</v>
      </c>
      <c r="CR46" s="134">
        <v>0</v>
      </c>
      <c r="CS46" s="134">
        <v>0</v>
      </c>
      <c r="CT46" s="134">
        <v>618</v>
      </c>
      <c r="CU46" s="134">
        <v>11584</v>
      </c>
      <c r="CV46" s="134">
        <v>12202</v>
      </c>
      <c r="CW46" s="134">
        <v>60</v>
      </c>
      <c r="CX46" s="134">
        <v>674</v>
      </c>
      <c r="CY46" s="134">
        <v>734</v>
      </c>
      <c r="CZ46" s="134">
        <v>58</v>
      </c>
      <c r="DA46" s="134">
        <v>1</v>
      </c>
      <c r="DB46" s="134">
        <v>0</v>
      </c>
      <c r="DC46" s="134">
        <v>608</v>
      </c>
      <c r="DD46" s="134">
        <v>36</v>
      </c>
      <c r="DE46" s="134">
        <v>4</v>
      </c>
      <c r="DF46" s="134">
        <v>59</v>
      </c>
      <c r="DG46" s="134">
        <v>648</v>
      </c>
      <c r="DH46" s="134">
        <v>707</v>
      </c>
      <c r="DI46" s="134">
        <v>1</v>
      </c>
      <c r="DJ46" s="134">
        <v>0</v>
      </c>
      <c r="DK46" s="134">
        <v>0</v>
      </c>
      <c r="DL46" s="134">
        <v>23</v>
      </c>
      <c r="DM46" s="134">
        <v>2</v>
      </c>
      <c r="DN46" s="134">
        <v>1</v>
      </c>
      <c r="DO46" s="134">
        <v>1</v>
      </c>
      <c r="DP46" s="134">
        <v>26</v>
      </c>
      <c r="DQ46" s="134">
        <v>27</v>
      </c>
      <c r="DR46" s="134">
        <v>0</v>
      </c>
      <c r="DS46" s="134">
        <v>0</v>
      </c>
      <c r="DT46" s="135">
        <v>0</v>
      </c>
      <c r="DV46" s="136"/>
      <c r="DW46" s="137"/>
      <c r="DX46" s="136"/>
      <c r="DY46" s="136"/>
    </row>
    <row r="47" spans="1:129" s="116" customFormat="1">
      <c r="A47" s="133" t="s">
        <v>316</v>
      </c>
      <c r="B47" s="134">
        <v>1902</v>
      </c>
      <c r="C47" s="134">
        <v>734</v>
      </c>
      <c r="D47" s="134">
        <v>1563</v>
      </c>
      <c r="E47" s="134">
        <v>1011</v>
      </c>
      <c r="F47" s="134">
        <v>4</v>
      </c>
      <c r="G47" s="134">
        <v>23</v>
      </c>
      <c r="H47" s="134">
        <v>27</v>
      </c>
      <c r="I47" s="134">
        <v>0</v>
      </c>
      <c r="J47" s="134">
        <v>481</v>
      </c>
      <c r="K47" s="134">
        <v>481</v>
      </c>
      <c r="L47" s="134">
        <v>0</v>
      </c>
      <c r="M47" s="134">
        <v>204</v>
      </c>
      <c r="N47" s="134">
        <v>204</v>
      </c>
      <c r="O47" s="134">
        <v>0</v>
      </c>
      <c r="P47" s="134">
        <v>277</v>
      </c>
      <c r="Q47" s="134">
        <v>277</v>
      </c>
      <c r="R47" s="134">
        <v>0</v>
      </c>
      <c r="S47" s="134">
        <v>51</v>
      </c>
      <c r="T47" s="134">
        <v>51</v>
      </c>
      <c r="U47" s="134">
        <v>0</v>
      </c>
      <c r="V47" s="134">
        <v>71</v>
      </c>
      <c r="W47" s="134">
        <v>71</v>
      </c>
      <c r="X47" s="134">
        <v>27</v>
      </c>
      <c r="Y47" s="134">
        <v>572</v>
      </c>
      <c r="Z47" s="134">
        <v>599</v>
      </c>
      <c r="AA47" s="134">
        <v>15</v>
      </c>
      <c r="AB47" s="134">
        <v>330</v>
      </c>
      <c r="AC47" s="134">
        <v>345</v>
      </c>
      <c r="AD47" s="134">
        <v>14</v>
      </c>
      <c r="AE47" s="134">
        <v>303</v>
      </c>
      <c r="AF47" s="134">
        <v>317</v>
      </c>
      <c r="AG47" s="134">
        <v>1</v>
      </c>
      <c r="AH47" s="134">
        <v>17</v>
      </c>
      <c r="AI47" s="134">
        <v>18</v>
      </c>
      <c r="AJ47" s="134">
        <v>0</v>
      </c>
      <c r="AK47" s="134">
        <v>10</v>
      </c>
      <c r="AL47" s="134">
        <v>10</v>
      </c>
      <c r="AM47" s="134">
        <v>12</v>
      </c>
      <c r="AN47" s="134">
        <v>242</v>
      </c>
      <c r="AO47" s="134">
        <v>254</v>
      </c>
      <c r="AP47" s="134">
        <v>1733</v>
      </c>
      <c r="AQ47" s="134">
        <v>14673</v>
      </c>
      <c r="AR47" s="134">
        <v>16406</v>
      </c>
      <c r="AS47" s="134">
        <v>1747</v>
      </c>
      <c r="AT47" s="134">
        <v>14632</v>
      </c>
      <c r="AU47" s="134">
        <v>16379</v>
      </c>
      <c r="AV47" s="134">
        <v>-14</v>
      </c>
      <c r="AW47" s="134">
        <v>41</v>
      </c>
      <c r="AX47" s="134">
        <v>27</v>
      </c>
      <c r="AY47" s="134">
        <v>105</v>
      </c>
      <c r="AZ47" s="134">
        <v>1609</v>
      </c>
      <c r="BA47" s="134">
        <v>1714</v>
      </c>
      <c r="BB47" s="134">
        <v>72</v>
      </c>
      <c r="BC47" s="134">
        <v>1</v>
      </c>
      <c r="BD47" s="134">
        <v>0</v>
      </c>
      <c r="BE47" s="134">
        <v>930</v>
      </c>
      <c r="BF47" s="134">
        <v>4</v>
      </c>
      <c r="BG47" s="134">
        <v>4</v>
      </c>
      <c r="BH47" s="134">
        <v>73</v>
      </c>
      <c r="BI47" s="134">
        <v>938</v>
      </c>
      <c r="BJ47" s="134">
        <v>1011</v>
      </c>
      <c r="BK47" s="134">
        <v>-36</v>
      </c>
      <c r="BL47" s="134">
        <v>36</v>
      </c>
      <c r="BM47" s="134">
        <v>0</v>
      </c>
      <c r="BN47" s="134">
        <v>2</v>
      </c>
      <c r="BO47" s="134">
        <v>38</v>
      </c>
      <c r="BP47" s="134">
        <v>40</v>
      </c>
      <c r="BQ47" s="134">
        <v>6</v>
      </c>
      <c r="BR47" s="134">
        <v>148</v>
      </c>
      <c r="BS47" s="134">
        <v>154</v>
      </c>
      <c r="BT47" s="134">
        <v>60</v>
      </c>
      <c r="BU47" s="134">
        <v>449</v>
      </c>
      <c r="BV47" s="134">
        <v>509</v>
      </c>
      <c r="BW47" s="134">
        <v>1838</v>
      </c>
      <c r="BX47" s="134">
        <v>16282</v>
      </c>
      <c r="BY47" s="134">
        <v>18120</v>
      </c>
      <c r="BZ47" s="134">
        <v>1822</v>
      </c>
      <c r="CA47" s="134">
        <v>16105</v>
      </c>
      <c r="CB47" s="134">
        <v>17927</v>
      </c>
      <c r="CC47" s="134">
        <v>36304</v>
      </c>
      <c r="CD47" s="134">
        <v>16</v>
      </c>
      <c r="CE47" s="134">
        <v>130</v>
      </c>
      <c r="CF47" s="134">
        <v>16</v>
      </c>
      <c r="CG47" s="134">
        <v>119</v>
      </c>
      <c r="CH47" s="134">
        <v>135</v>
      </c>
      <c r="CI47" s="134">
        <v>0</v>
      </c>
      <c r="CJ47" s="134">
        <v>69</v>
      </c>
      <c r="CK47" s="134">
        <v>0</v>
      </c>
      <c r="CL47" s="134">
        <v>58</v>
      </c>
      <c r="CM47" s="134">
        <v>58</v>
      </c>
      <c r="CN47" s="134">
        <v>112</v>
      </c>
      <c r="CO47" s="134">
        <v>1455</v>
      </c>
      <c r="CP47" s="134">
        <v>1567</v>
      </c>
      <c r="CQ47" s="134">
        <v>0</v>
      </c>
      <c r="CR47" s="134">
        <v>0</v>
      </c>
      <c r="CS47" s="134">
        <v>0</v>
      </c>
      <c r="CT47" s="134">
        <v>1726</v>
      </c>
      <c r="CU47" s="134">
        <v>14827</v>
      </c>
      <c r="CV47" s="134">
        <v>16553</v>
      </c>
      <c r="CW47" s="134">
        <v>137</v>
      </c>
      <c r="CX47" s="134">
        <v>913</v>
      </c>
      <c r="CY47" s="134">
        <v>1050</v>
      </c>
      <c r="CZ47" s="134">
        <v>133</v>
      </c>
      <c r="DA47" s="134">
        <v>2</v>
      </c>
      <c r="DB47" s="134">
        <v>0</v>
      </c>
      <c r="DC47" s="134">
        <v>854</v>
      </c>
      <c r="DD47" s="134">
        <v>8</v>
      </c>
      <c r="DE47" s="134">
        <v>1</v>
      </c>
      <c r="DF47" s="134">
        <v>135</v>
      </c>
      <c r="DG47" s="134">
        <v>863</v>
      </c>
      <c r="DH47" s="134">
        <v>998</v>
      </c>
      <c r="DI47" s="134">
        <v>2</v>
      </c>
      <c r="DJ47" s="134">
        <v>0</v>
      </c>
      <c r="DK47" s="134">
        <v>0</v>
      </c>
      <c r="DL47" s="134">
        <v>49</v>
      </c>
      <c r="DM47" s="134">
        <v>1</v>
      </c>
      <c r="DN47" s="134">
        <v>0</v>
      </c>
      <c r="DO47" s="134">
        <v>2</v>
      </c>
      <c r="DP47" s="134">
        <v>50</v>
      </c>
      <c r="DQ47" s="134">
        <v>52</v>
      </c>
      <c r="DR47" s="134">
        <v>0</v>
      </c>
      <c r="DS47" s="134">
        <v>0</v>
      </c>
      <c r="DT47" s="135">
        <v>0</v>
      </c>
      <c r="DV47" s="136"/>
      <c r="DW47" s="137"/>
      <c r="DX47" s="136"/>
      <c r="DY47" s="136"/>
    </row>
    <row r="48" spans="1:129" s="137" customFormat="1">
      <c r="A48" s="133" t="s">
        <v>317</v>
      </c>
      <c r="B48" s="134">
        <v>3756</v>
      </c>
      <c r="C48" s="134">
        <v>1154</v>
      </c>
      <c r="D48" s="134">
        <v>3310</v>
      </c>
      <c r="E48" s="134">
        <v>1956</v>
      </c>
      <c r="F48" s="134">
        <v>3</v>
      </c>
      <c r="G48" s="134">
        <v>37</v>
      </c>
      <c r="H48" s="134">
        <v>40</v>
      </c>
      <c r="I48" s="134">
        <v>2</v>
      </c>
      <c r="J48" s="134">
        <v>941</v>
      </c>
      <c r="K48" s="134">
        <v>943</v>
      </c>
      <c r="L48" s="134">
        <v>0</v>
      </c>
      <c r="M48" s="134">
        <v>385</v>
      </c>
      <c r="N48" s="134">
        <v>385</v>
      </c>
      <c r="O48" s="134">
        <v>2</v>
      </c>
      <c r="P48" s="134">
        <v>556</v>
      </c>
      <c r="Q48" s="134">
        <v>558</v>
      </c>
      <c r="R48" s="134">
        <v>0</v>
      </c>
      <c r="S48" s="134">
        <v>43</v>
      </c>
      <c r="T48" s="134">
        <v>43</v>
      </c>
      <c r="U48" s="134">
        <v>0</v>
      </c>
      <c r="V48" s="134">
        <v>411</v>
      </c>
      <c r="W48" s="134">
        <v>411</v>
      </c>
      <c r="X48" s="134">
        <v>29</v>
      </c>
      <c r="Y48" s="134">
        <v>1910</v>
      </c>
      <c r="Z48" s="134">
        <v>1939</v>
      </c>
      <c r="AA48" s="134">
        <v>14</v>
      </c>
      <c r="AB48" s="134">
        <v>630</v>
      </c>
      <c r="AC48" s="134">
        <v>644</v>
      </c>
      <c r="AD48" s="134">
        <v>13</v>
      </c>
      <c r="AE48" s="134">
        <v>614</v>
      </c>
      <c r="AF48" s="134">
        <v>627</v>
      </c>
      <c r="AG48" s="134">
        <v>0</v>
      </c>
      <c r="AH48" s="134">
        <v>9</v>
      </c>
      <c r="AI48" s="134">
        <v>9</v>
      </c>
      <c r="AJ48" s="134">
        <v>1</v>
      </c>
      <c r="AK48" s="134">
        <v>7</v>
      </c>
      <c r="AL48" s="134">
        <v>8</v>
      </c>
      <c r="AM48" s="134">
        <v>15</v>
      </c>
      <c r="AN48" s="134">
        <v>1280</v>
      </c>
      <c r="AO48" s="134">
        <v>1295</v>
      </c>
      <c r="AP48" s="134">
        <v>3444</v>
      </c>
      <c r="AQ48" s="134">
        <v>40125</v>
      </c>
      <c r="AR48" s="134">
        <v>43569</v>
      </c>
      <c r="AS48" s="134">
        <v>3598</v>
      </c>
      <c r="AT48" s="134">
        <v>39781</v>
      </c>
      <c r="AU48" s="134">
        <v>43379</v>
      </c>
      <c r="AV48" s="134">
        <v>-154</v>
      </c>
      <c r="AW48" s="134">
        <v>344</v>
      </c>
      <c r="AX48" s="134">
        <v>190</v>
      </c>
      <c r="AY48" s="134">
        <v>289</v>
      </c>
      <c r="AZ48" s="134">
        <v>3276</v>
      </c>
      <c r="BA48" s="134">
        <v>3565</v>
      </c>
      <c r="BB48" s="134">
        <v>126</v>
      </c>
      <c r="BC48" s="134">
        <v>3</v>
      </c>
      <c r="BD48" s="134">
        <v>1</v>
      </c>
      <c r="BE48" s="134">
        <v>1765</v>
      </c>
      <c r="BF48" s="134">
        <v>19</v>
      </c>
      <c r="BG48" s="134">
        <v>42</v>
      </c>
      <c r="BH48" s="134">
        <v>130</v>
      </c>
      <c r="BI48" s="134">
        <v>1826</v>
      </c>
      <c r="BJ48" s="134">
        <v>1956</v>
      </c>
      <c r="BK48" s="134">
        <v>59</v>
      </c>
      <c r="BL48" s="134">
        <v>-59</v>
      </c>
      <c r="BM48" s="134">
        <v>0</v>
      </c>
      <c r="BN48" s="134">
        <v>4</v>
      </c>
      <c r="BO48" s="134">
        <v>45</v>
      </c>
      <c r="BP48" s="134">
        <v>49</v>
      </c>
      <c r="BQ48" s="134">
        <v>5</v>
      </c>
      <c r="BR48" s="134">
        <v>71</v>
      </c>
      <c r="BS48" s="134">
        <v>76</v>
      </c>
      <c r="BT48" s="134">
        <v>91</v>
      </c>
      <c r="BU48" s="134">
        <v>1393</v>
      </c>
      <c r="BV48" s="134">
        <v>1484</v>
      </c>
      <c r="BW48" s="134">
        <v>3733</v>
      </c>
      <c r="BX48" s="134">
        <v>43401</v>
      </c>
      <c r="BY48" s="134">
        <v>47134</v>
      </c>
      <c r="BZ48" s="134">
        <v>3642</v>
      </c>
      <c r="CA48" s="134">
        <v>42064</v>
      </c>
      <c r="CB48" s="134">
        <v>45706</v>
      </c>
      <c r="CC48" s="134">
        <v>89362</v>
      </c>
      <c r="CD48" s="134">
        <v>87</v>
      </c>
      <c r="CE48" s="134">
        <v>1000</v>
      </c>
      <c r="CF48" s="134">
        <v>88</v>
      </c>
      <c r="CG48" s="134">
        <v>753</v>
      </c>
      <c r="CH48" s="134">
        <v>841</v>
      </c>
      <c r="CI48" s="134">
        <v>788</v>
      </c>
      <c r="CJ48" s="134">
        <v>20</v>
      </c>
      <c r="CK48" s="134">
        <v>3</v>
      </c>
      <c r="CL48" s="134">
        <v>584</v>
      </c>
      <c r="CM48" s="134">
        <v>587</v>
      </c>
      <c r="CN48" s="134">
        <v>193</v>
      </c>
      <c r="CO48" s="134">
        <v>3434</v>
      </c>
      <c r="CP48" s="134">
        <v>3627</v>
      </c>
      <c r="CQ48" s="134">
        <v>0</v>
      </c>
      <c r="CR48" s="134">
        <v>0</v>
      </c>
      <c r="CS48" s="134">
        <v>0</v>
      </c>
      <c r="CT48" s="134">
        <v>3540</v>
      </c>
      <c r="CU48" s="134">
        <v>39967</v>
      </c>
      <c r="CV48" s="134">
        <v>43507</v>
      </c>
      <c r="CW48" s="134">
        <v>273</v>
      </c>
      <c r="CX48" s="134">
        <v>2701</v>
      </c>
      <c r="CY48" s="134">
        <v>2974</v>
      </c>
      <c r="CZ48" s="134">
        <v>253</v>
      </c>
      <c r="DA48" s="134">
        <v>6</v>
      </c>
      <c r="DB48" s="134">
        <v>0</v>
      </c>
      <c r="DC48" s="134">
        <v>2281</v>
      </c>
      <c r="DD48" s="134">
        <v>52</v>
      </c>
      <c r="DE48" s="134">
        <v>20</v>
      </c>
      <c r="DF48" s="134">
        <v>259</v>
      </c>
      <c r="DG48" s="134">
        <v>2353</v>
      </c>
      <c r="DH48" s="134">
        <v>2612</v>
      </c>
      <c r="DI48" s="134">
        <v>13</v>
      </c>
      <c r="DJ48" s="134">
        <v>1</v>
      </c>
      <c r="DK48" s="134">
        <v>0</v>
      </c>
      <c r="DL48" s="134">
        <v>335</v>
      </c>
      <c r="DM48" s="134">
        <v>9</v>
      </c>
      <c r="DN48" s="134">
        <v>4</v>
      </c>
      <c r="DO48" s="134">
        <v>14</v>
      </c>
      <c r="DP48" s="134">
        <v>348</v>
      </c>
      <c r="DQ48" s="134">
        <v>362</v>
      </c>
      <c r="DR48" s="134">
        <v>0</v>
      </c>
      <c r="DS48" s="134">
        <v>1</v>
      </c>
      <c r="DT48" s="135">
        <v>1</v>
      </c>
      <c r="DU48" s="116"/>
      <c r="DV48" s="136"/>
      <c r="DX48" s="136"/>
      <c r="DY48" s="136"/>
    </row>
    <row r="49" spans="1:129" s="137" customFormat="1">
      <c r="A49" s="133" t="s">
        <v>318</v>
      </c>
      <c r="B49" s="134">
        <v>737</v>
      </c>
      <c r="C49" s="134">
        <v>334</v>
      </c>
      <c r="D49" s="134">
        <v>833</v>
      </c>
      <c r="E49" s="134">
        <v>507</v>
      </c>
      <c r="F49" s="134">
        <v>1</v>
      </c>
      <c r="G49" s="134">
        <v>6</v>
      </c>
      <c r="H49" s="134">
        <v>7</v>
      </c>
      <c r="I49" s="134">
        <v>0</v>
      </c>
      <c r="J49" s="134">
        <v>252</v>
      </c>
      <c r="K49" s="134">
        <v>252</v>
      </c>
      <c r="L49" s="134">
        <v>0</v>
      </c>
      <c r="M49" s="134">
        <v>100</v>
      </c>
      <c r="N49" s="134">
        <v>100</v>
      </c>
      <c r="O49" s="134">
        <v>0</v>
      </c>
      <c r="P49" s="134">
        <v>152</v>
      </c>
      <c r="Q49" s="134">
        <v>152</v>
      </c>
      <c r="R49" s="134">
        <v>0</v>
      </c>
      <c r="S49" s="134">
        <v>33</v>
      </c>
      <c r="T49" s="134">
        <v>33</v>
      </c>
      <c r="U49" s="134">
        <v>0</v>
      </c>
      <c r="V49" s="134">
        <v>74</v>
      </c>
      <c r="W49" s="134">
        <v>74</v>
      </c>
      <c r="X49" s="134">
        <v>11</v>
      </c>
      <c r="Y49" s="134">
        <v>486</v>
      </c>
      <c r="Z49" s="134">
        <v>497</v>
      </c>
      <c r="AA49" s="134">
        <v>7</v>
      </c>
      <c r="AB49" s="134">
        <v>209</v>
      </c>
      <c r="AC49" s="134">
        <v>216</v>
      </c>
      <c r="AD49" s="134">
        <v>7</v>
      </c>
      <c r="AE49" s="134">
        <v>208</v>
      </c>
      <c r="AF49" s="134">
        <v>215</v>
      </c>
      <c r="AG49" s="134">
        <v>0</v>
      </c>
      <c r="AH49" s="134">
        <v>1</v>
      </c>
      <c r="AI49" s="134">
        <v>1</v>
      </c>
      <c r="AJ49" s="134">
        <v>0</v>
      </c>
      <c r="AK49" s="134">
        <v>0</v>
      </c>
      <c r="AL49" s="134">
        <v>0</v>
      </c>
      <c r="AM49" s="134">
        <v>4</v>
      </c>
      <c r="AN49" s="134">
        <v>277</v>
      </c>
      <c r="AO49" s="134">
        <v>281</v>
      </c>
      <c r="AP49" s="134">
        <v>933</v>
      </c>
      <c r="AQ49" s="134">
        <v>12027</v>
      </c>
      <c r="AR49" s="134">
        <v>12960</v>
      </c>
      <c r="AS49" s="134">
        <v>936</v>
      </c>
      <c r="AT49" s="134">
        <v>12021</v>
      </c>
      <c r="AU49" s="134">
        <v>12957</v>
      </c>
      <c r="AV49" s="134">
        <v>-3</v>
      </c>
      <c r="AW49" s="134">
        <v>6</v>
      </c>
      <c r="AX49" s="134">
        <v>3</v>
      </c>
      <c r="AY49" s="134">
        <v>46</v>
      </c>
      <c r="AZ49" s="134">
        <v>1150</v>
      </c>
      <c r="BA49" s="134">
        <v>1196</v>
      </c>
      <c r="BB49" s="134">
        <v>26</v>
      </c>
      <c r="BC49" s="134">
        <v>0</v>
      </c>
      <c r="BD49" s="134">
        <v>0</v>
      </c>
      <c r="BE49" s="134">
        <v>481</v>
      </c>
      <c r="BF49" s="134">
        <v>0</v>
      </c>
      <c r="BG49" s="134">
        <v>0</v>
      </c>
      <c r="BH49" s="134">
        <v>26</v>
      </c>
      <c r="BI49" s="134">
        <v>481</v>
      </c>
      <c r="BJ49" s="134">
        <v>507</v>
      </c>
      <c r="BK49" s="134">
        <v>-25</v>
      </c>
      <c r="BL49" s="134">
        <v>25</v>
      </c>
      <c r="BM49" s="134">
        <v>0</v>
      </c>
      <c r="BN49" s="134">
        <v>1</v>
      </c>
      <c r="BO49" s="134">
        <v>21</v>
      </c>
      <c r="BP49" s="134">
        <v>22</v>
      </c>
      <c r="BQ49" s="134">
        <v>0</v>
      </c>
      <c r="BR49" s="134">
        <v>5</v>
      </c>
      <c r="BS49" s="134">
        <v>5</v>
      </c>
      <c r="BT49" s="134">
        <v>44</v>
      </c>
      <c r="BU49" s="134">
        <v>618</v>
      </c>
      <c r="BV49" s="134">
        <v>662</v>
      </c>
      <c r="BW49" s="134">
        <v>979</v>
      </c>
      <c r="BX49" s="134">
        <v>13177</v>
      </c>
      <c r="BY49" s="134">
        <v>14156</v>
      </c>
      <c r="BZ49" s="134">
        <v>977</v>
      </c>
      <c r="CA49" s="134">
        <v>13121</v>
      </c>
      <c r="CB49" s="134">
        <v>14098</v>
      </c>
      <c r="CC49" s="134">
        <v>24928</v>
      </c>
      <c r="CD49" s="134">
        <v>2</v>
      </c>
      <c r="CE49" s="134">
        <v>58</v>
      </c>
      <c r="CF49" s="134">
        <v>2</v>
      </c>
      <c r="CG49" s="134">
        <v>47</v>
      </c>
      <c r="CH49" s="134">
        <v>49</v>
      </c>
      <c r="CI49" s="134">
        <v>0</v>
      </c>
      <c r="CJ49" s="134">
        <v>11</v>
      </c>
      <c r="CK49" s="134">
        <v>0</v>
      </c>
      <c r="CL49" s="134">
        <v>9</v>
      </c>
      <c r="CM49" s="134">
        <v>9</v>
      </c>
      <c r="CN49" s="134">
        <v>44</v>
      </c>
      <c r="CO49" s="134">
        <v>1281</v>
      </c>
      <c r="CP49" s="134">
        <v>1325</v>
      </c>
      <c r="CQ49" s="134">
        <v>0</v>
      </c>
      <c r="CR49" s="134">
        <v>0</v>
      </c>
      <c r="CS49" s="134">
        <v>0</v>
      </c>
      <c r="CT49" s="134">
        <v>935</v>
      </c>
      <c r="CU49" s="134">
        <v>11896</v>
      </c>
      <c r="CV49" s="134">
        <v>12831</v>
      </c>
      <c r="CW49" s="134">
        <v>90</v>
      </c>
      <c r="CX49" s="134">
        <v>643</v>
      </c>
      <c r="CY49" s="134">
        <v>733</v>
      </c>
      <c r="CZ49" s="134">
        <v>86</v>
      </c>
      <c r="DA49" s="134">
        <v>0</v>
      </c>
      <c r="DB49" s="134">
        <v>0</v>
      </c>
      <c r="DC49" s="134">
        <v>599</v>
      </c>
      <c r="DD49" s="134">
        <v>3</v>
      </c>
      <c r="DE49" s="134">
        <v>0</v>
      </c>
      <c r="DF49" s="134">
        <v>86</v>
      </c>
      <c r="DG49" s="134">
        <v>602</v>
      </c>
      <c r="DH49" s="134">
        <v>688</v>
      </c>
      <c r="DI49" s="134">
        <v>4</v>
      </c>
      <c r="DJ49" s="134">
        <v>0</v>
      </c>
      <c r="DK49" s="134">
        <v>0</v>
      </c>
      <c r="DL49" s="134">
        <v>40</v>
      </c>
      <c r="DM49" s="134">
        <v>1</v>
      </c>
      <c r="DN49" s="134">
        <v>0</v>
      </c>
      <c r="DO49" s="134">
        <v>4</v>
      </c>
      <c r="DP49" s="134">
        <v>41</v>
      </c>
      <c r="DQ49" s="134">
        <v>45</v>
      </c>
      <c r="DR49" s="134">
        <v>0</v>
      </c>
      <c r="DS49" s="134">
        <v>0</v>
      </c>
      <c r="DT49" s="135">
        <v>0</v>
      </c>
      <c r="DU49" s="116"/>
      <c r="DV49" s="136"/>
      <c r="DX49" s="136"/>
      <c r="DY49" s="136"/>
    </row>
    <row r="50" spans="1:129" s="137" customFormat="1">
      <c r="A50" s="133" t="s">
        <v>319</v>
      </c>
      <c r="B50" s="134">
        <v>1340</v>
      </c>
      <c r="C50" s="134">
        <v>330</v>
      </c>
      <c r="D50" s="134">
        <v>1229</v>
      </c>
      <c r="E50" s="134">
        <v>671</v>
      </c>
      <c r="F50" s="134">
        <v>1</v>
      </c>
      <c r="G50" s="134">
        <v>23</v>
      </c>
      <c r="H50" s="134">
        <v>24</v>
      </c>
      <c r="I50" s="134">
        <v>1</v>
      </c>
      <c r="J50" s="134">
        <v>528</v>
      </c>
      <c r="K50" s="134">
        <v>529</v>
      </c>
      <c r="L50" s="134">
        <v>1</v>
      </c>
      <c r="M50" s="134">
        <v>171</v>
      </c>
      <c r="N50" s="134">
        <v>172</v>
      </c>
      <c r="O50" s="134">
        <v>0</v>
      </c>
      <c r="P50" s="134">
        <v>357</v>
      </c>
      <c r="Q50" s="134">
        <v>357</v>
      </c>
      <c r="R50" s="134">
        <v>0</v>
      </c>
      <c r="S50" s="134">
        <v>15</v>
      </c>
      <c r="T50" s="134">
        <v>15</v>
      </c>
      <c r="U50" s="134">
        <v>0</v>
      </c>
      <c r="V50" s="134">
        <v>29</v>
      </c>
      <c r="W50" s="134">
        <v>29</v>
      </c>
      <c r="X50" s="134">
        <v>29</v>
      </c>
      <c r="Y50" s="134">
        <v>1200</v>
      </c>
      <c r="Z50" s="134">
        <v>1229</v>
      </c>
      <c r="AA50" s="134">
        <v>16</v>
      </c>
      <c r="AB50" s="134">
        <v>490</v>
      </c>
      <c r="AC50" s="134">
        <v>506</v>
      </c>
      <c r="AD50" s="134">
        <v>16</v>
      </c>
      <c r="AE50" s="134">
        <v>470</v>
      </c>
      <c r="AF50" s="134">
        <v>486</v>
      </c>
      <c r="AG50" s="134">
        <v>0</v>
      </c>
      <c r="AH50" s="134">
        <v>13</v>
      </c>
      <c r="AI50" s="134">
        <v>13</v>
      </c>
      <c r="AJ50" s="134">
        <v>0</v>
      </c>
      <c r="AK50" s="134">
        <v>7</v>
      </c>
      <c r="AL50" s="134">
        <v>7</v>
      </c>
      <c r="AM50" s="134">
        <v>13</v>
      </c>
      <c r="AN50" s="134">
        <v>710</v>
      </c>
      <c r="AO50" s="134">
        <v>723</v>
      </c>
      <c r="AP50" s="134">
        <v>1103</v>
      </c>
      <c r="AQ50" s="134">
        <v>10226</v>
      </c>
      <c r="AR50" s="134">
        <v>11329</v>
      </c>
      <c r="AS50" s="134">
        <v>1103</v>
      </c>
      <c r="AT50" s="134">
        <v>10226</v>
      </c>
      <c r="AU50" s="134">
        <v>11329</v>
      </c>
      <c r="AV50" s="134">
        <v>0</v>
      </c>
      <c r="AW50" s="134">
        <v>0</v>
      </c>
      <c r="AX50" s="134">
        <v>0</v>
      </c>
      <c r="AY50" s="134">
        <v>46</v>
      </c>
      <c r="AZ50" s="134">
        <v>1185</v>
      </c>
      <c r="BA50" s="134">
        <v>1231</v>
      </c>
      <c r="BB50" s="134">
        <v>32</v>
      </c>
      <c r="BC50" s="134">
        <v>0</v>
      </c>
      <c r="BD50" s="134">
        <v>0</v>
      </c>
      <c r="BE50" s="134">
        <v>638</v>
      </c>
      <c r="BF50" s="134">
        <v>1</v>
      </c>
      <c r="BG50" s="134">
        <v>0</v>
      </c>
      <c r="BH50" s="134">
        <v>32</v>
      </c>
      <c r="BI50" s="134">
        <v>639</v>
      </c>
      <c r="BJ50" s="134">
        <v>671</v>
      </c>
      <c r="BK50" s="134">
        <v>-28</v>
      </c>
      <c r="BL50" s="134">
        <v>28</v>
      </c>
      <c r="BM50" s="134">
        <v>0</v>
      </c>
      <c r="BN50" s="134">
        <v>6</v>
      </c>
      <c r="BO50" s="134">
        <v>42</v>
      </c>
      <c r="BP50" s="134">
        <v>48</v>
      </c>
      <c r="BQ50" s="134">
        <v>7</v>
      </c>
      <c r="BR50" s="134">
        <v>185</v>
      </c>
      <c r="BS50" s="134">
        <v>192</v>
      </c>
      <c r="BT50" s="134">
        <v>29</v>
      </c>
      <c r="BU50" s="134">
        <v>291</v>
      </c>
      <c r="BV50" s="134">
        <v>320</v>
      </c>
      <c r="BW50" s="134">
        <v>1149</v>
      </c>
      <c r="BX50" s="134">
        <v>11411</v>
      </c>
      <c r="BY50" s="134">
        <v>12560</v>
      </c>
      <c r="BZ50" s="134">
        <v>1146</v>
      </c>
      <c r="CA50" s="134">
        <v>11371</v>
      </c>
      <c r="CB50" s="134">
        <v>12517</v>
      </c>
      <c r="CC50" s="134">
        <v>23482</v>
      </c>
      <c r="CD50" s="134">
        <v>5</v>
      </c>
      <c r="CE50" s="134">
        <v>25</v>
      </c>
      <c r="CF50" s="134">
        <v>3</v>
      </c>
      <c r="CG50" s="134">
        <v>25</v>
      </c>
      <c r="CH50" s="134">
        <v>28</v>
      </c>
      <c r="CI50" s="134">
        <v>16</v>
      </c>
      <c r="CJ50" s="134">
        <v>3</v>
      </c>
      <c r="CK50" s="134">
        <v>0</v>
      </c>
      <c r="CL50" s="134">
        <v>15</v>
      </c>
      <c r="CM50" s="134">
        <v>15</v>
      </c>
      <c r="CN50" s="134">
        <v>75</v>
      </c>
      <c r="CO50" s="134">
        <v>1037</v>
      </c>
      <c r="CP50" s="134">
        <v>1112</v>
      </c>
      <c r="CQ50" s="134">
        <v>1</v>
      </c>
      <c r="CR50" s="134">
        <v>12</v>
      </c>
      <c r="CS50" s="134">
        <v>13</v>
      </c>
      <c r="CT50" s="134">
        <v>1074</v>
      </c>
      <c r="CU50" s="134">
        <v>10374</v>
      </c>
      <c r="CV50" s="134">
        <v>11448</v>
      </c>
      <c r="CW50" s="134">
        <v>74</v>
      </c>
      <c r="CX50" s="134">
        <v>467</v>
      </c>
      <c r="CY50" s="134">
        <v>541</v>
      </c>
      <c r="CZ50" s="134">
        <v>73</v>
      </c>
      <c r="DA50" s="134">
        <v>0</v>
      </c>
      <c r="DB50" s="134">
        <v>0</v>
      </c>
      <c r="DC50" s="134">
        <v>452</v>
      </c>
      <c r="DD50" s="134">
        <v>2</v>
      </c>
      <c r="DE50" s="134">
        <v>2</v>
      </c>
      <c r="DF50" s="134">
        <v>73</v>
      </c>
      <c r="DG50" s="134">
        <v>456</v>
      </c>
      <c r="DH50" s="134">
        <v>529</v>
      </c>
      <c r="DI50" s="134">
        <v>1</v>
      </c>
      <c r="DJ50" s="134">
        <v>0</v>
      </c>
      <c r="DK50" s="134">
        <v>0</v>
      </c>
      <c r="DL50" s="134">
        <v>11</v>
      </c>
      <c r="DM50" s="134">
        <v>0</v>
      </c>
      <c r="DN50" s="134">
        <v>0</v>
      </c>
      <c r="DO50" s="134">
        <v>1</v>
      </c>
      <c r="DP50" s="134">
        <v>11</v>
      </c>
      <c r="DQ50" s="134">
        <v>12</v>
      </c>
      <c r="DR50" s="134">
        <v>0</v>
      </c>
      <c r="DS50" s="134">
        <v>0</v>
      </c>
      <c r="DT50" s="135">
        <v>0</v>
      </c>
      <c r="DU50" s="116"/>
      <c r="DV50" s="136"/>
      <c r="DX50" s="136"/>
      <c r="DY50" s="136"/>
    </row>
    <row r="51" spans="1:129" s="137" customFormat="1">
      <c r="A51" s="133" t="s">
        <v>320</v>
      </c>
      <c r="B51" s="134">
        <v>18</v>
      </c>
      <c r="C51" s="134">
        <v>3</v>
      </c>
      <c r="D51" s="134">
        <v>18</v>
      </c>
      <c r="E51" s="134">
        <v>12</v>
      </c>
      <c r="F51" s="134">
        <v>0</v>
      </c>
      <c r="G51" s="134">
        <v>0</v>
      </c>
      <c r="H51" s="134">
        <v>0</v>
      </c>
      <c r="I51" s="134">
        <v>0</v>
      </c>
      <c r="J51" s="134">
        <v>4</v>
      </c>
      <c r="K51" s="134">
        <v>4</v>
      </c>
      <c r="L51" s="134">
        <v>0</v>
      </c>
      <c r="M51" s="134">
        <v>2</v>
      </c>
      <c r="N51" s="134">
        <v>2</v>
      </c>
      <c r="O51" s="134">
        <v>0</v>
      </c>
      <c r="P51" s="134">
        <v>2</v>
      </c>
      <c r="Q51" s="134">
        <v>2</v>
      </c>
      <c r="R51" s="134">
        <v>0</v>
      </c>
      <c r="S51" s="134">
        <v>0</v>
      </c>
      <c r="T51" s="134">
        <v>0</v>
      </c>
      <c r="U51" s="134">
        <v>0</v>
      </c>
      <c r="V51" s="134">
        <v>2</v>
      </c>
      <c r="W51" s="134">
        <v>2</v>
      </c>
      <c r="X51" s="134">
        <v>0</v>
      </c>
      <c r="Y51" s="134">
        <v>18</v>
      </c>
      <c r="Z51" s="134">
        <v>18</v>
      </c>
      <c r="AA51" s="134">
        <v>0</v>
      </c>
      <c r="AB51" s="134">
        <v>12</v>
      </c>
      <c r="AC51" s="134">
        <v>12</v>
      </c>
      <c r="AD51" s="134">
        <v>0</v>
      </c>
      <c r="AE51" s="134">
        <v>10</v>
      </c>
      <c r="AF51" s="134">
        <v>10</v>
      </c>
      <c r="AG51" s="134">
        <v>0</v>
      </c>
      <c r="AH51" s="134">
        <v>2</v>
      </c>
      <c r="AI51" s="134">
        <v>2</v>
      </c>
      <c r="AJ51" s="134">
        <v>0</v>
      </c>
      <c r="AK51" s="134">
        <v>0</v>
      </c>
      <c r="AL51" s="134">
        <v>0</v>
      </c>
      <c r="AM51" s="134">
        <v>0</v>
      </c>
      <c r="AN51" s="134">
        <v>6</v>
      </c>
      <c r="AO51" s="134">
        <v>6</v>
      </c>
      <c r="AP51" s="134">
        <v>10</v>
      </c>
      <c r="AQ51" s="134">
        <v>139</v>
      </c>
      <c r="AR51" s="134">
        <v>149</v>
      </c>
      <c r="AS51" s="134">
        <v>10</v>
      </c>
      <c r="AT51" s="134">
        <v>139</v>
      </c>
      <c r="AU51" s="134">
        <v>149</v>
      </c>
      <c r="AV51" s="134">
        <v>0</v>
      </c>
      <c r="AW51" s="134">
        <v>0</v>
      </c>
      <c r="AX51" s="134">
        <v>0</v>
      </c>
      <c r="AY51" s="134">
        <v>0</v>
      </c>
      <c r="AZ51" s="134">
        <v>15</v>
      </c>
      <c r="BA51" s="134">
        <v>15</v>
      </c>
      <c r="BB51" s="134">
        <v>0</v>
      </c>
      <c r="BC51" s="134">
        <v>0</v>
      </c>
      <c r="BD51" s="134">
        <v>0</v>
      </c>
      <c r="BE51" s="134">
        <v>12</v>
      </c>
      <c r="BF51" s="134">
        <v>0</v>
      </c>
      <c r="BG51" s="134">
        <v>0</v>
      </c>
      <c r="BH51" s="134">
        <v>0</v>
      </c>
      <c r="BI51" s="134">
        <v>12</v>
      </c>
      <c r="BJ51" s="134">
        <v>12</v>
      </c>
      <c r="BK51" s="134">
        <v>-1</v>
      </c>
      <c r="BL51" s="134">
        <v>1</v>
      </c>
      <c r="BM51" s="134">
        <v>0</v>
      </c>
      <c r="BN51" s="134">
        <v>0</v>
      </c>
      <c r="BO51" s="134">
        <v>0</v>
      </c>
      <c r="BP51" s="134">
        <v>0</v>
      </c>
      <c r="BQ51" s="134">
        <v>0</v>
      </c>
      <c r="BR51" s="134">
        <v>0</v>
      </c>
      <c r="BS51" s="134">
        <v>0</v>
      </c>
      <c r="BT51" s="134">
        <v>1</v>
      </c>
      <c r="BU51" s="134">
        <v>2</v>
      </c>
      <c r="BV51" s="134">
        <v>3</v>
      </c>
      <c r="BW51" s="134">
        <v>10</v>
      </c>
      <c r="BX51" s="134">
        <v>154</v>
      </c>
      <c r="BY51" s="134">
        <v>164</v>
      </c>
      <c r="BZ51" s="134">
        <v>10</v>
      </c>
      <c r="CA51" s="134">
        <v>153</v>
      </c>
      <c r="CB51" s="134">
        <v>163</v>
      </c>
      <c r="CC51" s="134">
        <v>274</v>
      </c>
      <c r="CD51" s="134">
        <v>0</v>
      </c>
      <c r="CE51" s="134">
        <v>1</v>
      </c>
      <c r="CF51" s="134">
        <v>0</v>
      </c>
      <c r="CG51" s="134">
        <v>1</v>
      </c>
      <c r="CH51" s="134">
        <v>1</v>
      </c>
      <c r="CI51" s="134">
        <v>0</v>
      </c>
      <c r="CJ51" s="134">
        <v>0</v>
      </c>
      <c r="CK51" s="134">
        <v>0</v>
      </c>
      <c r="CL51" s="134">
        <v>0</v>
      </c>
      <c r="CM51" s="134">
        <v>0</v>
      </c>
      <c r="CN51" s="134">
        <v>3</v>
      </c>
      <c r="CO51" s="134">
        <v>13</v>
      </c>
      <c r="CP51" s="134">
        <v>16</v>
      </c>
      <c r="CQ51" s="134">
        <v>0</v>
      </c>
      <c r="CR51" s="134">
        <v>0</v>
      </c>
      <c r="CS51" s="134">
        <v>0</v>
      </c>
      <c r="CT51" s="134">
        <v>7</v>
      </c>
      <c r="CU51" s="134">
        <v>141</v>
      </c>
      <c r="CV51" s="134">
        <v>148</v>
      </c>
      <c r="CW51" s="134">
        <v>0</v>
      </c>
      <c r="CX51" s="134">
        <v>8</v>
      </c>
      <c r="CY51" s="134">
        <v>8</v>
      </c>
      <c r="CZ51" s="134">
        <v>0</v>
      </c>
      <c r="DA51" s="134">
        <v>0</v>
      </c>
      <c r="DB51" s="134">
        <v>0</v>
      </c>
      <c r="DC51" s="134">
        <v>8</v>
      </c>
      <c r="DD51" s="134">
        <v>0</v>
      </c>
      <c r="DE51" s="134">
        <v>0</v>
      </c>
      <c r="DF51" s="134">
        <v>0</v>
      </c>
      <c r="DG51" s="134">
        <v>8</v>
      </c>
      <c r="DH51" s="134">
        <v>8</v>
      </c>
      <c r="DI51" s="134">
        <v>0</v>
      </c>
      <c r="DJ51" s="134">
        <v>0</v>
      </c>
      <c r="DK51" s="134">
        <v>0</v>
      </c>
      <c r="DL51" s="134">
        <v>0</v>
      </c>
      <c r="DM51" s="134">
        <v>0</v>
      </c>
      <c r="DN51" s="134">
        <v>0</v>
      </c>
      <c r="DO51" s="134">
        <v>0</v>
      </c>
      <c r="DP51" s="134">
        <v>0</v>
      </c>
      <c r="DQ51" s="134">
        <v>0</v>
      </c>
      <c r="DR51" s="134">
        <v>0</v>
      </c>
      <c r="DS51" s="134">
        <v>0</v>
      </c>
      <c r="DT51" s="135">
        <v>0</v>
      </c>
      <c r="DU51" s="116"/>
      <c r="DV51" s="136"/>
      <c r="DX51" s="136"/>
      <c r="DY51" s="136"/>
    </row>
    <row r="52" spans="1:129" s="137" customFormat="1">
      <c r="A52" s="133" t="s">
        <v>321</v>
      </c>
      <c r="B52" s="134">
        <v>308</v>
      </c>
      <c r="C52" s="134">
        <v>89</v>
      </c>
      <c r="D52" s="134">
        <v>273</v>
      </c>
      <c r="E52" s="134">
        <v>152</v>
      </c>
      <c r="F52" s="134">
        <v>0</v>
      </c>
      <c r="G52" s="134">
        <v>2</v>
      </c>
      <c r="H52" s="134">
        <v>2</v>
      </c>
      <c r="I52" s="134">
        <v>0</v>
      </c>
      <c r="J52" s="134">
        <v>112</v>
      </c>
      <c r="K52" s="134">
        <v>112</v>
      </c>
      <c r="L52" s="134">
        <v>0</v>
      </c>
      <c r="M52" s="134">
        <v>34</v>
      </c>
      <c r="N52" s="134">
        <v>34</v>
      </c>
      <c r="O52" s="134">
        <v>0</v>
      </c>
      <c r="P52" s="134">
        <v>78</v>
      </c>
      <c r="Q52" s="134">
        <v>78</v>
      </c>
      <c r="R52" s="134">
        <v>0</v>
      </c>
      <c r="S52" s="134">
        <v>1</v>
      </c>
      <c r="T52" s="134">
        <v>1</v>
      </c>
      <c r="U52" s="134">
        <v>0</v>
      </c>
      <c r="V52" s="134">
        <v>9</v>
      </c>
      <c r="W52" s="134">
        <v>9</v>
      </c>
      <c r="X52" s="134">
        <v>8</v>
      </c>
      <c r="Y52" s="134">
        <v>265</v>
      </c>
      <c r="Z52" s="134">
        <v>273</v>
      </c>
      <c r="AA52" s="134">
        <v>4</v>
      </c>
      <c r="AB52" s="134">
        <v>117</v>
      </c>
      <c r="AC52" s="134">
        <v>121</v>
      </c>
      <c r="AD52" s="134">
        <v>4</v>
      </c>
      <c r="AE52" s="134">
        <v>100</v>
      </c>
      <c r="AF52" s="134">
        <v>104</v>
      </c>
      <c r="AG52" s="134">
        <v>0</v>
      </c>
      <c r="AH52" s="134">
        <v>8</v>
      </c>
      <c r="AI52" s="134">
        <v>8</v>
      </c>
      <c r="AJ52" s="134">
        <v>0</v>
      </c>
      <c r="AK52" s="134">
        <v>9</v>
      </c>
      <c r="AL52" s="134">
        <v>9</v>
      </c>
      <c r="AM52" s="134">
        <v>4</v>
      </c>
      <c r="AN52" s="134">
        <v>148</v>
      </c>
      <c r="AO52" s="134">
        <v>152</v>
      </c>
      <c r="AP52" s="134">
        <v>316</v>
      </c>
      <c r="AQ52" s="134">
        <v>2517</v>
      </c>
      <c r="AR52" s="134">
        <v>2833</v>
      </c>
      <c r="AS52" s="134">
        <v>316</v>
      </c>
      <c r="AT52" s="134">
        <v>2517</v>
      </c>
      <c r="AU52" s="134">
        <v>2833</v>
      </c>
      <c r="AV52" s="134">
        <v>0</v>
      </c>
      <c r="AW52" s="134">
        <v>0</v>
      </c>
      <c r="AX52" s="134">
        <v>0</v>
      </c>
      <c r="AY52" s="134">
        <v>24</v>
      </c>
      <c r="AZ52" s="134">
        <v>252</v>
      </c>
      <c r="BA52" s="134">
        <v>276</v>
      </c>
      <c r="BB52" s="134">
        <v>9</v>
      </c>
      <c r="BC52" s="134">
        <v>0</v>
      </c>
      <c r="BD52" s="134">
        <v>0</v>
      </c>
      <c r="BE52" s="134">
        <v>143</v>
      </c>
      <c r="BF52" s="134">
        <v>0</v>
      </c>
      <c r="BG52" s="134">
        <v>0</v>
      </c>
      <c r="BH52" s="134">
        <v>9</v>
      </c>
      <c r="BI52" s="134">
        <v>143</v>
      </c>
      <c r="BJ52" s="134">
        <v>152</v>
      </c>
      <c r="BK52" s="134">
        <v>-7</v>
      </c>
      <c r="BL52" s="134">
        <v>7</v>
      </c>
      <c r="BM52" s="134">
        <v>0</v>
      </c>
      <c r="BN52" s="134">
        <v>0</v>
      </c>
      <c r="BO52" s="134">
        <v>7</v>
      </c>
      <c r="BP52" s="134">
        <v>7</v>
      </c>
      <c r="BQ52" s="134">
        <v>1</v>
      </c>
      <c r="BR52" s="134">
        <v>25</v>
      </c>
      <c r="BS52" s="134">
        <v>26</v>
      </c>
      <c r="BT52" s="134">
        <v>21</v>
      </c>
      <c r="BU52" s="134">
        <v>70</v>
      </c>
      <c r="BV52" s="134">
        <v>91</v>
      </c>
      <c r="BW52" s="134">
        <v>340</v>
      </c>
      <c r="BX52" s="134">
        <v>2769</v>
      </c>
      <c r="BY52" s="134">
        <v>3109</v>
      </c>
      <c r="BZ52" s="134">
        <v>340</v>
      </c>
      <c r="CA52" s="134">
        <v>2760</v>
      </c>
      <c r="CB52" s="134">
        <v>3100</v>
      </c>
      <c r="CC52" s="134">
        <v>6318</v>
      </c>
      <c r="CD52" s="134">
        <v>4</v>
      </c>
      <c r="CE52" s="134">
        <v>5</v>
      </c>
      <c r="CF52" s="134">
        <v>0</v>
      </c>
      <c r="CG52" s="134">
        <v>7</v>
      </c>
      <c r="CH52" s="134">
        <v>7</v>
      </c>
      <c r="CI52" s="134">
        <v>3</v>
      </c>
      <c r="CJ52" s="134">
        <v>0</v>
      </c>
      <c r="CK52" s="134">
        <v>0</v>
      </c>
      <c r="CL52" s="134">
        <v>2</v>
      </c>
      <c r="CM52" s="134">
        <v>2</v>
      </c>
      <c r="CN52" s="134">
        <v>34</v>
      </c>
      <c r="CO52" s="134">
        <v>228</v>
      </c>
      <c r="CP52" s="134">
        <v>262</v>
      </c>
      <c r="CQ52" s="134">
        <v>0</v>
      </c>
      <c r="CR52" s="134">
        <v>5</v>
      </c>
      <c r="CS52" s="134">
        <v>5</v>
      </c>
      <c r="CT52" s="134">
        <v>306</v>
      </c>
      <c r="CU52" s="134">
        <v>2541</v>
      </c>
      <c r="CV52" s="134">
        <v>2847</v>
      </c>
      <c r="CW52" s="134">
        <v>25</v>
      </c>
      <c r="CX52" s="134">
        <v>113</v>
      </c>
      <c r="CY52" s="134">
        <v>138</v>
      </c>
      <c r="CZ52" s="134">
        <v>25</v>
      </c>
      <c r="DA52" s="134">
        <v>0</v>
      </c>
      <c r="DB52" s="134">
        <v>0</v>
      </c>
      <c r="DC52" s="134">
        <v>111</v>
      </c>
      <c r="DD52" s="134">
        <v>0</v>
      </c>
      <c r="DE52" s="134">
        <v>0</v>
      </c>
      <c r="DF52" s="134">
        <v>25</v>
      </c>
      <c r="DG52" s="134">
        <v>111</v>
      </c>
      <c r="DH52" s="134">
        <v>136</v>
      </c>
      <c r="DI52" s="134">
        <v>0</v>
      </c>
      <c r="DJ52" s="134">
        <v>0</v>
      </c>
      <c r="DK52" s="134">
        <v>0</v>
      </c>
      <c r="DL52" s="134">
        <v>2</v>
      </c>
      <c r="DM52" s="134">
        <v>0</v>
      </c>
      <c r="DN52" s="134">
        <v>0</v>
      </c>
      <c r="DO52" s="134">
        <v>0</v>
      </c>
      <c r="DP52" s="134">
        <v>2</v>
      </c>
      <c r="DQ52" s="134">
        <v>2</v>
      </c>
      <c r="DR52" s="134">
        <v>0</v>
      </c>
      <c r="DS52" s="134">
        <v>0</v>
      </c>
      <c r="DT52" s="135">
        <v>0</v>
      </c>
      <c r="DU52" s="116"/>
      <c r="DV52" s="136"/>
      <c r="DX52" s="136"/>
      <c r="DY52" s="136"/>
    </row>
    <row r="53" spans="1:129" s="137" customFormat="1">
      <c r="A53" s="133" t="s">
        <v>322</v>
      </c>
      <c r="B53" s="134">
        <v>1182</v>
      </c>
      <c r="C53" s="134">
        <v>634</v>
      </c>
      <c r="D53" s="134">
        <v>1503</v>
      </c>
      <c r="E53" s="134">
        <v>900</v>
      </c>
      <c r="F53" s="134">
        <v>2</v>
      </c>
      <c r="G53" s="134">
        <v>21</v>
      </c>
      <c r="H53" s="134">
        <v>23</v>
      </c>
      <c r="I53" s="134">
        <v>1</v>
      </c>
      <c r="J53" s="134">
        <v>489</v>
      </c>
      <c r="K53" s="134">
        <v>490</v>
      </c>
      <c r="L53" s="134">
        <v>0</v>
      </c>
      <c r="M53" s="134">
        <v>140</v>
      </c>
      <c r="N53" s="134">
        <v>140</v>
      </c>
      <c r="O53" s="134">
        <v>1</v>
      </c>
      <c r="P53" s="134">
        <v>349</v>
      </c>
      <c r="Q53" s="134">
        <v>350</v>
      </c>
      <c r="R53" s="134">
        <v>0</v>
      </c>
      <c r="S53" s="134">
        <v>32</v>
      </c>
      <c r="T53" s="134">
        <v>32</v>
      </c>
      <c r="U53" s="134">
        <v>0</v>
      </c>
      <c r="V53" s="134">
        <v>113</v>
      </c>
      <c r="W53" s="134">
        <v>113</v>
      </c>
      <c r="X53" s="134">
        <v>23</v>
      </c>
      <c r="Y53" s="134">
        <v>874</v>
      </c>
      <c r="Z53" s="134">
        <v>897</v>
      </c>
      <c r="AA53" s="134">
        <v>12</v>
      </c>
      <c r="AB53" s="134">
        <v>492</v>
      </c>
      <c r="AC53" s="134">
        <v>504</v>
      </c>
      <c r="AD53" s="134">
        <v>11</v>
      </c>
      <c r="AE53" s="134">
        <v>478</v>
      </c>
      <c r="AF53" s="134">
        <v>489</v>
      </c>
      <c r="AG53" s="134">
        <v>1</v>
      </c>
      <c r="AH53" s="134">
        <v>13</v>
      </c>
      <c r="AI53" s="134">
        <v>14</v>
      </c>
      <c r="AJ53" s="134">
        <v>0</v>
      </c>
      <c r="AK53" s="134">
        <v>1</v>
      </c>
      <c r="AL53" s="134">
        <v>1</v>
      </c>
      <c r="AM53" s="134">
        <v>11</v>
      </c>
      <c r="AN53" s="134">
        <v>382</v>
      </c>
      <c r="AO53" s="134">
        <v>393</v>
      </c>
      <c r="AP53" s="134">
        <v>2098</v>
      </c>
      <c r="AQ53" s="134">
        <v>17112</v>
      </c>
      <c r="AR53" s="134">
        <v>19210</v>
      </c>
      <c r="AS53" s="134">
        <v>2167</v>
      </c>
      <c r="AT53" s="134">
        <v>16812</v>
      </c>
      <c r="AU53" s="134">
        <v>18979</v>
      </c>
      <c r="AV53" s="134">
        <v>-69</v>
      </c>
      <c r="AW53" s="134">
        <v>300</v>
      </c>
      <c r="AX53" s="134">
        <v>231</v>
      </c>
      <c r="AY53" s="134">
        <v>235</v>
      </c>
      <c r="AZ53" s="134">
        <v>1626</v>
      </c>
      <c r="BA53" s="134">
        <v>1861</v>
      </c>
      <c r="BB53" s="134">
        <v>70</v>
      </c>
      <c r="BC53" s="134">
        <v>1</v>
      </c>
      <c r="BD53" s="134">
        <v>0</v>
      </c>
      <c r="BE53" s="134">
        <v>824</v>
      </c>
      <c r="BF53" s="134">
        <v>4</v>
      </c>
      <c r="BG53" s="134">
        <v>1</v>
      </c>
      <c r="BH53" s="134">
        <v>71</v>
      </c>
      <c r="BI53" s="134">
        <v>829</v>
      </c>
      <c r="BJ53" s="134">
        <v>900</v>
      </c>
      <c r="BK53" s="134">
        <v>53</v>
      </c>
      <c r="BL53" s="134">
        <v>-53</v>
      </c>
      <c r="BM53" s="134">
        <v>0</v>
      </c>
      <c r="BN53" s="134">
        <v>11</v>
      </c>
      <c r="BO53" s="134">
        <v>35</v>
      </c>
      <c r="BP53" s="134">
        <v>46</v>
      </c>
      <c r="BQ53" s="134">
        <v>5</v>
      </c>
      <c r="BR53" s="134">
        <v>115</v>
      </c>
      <c r="BS53" s="134">
        <v>120</v>
      </c>
      <c r="BT53" s="134">
        <v>95</v>
      </c>
      <c r="BU53" s="134">
        <v>700</v>
      </c>
      <c r="BV53" s="134">
        <v>795</v>
      </c>
      <c r="BW53" s="134">
        <v>2333</v>
      </c>
      <c r="BX53" s="134">
        <v>18738</v>
      </c>
      <c r="BY53" s="134">
        <v>21071</v>
      </c>
      <c r="BZ53" s="134">
        <v>2314</v>
      </c>
      <c r="CA53" s="134">
        <v>18537</v>
      </c>
      <c r="CB53" s="134">
        <v>20851</v>
      </c>
      <c r="CC53" s="134">
        <v>39060</v>
      </c>
      <c r="CD53" s="134">
        <v>189</v>
      </c>
      <c r="CE53" s="134">
        <v>162</v>
      </c>
      <c r="CF53" s="134">
        <v>19</v>
      </c>
      <c r="CG53" s="134">
        <v>139</v>
      </c>
      <c r="CH53" s="134">
        <v>158</v>
      </c>
      <c r="CI53" s="134">
        <v>84</v>
      </c>
      <c r="CJ53" s="134">
        <v>63</v>
      </c>
      <c r="CK53" s="134">
        <v>0</v>
      </c>
      <c r="CL53" s="134">
        <v>62</v>
      </c>
      <c r="CM53" s="134">
        <v>62</v>
      </c>
      <c r="CN53" s="134">
        <v>139</v>
      </c>
      <c r="CO53" s="134">
        <v>1663</v>
      </c>
      <c r="CP53" s="134">
        <v>1802</v>
      </c>
      <c r="CQ53" s="134">
        <v>0</v>
      </c>
      <c r="CR53" s="134">
        <v>0</v>
      </c>
      <c r="CS53" s="134">
        <v>0</v>
      </c>
      <c r="CT53" s="134">
        <v>2194</v>
      </c>
      <c r="CU53" s="134">
        <v>17075</v>
      </c>
      <c r="CV53" s="134">
        <v>19269</v>
      </c>
      <c r="CW53" s="134">
        <v>191</v>
      </c>
      <c r="CX53" s="134">
        <v>1050</v>
      </c>
      <c r="CY53" s="134">
        <v>1241</v>
      </c>
      <c r="CZ53" s="134">
        <v>183</v>
      </c>
      <c r="DA53" s="134">
        <v>3</v>
      </c>
      <c r="DB53" s="134">
        <v>0</v>
      </c>
      <c r="DC53" s="134">
        <v>1011</v>
      </c>
      <c r="DD53" s="134">
        <v>6</v>
      </c>
      <c r="DE53" s="134">
        <v>2</v>
      </c>
      <c r="DF53" s="134">
        <v>186</v>
      </c>
      <c r="DG53" s="134">
        <v>1019</v>
      </c>
      <c r="DH53" s="134">
        <v>1205</v>
      </c>
      <c r="DI53" s="134">
        <v>5</v>
      </c>
      <c r="DJ53" s="134">
        <v>0</v>
      </c>
      <c r="DK53" s="134">
        <v>0</v>
      </c>
      <c r="DL53" s="134">
        <v>31</v>
      </c>
      <c r="DM53" s="134">
        <v>0</v>
      </c>
      <c r="DN53" s="134">
        <v>0</v>
      </c>
      <c r="DO53" s="134">
        <v>5</v>
      </c>
      <c r="DP53" s="134">
        <v>31</v>
      </c>
      <c r="DQ53" s="134">
        <v>36</v>
      </c>
      <c r="DR53" s="134">
        <v>0</v>
      </c>
      <c r="DS53" s="134">
        <v>0</v>
      </c>
      <c r="DT53" s="135">
        <v>0</v>
      </c>
      <c r="DU53" s="116"/>
      <c r="DV53" s="136"/>
      <c r="DX53" s="136"/>
      <c r="DY53" s="136"/>
    </row>
    <row r="54" spans="1:129" s="137" customFormat="1">
      <c r="A54" s="133" t="s">
        <v>323</v>
      </c>
      <c r="B54" s="134">
        <v>1234</v>
      </c>
      <c r="C54" s="134">
        <v>530</v>
      </c>
      <c r="D54" s="134">
        <v>964</v>
      </c>
      <c r="E54" s="134">
        <v>482</v>
      </c>
      <c r="F54" s="134">
        <v>0</v>
      </c>
      <c r="G54" s="134">
        <v>13</v>
      </c>
      <c r="H54" s="134">
        <v>13</v>
      </c>
      <c r="I54" s="134">
        <v>0</v>
      </c>
      <c r="J54" s="134">
        <v>431</v>
      </c>
      <c r="K54" s="134">
        <v>431</v>
      </c>
      <c r="L54" s="134">
        <v>0</v>
      </c>
      <c r="M54" s="134">
        <v>137</v>
      </c>
      <c r="N54" s="134">
        <v>137</v>
      </c>
      <c r="O54" s="134">
        <v>0</v>
      </c>
      <c r="P54" s="134">
        <v>294</v>
      </c>
      <c r="Q54" s="134">
        <v>294</v>
      </c>
      <c r="R54" s="134">
        <v>0</v>
      </c>
      <c r="S54" s="134">
        <v>8</v>
      </c>
      <c r="T54" s="134">
        <v>8</v>
      </c>
      <c r="U54" s="134">
        <v>0</v>
      </c>
      <c r="V54" s="134">
        <v>51</v>
      </c>
      <c r="W54" s="134">
        <v>51</v>
      </c>
      <c r="X54" s="134">
        <v>9</v>
      </c>
      <c r="Y54" s="134">
        <v>955</v>
      </c>
      <c r="Z54" s="134">
        <v>964</v>
      </c>
      <c r="AA54" s="134">
        <v>5</v>
      </c>
      <c r="AB54" s="134">
        <v>453</v>
      </c>
      <c r="AC54" s="134">
        <v>458</v>
      </c>
      <c r="AD54" s="134">
        <v>3</v>
      </c>
      <c r="AE54" s="134">
        <v>413</v>
      </c>
      <c r="AF54" s="134">
        <v>416</v>
      </c>
      <c r="AG54" s="134">
        <v>2</v>
      </c>
      <c r="AH54" s="134">
        <v>29</v>
      </c>
      <c r="AI54" s="134">
        <v>31</v>
      </c>
      <c r="AJ54" s="134">
        <v>0</v>
      </c>
      <c r="AK54" s="134">
        <v>11</v>
      </c>
      <c r="AL54" s="134">
        <v>11</v>
      </c>
      <c r="AM54" s="134">
        <v>4</v>
      </c>
      <c r="AN54" s="134">
        <v>502</v>
      </c>
      <c r="AO54" s="134">
        <v>506</v>
      </c>
      <c r="AP54" s="134">
        <v>1190</v>
      </c>
      <c r="AQ54" s="134">
        <v>15221</v>
      </c>
      <c r="AR54" s="134">
        <v>16411</v>
      </c>
      <c r="AS54" s="134">
        <v>1154</v>
      </c>
      <c r="AT54" s="134">
        <v>14562</v>
      </c>
      <c r="AU54" s="134">
        <v>15716</v>
      </c>
      <c r="AV54" s="134">
        <v>36</v>
      </c>
      <c r="AW54" s="134">
        <v>659</v>
      </c>
      <c r="AX54" s="134">
        <v>695</v>
      </c>
      <c r="AY54" s="134">
        <v>42</v>
      </c>
      <c r="AZ54" s="134">
        <v>823</v>
      </c>
      <c r="BA54" s="134">
        <v>865</v>
      </c>
      <c r="BB54" s="134">
        <v>27</v>
      </c>
      <c r="BC54" s="134">
        <v>0</v>
      </c>
      <c r="BD54" s="134">
        <v>0</v>
      </c>
      <c r="BE54" s="134">
        <v>445</v>
      </c>
      <c r="BF54" s="134">
        <v>5</v>
      </c>
      <c r="BG54" s="134">
        <v>5</v>
      </c>
      <c r="BH54" s="134">
        <v>27</v>
      </c>
      <c r="BI54" s="134">
        <v>455</v>
      </c>
      <c r="BJ54" s="134">
        <v>482</v>
      </c>
      <c r="BK54" s="134">
        <v>-2</v>
      </c>
      <c r="BL54" s="134">
        <v>2</v>
      </c>
      <c r="BM54" s="134">
        <v>0</v>
      </c>
      <c r="BN54" s="134">
        <v>1</v>
      </c>
      <c r="BO54" s="134">
        <v>12</v>
      </c>
      <c r="BP54" s="134">
        <v>13</v>
      </c>
      <c r="BQ54" s="134">
        <v>8</v>
      </c>
      <c r="BR54" s="134">
        <v>148</v>
      </c>
      <c r="BS54" s="134">
        <v>156</v>
      </c>
      <c r="BT54" s="134">
        <v>8</v>
      </c>
      <c r="BU54" s="134">
        <v>206</v>
      </c>
      <c r="BV54" s="134">
        <v>214</v>
      </c>
      <c r="BW54" s="134">
        <v>1232</v>
      </c>
      <c r="BX54" s="134">
        <v>16044</v>
      </c>
      <c r="BY54" s="134">
        <v>17276</v>
      </c>
      <c r="BZ54" s="134">
        <v>1201</v>
      </c>
      <c r="CA54" s="134">
        <v>15774</v>
      </c>
      <c r="CB54" s="134">
        <v>16975</v>
      </c>
      <c r="CC54" s="134">
        <v>30403</v>
      </c>
      <c r="CD54" s="134">
        <v>19</v>
      </c>
      <c r="CE54" s="134">
        <v>285</v>
      </c>
      <c r="CF54" s="134">
        <v>31</v>
      </c>
      <c r="CG54" s="134">
        <v>222</v>
      </c>
      <c r="CH54" s="134">
        <v>253</v>
      </c>
      <c r="CI54" s="134">
        <v>63</v>
      </c>
      <c r="CJ54" s="134">
        <v>3</v>
      </c>
      <c r="CK54" s="134">
        <v>0</v>
      </c>
      <c r="CL54" s="134">
        <v>48</v>
      </c>
      <c r="CM54" s="134">
        <v>48</v>
      </c>
      <c r="CN54" s="134">
        <v>60</v>
      </c>
      <c r="CO54" s="134">
        <v>1542</v>
      </c>
      <c r="CP54" s="134">
        <v>1602</v>
      </c>
      <c r="CQ54" s="134">
        <v>0</v>
      </c>
      <c r="CR54" s="134">
        <v>0</v>
      </c>
      <c r="CS54" s="134">
        <v>0</v>
      </c>
      <c r="CT54" s="134">
        <v>1172</v>
      </c>
      <c r="CU54" s="134">
        <v>14502</v>
      </c>
      <c r="CV54" s="134">
        <v>15674</v>
      </c>
      <c r="CW54" s="134">
        <v>82</v>
      </c>
      <c r="CX54" s="134">
        <v>698</v>
      </c>
      <c r="CY54" s="134">
        <v>780</v>
      </c>
      <c r="CZ54" s="134">
        <v>80</v>
      </c>
      <c r="DA54" s="134">
        <v>0</v>
      </c>
      <c r="DB54" s="134">
        <v>0</v>
      </c>
      <c r="DC54" s="134">
        <v>663</v>
      </c>
      <c r="DD54" s="134">
        <v>7</v>
      </c>
      <c r="DE54" s="134">
        <v>3</v>
      </c>
      <c r="DF54" s="134">
        <v>80</v>
      </c>
      <c r="DG54" s="134">
        <v>673</v>
      </c>
      <c r="DH54" s="134">
        <v>753</v>
      </c>
      <c r="DI54" s="134">
        <v>2</v>
      </c>
      <c r="DJ54" s="134">
        <v>0</v>
      </c>
      <c r="DK54" s="134">
        <v>0</v>
      </c>
      <c r="DL54" s="134">
        <v>22</v>
      </c>
      <c r="DM54" s="134">
        <v>3</v>
      </c>
      <c r="DN54" s="134">
        <v>0</v>
      </c>
      <c r="DO54" s="134">
        <v>2</v>
      </c>
      <c r="DP54" s="134">
        <v>25</v>
      </c>
      <c r="DQ54" s="134">
        <v>27</v>
      </c>
      <c r="DR54" s="134">
        <v>0</v>
      </c>
      <c r="DS54" s="134">
        <v>0</v>
      </c>
      <c r="DT54" s="135">
        <v>0</v>
      </c>
      <c r="DU54" s="116"/>
      <c r="DV54" s="136"/>
      <c r="DX54" s="136"/>
      <c r="DY54" s="136"/>
    </row>
    <row r="55" spans="1:129" s="137" customFormat="1">
      <c r="A55" s="133" t="s">
        <v>324</v>
      </c>
      <c r="B55" s="134">
        <v>3293</v>
      </c>
      <c r="C55" s="134">
        <v>841</v>
      </c>
      <c r="D55" s="134">
        <v>3156</v>
      </c>
      <c r="E55" s="134">
        <v>2027</v>
      </c>
      <c r="F55" s="134">
        <v>2</v>
      </c>
      <c r="G55" s="134">
        <v>28</v>
      </c>
      <c r="H55" s="134">
        <v>30</v>
      </c>
      <c r="I55" s="134">
        <v>1</v>
      </c>
      <c r="J55" s="134">
        <v>1048</v>
      </c>
      <c r="K55" s="134">
        <v>1049</v>
      </c>
      <c r="L55" s="134">
        <v>1</v>
      </c>
      <c r="M55" s="134">
        <v>596</v>
      </c>
      <c r="N55" s="134">
        <v>597</v>
      </c>
      <c r="O55" s="134">
        <v>0</v>
      </c>
      <c r="P55" s="134">
        <v>452</v>
      </c>
      <c r="Q55" s="134">
        <v>452</v>
      </c>
      <c r="R55" s="134">
        <v>0</v>
      </c>
      <c r="S55" s="134">
        <v>6</v>
      </c>
      <c r="T55" s="134">
        <v>6</v>
      </c>
      <c r="U55" s="134">
        <v>0</v>
      </c>
      <c r="V55" s="134">
        <v>80</v>
      </c>
      <c r="W55" s="134">
        <v>80</v>
      </c>
      <c r="X55" s="134">
        <v>70</v>
      </c>
      <c r="Y55" s="134">
        <v>3085</v>
      </c>
      <c r="Z55" s="134">
        <v>3155</v>
      </c>
      <c r="AA55" s="134">
        <v>37</v>
      </c>
      <c r="AB55" s="134">
        <v>1295</v>
      </c>
      <c r="AC55" s="134">
        <v>1332</v>
      </c>
      <c r="AD55" s="134">
        <v>34</v>
      </c>
      <c r="AE55" s="134">
        <v>1234</v>
      </c>
      <c r="AF55" s="134">
        <v>1268</v>
      </c>
      <c r="AG55" s="134">
        <v>1</v>
      </c>
      <c r="AH55" s="134">
        <v>37</v>
      </c>
      <c r="AI55" s="134">
        <v>38</v>
      </c>
      <c r="AJ55" s="134">
        <v>2</v>
      </c>
      <c r="AK55" s="134">
        <v>24</v>
      </c>
      <c r="AL55" s="134">
        <v>26</v>
      </c>
      <c r="AM55" s="134">
        <v>33</v>
      </c>
      <c r="AN55" s="134">
        <v>1790</v>
      </c>
      <c r="AO55" s="134">
        <v>1823</v>
      </c>
      <c r="AP55" s="134">
        <v>4816</v>
      </c>
      <c r="AQ55" s="134">
        <v>31928</v>
      </c>
      <c r="AR55" s="134">
        <v>36744</v>
      </c>
      <c r="AS55" s="134">
        <v>4816</v>
      </c>
      <c r="AT55" s="134">
        <v>31928</v>
      </c>
      <c r="AU55" s="134">
        <v>36744</v>
      </c>
      <c r="AV55" s="134">
        <v>0</v>
      </c>
      <c r="AW55" s="134">
        <v>0</v>
      </c>
      <c r="AX55" s="134">
        <v>0</v>
      </c>
      <c r="AY55" s="134">
        <v>250</v>
      </c>
      <c r="AZ55" s="134">
        <v>3275</v>
      </c>
      <c r="BA55" s="134">
        <v>3525</v>
      </c>
      <c r="BB55" s="134">
        <v>80</v>
      </c>
      <c r="BC55" s="134">
        <v>3</v>
      </c>
      <c r="BD55" s="134">
        <v>0</v>
      </c>
      <c r="BE55" s="134">
        <v>1937</v>
      </c>
      <c r="BF55" s="134">
        <v>4</v>
      </c>
      <c r="BG55" s="134">
        <v>3</v>
      </c>
      <c r="BH55" s="134">
        <v>83</v>
      </c>
      <c r="BI55" s="134">
        <v>1944</v>
      </c>
      <c r="BJ55" s="134">
        <v>2027</v>
      </c>
      <c r="BK55" s="134">
        <v>-1</v>
      </c>
      <c r="BL55" s="134">
        <v>1</v>
      </c>
      <c r="BM55" s="134">
        <v>0</v>
      </c>
      <c r="BN55" s="134">
        <v>18</v>
      </c>
      <c r="BO55" s="134">
        <v>76</v>
      </c>
      <c r="BP55" s="134">
        <v>94</v>
      </c>
      <c r="BQ55" s="134">
        <v>42</v>
      </c>
      <c r="BR55" s="134">
        <v>549</v>
      </c>
      <c r="BS55" s="134">
        <v>591</v>
      </c>
      <c r="BT55" s="134">
        <v>108</v>
      </c>
      <c r="BU55" s="134">
        <v>705</v>
      </c>
      <c r="BV55" s="134">
        <v>813</v>
      </c>
      <c r="BW55" s="134">
        <v>5066</v>
      </c>
      <c r="BX55" s="134">
        <v>35203</v>
      </c>
      <c r="BY55" s="134">
        <v>40269</v>
      </c>
      <c r="BZ55" s="134">
        <v>5031</v>
      </c>
      <c r="CA55" s="134">
        <v>35011</v>
      </c>
      <c r="CB55" s="134">
        <v>40042</v>
      </c>
      <c r="CC55" s="134">
        <v>83420</v>
      </c>
      <c r="CD55" s="134">
        <v>12</v>
      </c>
      <c r="CE55" s="134">
        <v>214</v>
      </c>
      <c r="CF55" s="134">
        <v>35</v>
      </c>
      <c r="CG55" s="134">
        <v>162</v>
      </c>
      <c r="CH55" s="134">
        <v>197</v>
      </c>
      <c r="CI55" s="134">
        <v>31</v>
      </c>
      <c r="CJ55" s="134">
        <v>6</v>
      </c>
      <c r="CK55" s="134">
        <v>0</v>
      </c>
      <c r="CL55" s="134">
        <v>30</v>
      </c>
      <c r="CM55" s="134">
        <v>30</v>
      </c>
      <c r="CN55" s="134">
        <v>257</v>
      </c>
      <c r="CO55" s="134">
        <v>3220</v>
      </c>
      <c r="CP55" s="134">
        <v>3477</v>
      </c>
      <c r="CQ55" s="134">
        <v>0</v>
      </c>
      <c r="CR55" s="134">
        <v>3</v>
      </c>
      <c r="CS55" s="134">
        <v>3</v>
      </c>
      <c r="CT55" s="134">
        <v>4809</v>
      </c>
      <c r="CU55" s="134">
        <v>31983</v>
      </c>
      <c r="CV55" s="134">
        <v>36792</v>
      </c>
      <c r="CW55" s="134">
        <v>386</v>
      </c>
      <c r="CX55" s="134">
        <v>1613</v>
      </c>
      <c r="CY55" s="134">
        <v>1999</v>
      </c>
      <c r="CZ55" s="134">
        <v>385</v>
      </c>
      <c r="DA55" s="134">
        <v>0</v>
      </c>
      <c r="DB55" s="134">
        <v>0</v>
      </c>
      <c r="DC55" s="134">
        <v>1589</v>
      </c>
      <c r="DD55" s="134">
        <v>7</v>
      </c>
      <c r="DE55" s="134">
        <v>1</v>
      </c>
      <c r="DF55" s="134">
        <v>385</v>
      </c>
      <c r="DG55" s="134">
        <v>1597</v>
      </c>
      <c r="DH55" s="134">
        <v>1982</v>
      </c>
      <c r="DI55" s="134">
        <v>1</v>
      </c>
      <c r="DJ55" s="134">
        <v>0</v>
      </c>
      <c r="DK55" s="134">
        <v>0</v>
      </c>
      <c r="DL55" s="134">
        <v>16</v>
      </c>
      <c r="DM55" s="134">
        <v>0</v>
      </c>
      <c r="DN55" s="134">
        <v>0</v>
      </c>
      <c r="DO55" s="134">
        <v>1</v>
      </c>
      <c r="DP55" s="134">
        <v>16</v>
      </c>
      <c r="DQ55" s="134">
        <v>17</v>
      </c>
      <c r="DR55" s="134">
        <v>0</v>
      </c>
      <c r="DS55" s="134">
        <v>0</v>
      </c>
      <c r="DT55" s="135">
        <v>0</v>
      </c>
      <c r="DU55" s="116"/>
      <c r="DV55" s="136"/>
      <c r="DX55" s="136"/>
      <c r="DY55" s="136"/>
    </row>
    <row r="56" spans="1:129" s="137" customFormat="1">
      <c r="A56" s="133" t="s">
        <v>325</v>
      </c>
      <c r="B56" s="134">
        <v>464</v>
      </c>
      <c r="C56" s="134">
        <v>136</v>
      </c>
      <c r="D56" s="134">
        <v>418</v>
      </c>
      <c r="E56" s="134">
        <v>231</v>
      </c>
      <c r="F56" s="134">
        <v>0</v>
      </c>
      <c r="G56" s="134">
        <v>1</v>
      </c>
      <c r="H56" s="134">
        <v>1</v>
      </c>
      <c r="I56" s="134">
        <v>0</v>
      </c>
      <c r="J56" s="134">
        <v>172</v>
      </c>
      <c r="K56" s="134">
        <v>172</v>
      </c>
      <c r="L56" s="134">
        <v>0</v>
      </c>
      <c r="M56" s="134">
        <v>76</v>
      </c>
      <c r="N56" s="134">
        <v>76</v>
      </c>
      <c r="O56" s="134">
        <v>0</v>
      </c>
      <c r="P56" s="134">
        <v>96</v>
      </c>
      <c r="Q56" s="134">
        <v>96</v>
      </c>
      <c r="R56" s="134">
        <v>0</v>
      </c>
      <c r="S56" s="134">
        <v>3</v>
      </c>
      <c r="T56" s="134">
        <v>3</v>
      </c>
      <c r="U56" s="134">
        <v>0</v>
      </c>
      <c r="V56" s="134">
        <v>15</v>
      </c>
      <c r="W56" s="134">
        <v>15</v>
      </c>
      <c r="X56" s="134">
        <v>8</v>
      </c>
      <c r="Y56" s="134">
        <v>409</v>
      </c>
      <c r="Z56" s="134">
        <v>417</v>
      </c>
      <c r="AA56" s="134">
        <v>7</v>
      </c>
      <c r="AB56" s="134">
        <v>189</v>
      </c>
      <c r="AC56" s="134">
        <v>196</v>
      </c>
      <c r="AD56" s="134">
        <v>3</v>
      </c>
      <c r="AE56" s="134">
        <v>175</v>
      </c>
      <c r="AF56" s="134">
        <v>178</v>
      </c>
      <c r="AG56" s="134">
        <v>2</v>
      </c>
      <c r="AH56" s="134">
        <v>9</v>
      </c>
      <c r="AI56" s="134">
        <v>11</v>
      </c>
      <c r="AJ56" s="134">
        <v>2</v>
      </c>
      <c r="AK56" s="134">
        <v>5</v>
      </c>
      <c r="AL56" s="134">
        <v>7</v>
      </c>
      <c r="AM56" s="134">
        <v>1</v>
      </c>
      <c r="AN56" s="134">
        <v>220</v>
      </c>
      <c r="AO56" s="134">
        <v>221</v>
      </c>
      <c r="AP56" s="134">
        <v>637</v>
      </c>
      <c r="AQ56" s="134">
        <v>4388</v>
      </c>
      <c r="AR56" s="134">
        <v>5025</v>
      </c>
      <c r="AS56" s="134">
        <v>637</v>
      </c>
      <c r="AT56" s="134">
        <v>4388</v>
      </c>
      <c r="AU56" s="134">
        <v>5025</v>
      </c>
      <c r="AV56" s="134">
        <v>0</v>
      </c>
      <c r="AW56" s="134">
        <v>0</v>
      </c>
      <c r="AX56" s="134">
        <v>0</v>
      </c>
      <c r="AY56" s="134">
        <v>20</v>
      </c>
      <c r="AZ56" s="134">
        <v>443</v>
      </c>
      <c r="BA56" s="134">
        <v>463</v>
      </c>
      <c r="BB56" s="134">
        <v>12</v>
      </c>
      <c r="BC56" s="134">
        <v>0</v>
      </c>
      <c r="BD56" s="134">
        <v>0</v>
      </c>
      <c r="BE56" s="134">
        <v>218</v>
      </c>
      <c r="BF56" s="134">
        <v>1</v>
      </c>
      <c r="BG56" s="134">
        <v>0</v>
      </c>
      <c r="BH56" s="134">
        <v>12</v>
      </c>
      <c r="BI56" s="134">
        <v>219</v>
      </c>
      <c r="BJ56" s="134">
        <v>231</v>
      </c>
      <c r="BK56" s="134">
        <v>-21</v>
      </c>
      <c r="BL56" s="134">
        <v>21</v>
      </c>
      <c r="BM56" s="134">
        <v>0</v>
      </c>
      <c r="BN56" s="134">
        <v>1</v>
      </c>
      <c r="BO56" s="134">
        <v>26</v>
      </c>
      <c r="BP56" s="134">
        <v>27</v>
      </c>
      <c r="BQ56" s="134">
        <v>5</v>
      </c>
      <c r="BR56" s="134">
        <v>61</v>
      </c>
      <c r="BS56" s="134">
        <v>66</v>
      </c>
      <c r="BT56" s="134">
        <v>23</v>
      </c>
      <c r="BU56" s="134">
        <v>116</v>
      </c>
      <c r="BV56" s="134">
        <v>139</v>
      </c>
      <c r="BW56" s="134">
        <v>657</v>
      </c>
      <c r="BX56" s="134">
        <v>4831</v>
      </c>
      <c r="BY56" s="134">
        <v>5488</v>
      </c>
      <c r="BZ56" s="134">
        <v>645</v>
      </c>
      <c r="CA56" s="134">
        <v>4778</v>
      </c>
      <c r="CB56" s="134">
        <v>5423</v>
      </c>
      <c r="CC56" s="134">
        <v>12449</v>
      </c>
      <c r="CD56" s="134">
        <v>4</v>
      </c>
      <c r="CE56" s="134">
        <v>57</v>
      </c>
      <c r="CF56" s="134">
        <v>12</v>
      </c>
      <c r="CG56" s="134">
        <v>40</v>
      </c>
      <c r="CH56" s="134">
        <v>52</v>
      </c>
      <c r="CI56" s="134">
        <v>15</v>
      </c>
      <c r="CJ56" s="134">
        <v>2</v>
      </c>
      <c r="CK56" s="134">
        <v>0</v>
      </c>
      <c r="CL56" s="134">
        <v>13</v>
      </c>
      <c r="CM56" s="134">
        <v>13</v>
      </c>
      <c r="CN56" s="134">
        <v>26</v>
      </c>
      <c r="CO56" s="134">
        <v>441</v>
      </c>
      <c r="CP56" s="134">
        <v>467</v>
      </c>
      <c r="CQ56" s="134">
        <v>0</v>
      </c>
      <c r="CR56" s="134">
        <v>0</v>
      </c>
      <c r="CS56" s="134">
        <v>0</v>
      </c>
      <c r="CT56" s="134">
        <v>631</v>
      </c>
      <c r="CU56" s="134">
        <v>4390</v>
      </c>
      <c r="CV56" s="134">
        <v>5021</v>
      </c>
      <c r="CW56" s="134">
        <v>50</v>
      </c>
      <c r="CX56" s="134">
        <v>223</v>
      </c>
      <c r="CY56" s="134">
        <v>273</v>
      </c>
      <c r="CZ56" s="134">
        <v>49</v>
      </c>
      <c r="DA56" s="134">
        <v>1</v>
      </c>
      <c r="DB56" s="134">
        <v>0</v>
      </c>
      <c r="DC56" s="134">
        <v>214</v>
      </c>
      <c r="DD56" s="134">
        <v>4</v>
      </c>
      <c r="DE56" s="134">
        <v>0</v>
      </c>
      <c r="DF56" s="134">
        <v>50</v>
      </c>
      <c r="DG56" s="134">
        <v>218</v>
      </c>
      <c r="DH56" s="134">
        <v>268</v>
      </c>
      <c r="DI56" s="134">
        <v>0</v>
      </c>
      <c r="DJ56" s="134">
        <v>0</v>
      </c>
      <c r="DK56" s="134">
        <v>0</v>
      </c>
      <c r="DL56" s="134">
        <v>5</v>
      </c>
      <c r="DM56" s="134">
        <v>0</v>
      </c>
      <c r="DN56" s="134">
        <v>0</v>
      </c>
      <c r="DO56" s="134">
        <v>0</v>
      </c>
      <c r="DP56" s="134">
        <v>5</v>
      </c>
      <c r="DQ56" s="134">
        <v>5</v>
      </c>
      <c r="DR56" s="134">
        <v>0</v>
      </c>
      <c r="DS56" s="134">
        <v>0</v>
      </c>
      <c r="DT56" s="135">
        <v>0</v>
      </c>
      <c r="DU56" s="116"/>
      <c r="DV56" s="136"/>
      <c r="DX56" s="136"/>
      <c r="DY56" s="136"/>
    </row>
    <row r="57" spans="1:129" s="137" customFormat="1">
      <c r="A57" s="133" t="s">
        <v>326</v>
      </c>
      <c r="B57" s="134">
        <v>399</v>
      </c>
      <c r="C57" s="134">
        <v>58</v>
      </c>
      <c r="D57" s="134">
        <v>430</v>
      </c>
      <c r="E57" s="134">
        <v>216</v>
      </c>
      <c r="F57" s="134">
        <v>2</v>
      </c>
      <c r="G57" s="134">
        <v>12</v>
      </c>
      <c r="H57" s="134">
        <v>14</v>
      </c>
      <c r="I57" s="134">
        <v>0</v>
      </c>
      <c r="J57" s="134">
        <v>179</v>
      </c>
      <c r="K57" s="134">
        <v>179</v>
      </c>
      <c r="L57" s="134">
        <v>0</v>
      </c>
      <c r="M57" s="134">
        <v>46</v>
      </c>
      <c r="N57" s="134">
        <v>46</v>
      </c>
      <c r="O57" s="134">
        <v>0</v>
      </c>
      <c r="P57" s="134">
        <v>133</v>
      </c>
      <c r="Q57" s="134">
        <v>133</v>
      </c>
      <c r="R57" s="134">
        <v>0</v>
      </c>
      <c r="S57" s="134">
        <v>5</v>
      </c>
      <c r="T57" s="134">
        <v>5</v>
      </c>
      <c r="U57" s="134">
        <v>0</v>
      </c>
      <c r="V57" s="134">
        <v>35</v>
      </c>
      <c r="W57" s="134">
        <v>35</v>
      </c>
      <c r="X57" s="134">
        <v>8</v>
      </c>
      <c r="Y57" s="134">
        <v>422</v>
      </c>
      <c r="Z57" s="134">
        <v>430</v>
      </c>
      <c r="AA57" s="134">
        <v>4</v>
      </c>
      <c r="AB57" s="134">
        <v>138</v>
      </c>
      <c r="AC57" s="134">
        <v>142</v>
      </c>
      <c r="AD57" s="134">
        <v>4</v>
      </c>
      <c r="AE57" s="134">
        <v>126</v>
      </c>
      <c r="AF57" s="134">
        <v>130</v>
      </c>
      <c r="AG57" s="134">
        <v>0</v>
      </c>
      <c r="AH57" s="134">
        <v>2</v>
      </c>
      <c r="AI57" s="134">
        <v>2</v>
      </c>
      <c r="AJ57" s="134">
        <v>0</v>
      </c>
      <c r="AK57" s="134">
        <v>10</v>
      </c>
      <c r="AL57" s="134">
        <v>10</v>
      </c>
      <c r="AM57" s="134">
        <v>4</v>
      </c>
      <c r="AN57" s="134">
        <v>284</v>
      </c>
      <c r="AO57" s="134">
        <v>288</v>
      </c>
      <c r="AP57" s="134">
        <v>423</v>
      </c>
      <c r="AQ57" s="134">
        <v>3560</v>
      </c>
      <c r="AR57" s="134">
        <v>3983</v>
      </c>
      <c r="AS57" s="134">
        <v>423</v>
      </c>
      <c r="AT57" s="134">
        <v>3560</v>
      </c>
      <c r="AU57" s="134">
        <v>3983</v>
      </c>
      <c r="AV57" s="134">
        <v>0</v>
      </c>
      <c r="AW57" s="134">
        <v>0</v>
      </c>
      <c r="AX57" s="134">
        <v>0</v>
      </c>
      <c r="AY57" s="134">
        <v>9</v>
      </c>
      <c r="AZ57" s="134">
        <v>384</v>
      </c>
      <c r="BA57" s="134">
        <v>393</v>
      </c>
      <c r="BB57" s="134">
        <v>12</v>
      </c>
      <c r="BC57" s="134">
        <v>0</v>
      </c>
      <c r="BD57" s="134">
        <v>0</v>
      </c>
      <c r="BE57" s="134">
        <v>204</v>
      </c>
      <c r="BF57" s="134">
        <v>0</v>
      </c>
      <c r="BG57" s="134">
        <v>0</v>
      </c>
      <c r="BH57" s="134">
        <v>12</v>
      </c>
      <c r="BI57" s="134">
        <v>204</v>
      </c>
      <c r="BJ57" s="134">
        <v>216</v>
      </c>
      <c r="BK57" s="134">
        <v>-16</v>
      </c>
      <c r="BL57" s="134">
        <v>16</v>
      </c>
      <c r="BM57" s="134">
        <v>0</v>
      </c>
      <c r="BN57" s="134">
        <v>5</v>
      </c>
      <c r="BO57" s="134">
        <v>15</v>
      </c>
      <c r="BP57" s="134">
        <v>20</v>
      </c>
      <c r="BQ57" s="134">
        <v>3</v>
      </c>
      <c r="BR57" s="134">
        <v>47</v>
      </c>
      <c r="BS57" s="134">
        <v>50</v>
      </c>
      <c r="BT57" s="134">
        <v>5</v>
      </c>
      <c r="BU57" s="134">
        <v>102</v>
      </c>
      <c r="BV57" s="134">
        <v>107</v>
      </c>
      <c r="BW57" s="134">
        <v>432</v>
      </c>
      <c r="BX57" s="134">
        <v>3944</v>
      </c>
      <c r="BY57" s="134">
        <v>4376</v>
      </c>
      <c r="BZ57" s="134">
        <v>432</v>
      </c>
      <c r="CA57" s="134">
        <v>3933</v>
      </c>
      <c r="CB57" s="134">
        <v>4365</v>
      </c>
      <c r="CC57" s="134">
        <v>9453</v>
      </c>
      <c r="CD57" s="134">
        <v>0</v>
      </c>
      <c r="CE57" s="134">
        <v>10</v>
      </c>
      <c r="CF57" s="134">
        <v>0</v>
      </c>
      <c r="CG57" s="134">
        <v>10</v>
      </c>
      <c r="CH57" s="134">
        <v>10</v>
      </c>
      <c r="CI57" s="134">
        <v>1</v>
      </c>
      <c r="CJ57" s="134">
        <v>0</v>
      </c>
      <c r="CK57" s="134">
        <v>0</v>
      </c>
      <c r="CL57" s="134">
        <v>1</v>
      </c>
      <c r="CM57" s="134">
        <v>1</v>
      </c>
      <c r="CN57" s="134">
        <v>17</v>
      </c>
      <c r="CO57" s="134">
        <v>433</v>
      </c>
      <c r="CP57" s="134">
        <v>450</v>
      </c>
      <c r="CQ57" s="134">
        <v>0</v>
      </c>
      <c r="CR57" s="134">
        <v>11</v>
      </c>
      <c r="CS57" s="134">
        <v>11</v>
      </c>
      <c r="CT57" s="134">
        <v>415</v>
      </c>
      <c r="CU57" s="134">
        <v>3511</v>
      </c>
      <c r="CV57" s="134">
        <v>3926</v>
      </c>
      <c r="CW57" s="134">
        <v>29</v>
      </c>
      <c r="CX57" s="134">
        <v>138</v>
      </c>
      <c r="CY57" s="134">
        <v>167</v>
      </c>
      <c r="CZ57" s="134">
        <v>29</v>
      </c>
      <c r="DA57" s="134">
        <v>0</v>
      </c>
      <c r="DB57" s="134">
        <v>0</v>
      </c>
      <c r="DC57" s="134">
        <v>136</v>
      </c>
      <c r="DD57" s="134">
        <v>0</v>
      </c>
      <c r="DE57" s="134">
        <v>0</v>
      </c>
      <c r="DF57" s="134">
        <v>29</v>
      </c>
      <c r="DG57" s="134">
        <v>136</v>
      </c>
      <c r="DH57" s="134">
        <v>165</v>
      </c>
      <c r="DI57" s="134">
        <v>0</v>
      </c>
      <c r="DJ57" s="134">
        <v>0</v>
      </c>
      <c r="DK57" s="134">
        <v>0</v>
      </c>
      <c r="DL57" s="134">
        <v>2</v>
      </c>
      <c r="DM57" s="134">
        <v>0</v>
      </c>
      <c r="DN57" s="134">
        <v>0</v>
      </c>
      <c r="DO57" s="134">
        <v>0</v>
      </c>
      <c r="DP57" s="134">
        <v>2</v>
      </c>
      <c r="DQ57" s="134">
        <v>2</v>
      </c>
      <c r="DR57" s="134">
        <v>0</v>
      </c>
      <c r="DS57" s="134">
        <v>0</v>
      </c>
      <c r="DT57" s="135">
        <v>0</v>
      </c>
      <c r="DU57" s="116"/>
      <c r="DV57" s="136"/>
      <c r="DX57" s="136"/>
      <c r="DY57" s="136"/>
    </row>
    <row r="58" spans="1:129" s="137" customFormat="1">
      <c r="A58" s="133" t="s">
        <v>327</v>
      </c>
      <c r="B58" s="134">
        <v>104</v>
      </c>
      <c r="C58" s="134">
        <v>9</v>
      </c>
      <c r="D58" s="134">
        <v>102</v>
      </c>
      <c r="E58" s="134">
        <v>60</v>
      </c>
      <c r="F58" s="134">
        <v>0</v>
      </c>
      <c r="G58" s="134">
        <v>0</v>
      </c>
      <c r="H58" s="134">
        <v>0</v>
      </c>
      <c r="I58" s="134">
        <v>0</v>
      </c>
      <c r="J58" s="134">
        <v>41</v>
      </c>
      <c r="K58" s="134">
        <v>41</v>
      </c>
      <c r="L58" s="134">
        <v>0</v>
      </c>
      <c r="M58" s="134">
        <v>10</v>
      </c>
      <c r="N58" s="134">
        <v>10</v>
      </c>
      <c r="O58" s="134">
        <v>0</v>
      </c>
      <c r="P58" s="134">
        <v>31</v>
      </c>
      <c r="Q58" s="134">
        <v>31</v>
      </c>
      <c r="R58" s="134">
        <v>0</v>
      </c>
      <c r="S58" s="134">
        <v>0</v>
      </c>
      <c r="T58" s="134">
        <v>0</v>
      </c>
      <c r="U58" s="134">
        <v>0</v>
      </c>
      <c r="V58" s="134">
        <v>1</v>
      </c>
      <c r="W58" s="134">
        <v>1</v>
      </c>
      <c r="X58" s="134">
        <v>2</v>
      </c>
      <c r="Y58" s="134">
        <v>100</v>
      </c>
      <c r="Z58" s="134">
        <v>102</v>
      </c>
      <c r="AA58" s="134">
        <v>1</v>
      </c>
      <c r="AB58" s="134">
        <v>43</v>
      </c>
      <c r="AC58" s="134">
        <v>44</v>
      </c>
      <c r="AD58" s="134">
        <v>1</v>
      </c>
      <c r="AE58" s="134">
        <v>27</v>
      </c>
      <c r="AF58" s="134">
        <v>28</v>
      </c>
      <c r="AG58" s="134">
        <v>0</v>
      </c>
      <c r="AH58" s="134">
        <v>12</v>
      </c>
      <c r="AI58" s="134">
        <v>12</v>
      </c>
      <c r="AJ58" s="134">
        <v>0</v>
      </c>
      <c r="AK58" s="134">
        <v>4</v>
      </c>
      <c r="AL58" s="134">
        <v>4</v>
      </c>
      <c r="AM58" s="134">
        <v>1</v>
      </c>
      <c r="AN58" s="134">
        <v>57</v>
      </c>
      <c r="AO58" s="134">
        <v>58</v>
      </c>
      <c r="AP58" s="134">
        <v>63</v>
      </c>
      <c r="AQ58" s="134">
        <v>793</v>
      </c>
      <c r="AR58" s="134">
        <v>856</v>
      </c>
      <c r="AS58" s="134">
        <v>63</v>
      </c>
      <c r="AT58" s="134">
        <v>793</v>
      </c>
      <c r="AU58" s="134">
        <v>856</v>
      </c>
      <c r="AV58" s="134">
        <v>0</v>
      </c>
      <c r="AW58" s="134">
        <v>0</v>
      </c>
      <c r="AX58" s="134">
        <v>0</v>
      </c>
      <c r="AY58" s="134">
        <v>-1</v>
      </c>
      <c r="AZ58" s="134">
        <v>128</v>
      </c>
      <c r="BA58" s="134">
        <v>127</v>
      </c>
      <c r="BB58" s="134">
        <v>2</v>
      </c>
      <c r="BC58" s="134">
        <v>0</v>
      </c>
      <c r="BD58" s="134">
        <v>0</v>
      </c>
      <c r="BE58" s="134">
        <v>58</v>
      </c>
      <c r="BF58" s="134">
        <v>0</v>
      </c>
      <c r="BG58" s="134">
        <v>0</v>
      </c>
      <c r="BH58" s="134">
        <v>2</v>
      </c>
      <c r="BI58" s="134">
        <v>58</v>
      </c>
      <c r="BJ58" s="134">
        <v>60</v>
      </c>
      <c r="BK58" s="134">
        <v>-6</v>
      </c>
      <c r="BL58" s="134">
        <v>6</v>
      </c>
      <c r="BM58" s="134">
        <v>0</v>
      </c>
      <c r="BN58" s="134">
        <v>3</v>
      </c>
      <c r="BO58" s="134">
        <v>6</v>
      </c>
      <c r="BP58" s="134">
        <v>9</v>
      </c>
      <c r="BQ58" s="134">
        <v>0</v>
      </c>
      <c r="BR58" s="134">
        <v>23</v>
      </c>
      <c r="BS58" s="134">
        <v>23</v>
      </c>
      <c r="BT58" s="134">
        <v>0</v>
      </c>
      <c r="BU58" s="134">
        <v>35</v>
      </c>
      <c r="BV58" s="134">
        <v>35</v>
      </c>
      <c r="BW58" s="134">
        <v>62</v>
      </c>
      <c r="BX58" s="134">
        <v>921</v>
      </c>
      <c r="BY58" s="134">
        <v>983</v>
      </c>
      <c r="BZ58" s="134">
        <v>62</v>
      </c>
      <c r="CA58" s="134">
        <v>919</v>
      </c>
      <c r="CB58" s="134">
        <v>981</v>
      </c>
      <c r="CC58" s="134">
        <v>1727</v>
      </c>
      <c r="CD58" s="134">
        <v>0</v>
      </c>
      <c r="CE58" s="134">
        <v>2</v>
      </c>
      <c r="CF58" s="134">
        <v>0</v>
      </c>
      <c r="CG58" s="134">
        <v>2</v>
      </c>
      <c r="CH58" s="134">
        <v>2</v>
      </c>
      <c r="CI58" s="134">
        <v>0</v>
      </c>
      <c r="CJ58" s="134">
        <v>0</v>
      </c>
      <c r="CK58" s="134">
        <v>0</v>
      </c>
      <c r="CL58" s="134">
        <v>0</v>
      </c>
      <c r="CM58" s="134">
        <v>0</v>
      </c>
      <c r="CN58" s="134">
        <v>3</v>
      </c>
      <c r="CO58" s="134">
        <v>87</v>
      </c>
      <c r="CP58" s="134">
        <v>90</v>
      </c>
      <c r="CQ58" s="134">
        <v>0</v>
      </c>
      <c r="CR58" s="134">
        <v>0</v>
      </c>
      <c r="CS58" s="134">
        <v>0</v>
      </c>
      <c r="CT58" s="134">
        <v>59</v>
      </c>
      <c r="CU58" s="134">
        <v>834</v>
      </c>
      <c r="CV58" s="134">
        <v>893</v>
      </c>
      <c r="CW58" s="134">
        <v>3</v>
      </c>
      <c r="CX58" s="134">
        <v>46</v>
      </c>
      <c r="CY58" s="134">
        <v>49</v>
      </c>
      <c r="CZ58" s="134">
        <v>3</v>
      </c>
      <c r="DA58" s="134">
        <v>0</v>
      </c>
      <c r="DB58" s="134">
        <v>0</v>
      </c>
      <c r="DC58" s="134">
        <v>45</v>
      </c>
      <c r="DD58" s="134">
        <v>1</v>
      </c>
      <c r="DE58" s="134">
        <v>0</v>
      </c>
      <c r="DF58" s="134">
        <v>3</v>
      </c>
      <c r="DG58" s="134">
        <v>46</v>
      </c>
      <c r="DH58" s="134">
        <v>49</v>
      </c>
      <c r="DI58" s="134">
        <v>0</v>
      </c>
      <c r="DJ58" s="134">
        <v>0</v>
      </c>
      <c r="DK58" s="134">
        <v>0</v>
      </c>
      <c r="DL58" s="134">
        <v>0</v>
      </c>
      <c r="DM58" s="134">
        <v>0</v>
      </c>
      <c r="DN58" s="134">
        <v>0</v>
      </c>
      <c r="DO58" s="134">
        <v>0</v>
      </c>
      <c r="DP58" s="134">
        <v>0</v>
      </c>
      <c r="DQ58" s="134">
        <v>0</v>
      </c>
      <c r="DR58" s="134">
        <v>0</v>
      </c>
      <c r="DS58" s="134">
        <v>0</v>
      </c>
      <c r="DT58" s="135">
        <v>0</v>
      </c>
      <c r="DU58" s="116"/>
      <c r="DV58" s="136"/>
      <c r="DX58" s="136"/>
      <c r="DY58" s="136"/>
    </row>
    <row r="59" spans="1:129" s="137" customFormat="1">
      <c r="A59" s="133" t="s">
        <v>328</v>
      </c>
      <c r="B59" s="134">
        <v>2924</v>
      </c>
      <c r="C59" s="134">
        <v>392</v>
      </c>
      <c r="D59" s="134">
        <v>2741</v>
      </c>
      <c r="E59" s="134">
        <v>2207</v>
      </c>
      <c r="F59" s="134">
        <v>4</v>
      </c>
      <c r="G59" s="134">
        <v>121</v>
      </c>
      <c r="H59" s="134">
        <v>125</v>
      </c>
      <c r="I59" s="134">
        <v>0</v>
      </c>
      <c r="J59" s="134">
        <v>451</v>
      </c>
      <c r="K59" s="134">
        <v>451</v>
      </c>
      <c r="L59" s="134">
        <v>0</v>
      </c>
      <c r="M59" s="134">
        <v>241</v>
      </c>
      <c r="N59" s="134">
        <v>241</v>
      </c>
      <c r="O59" s="134">
        <v>0</v>
      </c>
      <c r="P59" s="134">
        <v>210</v>
      </c>
      <c r="Q59" s="134">
        <v>210</v>
      </c>
      <c r="R59" s="134">
        <v>0</v>
      </c>
      <c r="S59" s="134">
        <v>95</v>
      </c>
      <c r="T59" s="134">
        <v>95</v>
      </c>
      <c r="U59" s="134">
        <v>0</v>
      </c>
      <c r="V59" s="134">
        <v>83</v>
      </c>
      <c r="W59" s="134">
        <v>83</v>
      </c>
      <c r="X59" s="134">
        <v>35</v>
      </c>
      <c r="Y59" s="134">
        <v>1098</v>
      </c>
      <c r="Z59" s="134">
        <v>1133</v>
      </c>
      <c r="AA59" s="134">
        <v>12</v>
      </c>
      <c r="AB59" s="134">
        <v>290</v>
      </c>
      <c r="AC59" s="134">
        <v>302</v>
      </c>
      <c r="AD59" s="134">
        <v>5</v>
      </c>
      <c r="AE59" s="134">
        <v>223</v>
      </c>
      <c r="AF59" s="134">
        <v>228</v>
      </c>
      <c r="AG59" s="134">
        <v>4</v>
      </c>
      <c r="AH59" s="134">
        <v>61</v>
      </c>
      <c r="AI59" s="134">
        <v>65</v>
      </c>
      <c r="AJ59" s="134">
        <v>3</v>
      </c>
      <c r="AK59" s="134">
        <v>6</v>
      </c>
      <c r="AL59" s="134">
        <v>9</v>
      </c>
      <c r="AM59" s="134">
        <v>23</v>
      </c>
      <c r="AN59" s="134">
        <v>808</v>
      </c>
      <c r="AO59" s="134">
        <v>831</v>
      </c>
      <c r="AP59" s="134">
        <v>7068</v>
      </c>
      <c r="AQ59" s="134">
        <v>43701</v>
      </c>
      <c r="AR59" s="134">
        <v>50769</v>
      </c>
      <c r="AS59" s="134">
        <v>7017</v>
      </c>
      <c r="AT59" s="134">
        <v>43446</v>
      </c>
      <c r="AU59" s="134">
        <v>50463</v>
      </c>
      <c r="AV59" s="134">
        <v>51</v>
      </c>
      <c r="AW59" s="134">
        <v>255</v>
      </c>
      <c r="AX59" s="134">
        <v>306</v>
      </c>
      <c r="AY59" s="134">
        <v>460</v>
      </c>
      <c r="AZ59" s="134">
        <v>4139</v>
      </c>
      <c r="BA59" s="134">
        <v>4599</v>
      </c>
      <c r="BB59" s="134">
        <v>144</v>
      </c>
      <c r="BC59" s="134">
        <v>0</v>
      </c>
      <c r="BD59" s="134">
        <v>0</v>
      </c>
      <c r="BE59" s="134">
        <v>2008</v>
      </c>
      <c r="BF59" s="134">
        <v>48</v>
      </c>
      <c r="BG59" s="134">
        <v>7</v>
      </c>
      <c r="BH59" s="134">
        <v>144</v>
      </c>
      <c r="BI59" s="134">
        <v>2063</v>
      </c>
      <c r="BJ59" s="134">
        <v>2207</v>
      </c>
      <c r="BK59" s="134">
        <v>-5</v>
      </c>
      <c r="BL59" s="134">
        <v>5</v>
      </c>
      <c r="BM59" s="134">
        <v>0</v>
      </c>
      <c r="BN59" s="134">
        <v>16</v>
      </c>
      <c r="BO59" s="134">
        <v>48</v>
      </c>
      <c r="BP59" s="134">
        <v>64</v>
      </c>
      <c r="BQ59" s="134">
        <v>36</v>
      </c>
      <c r="BR59" s="134">
        <v>503</v>
      </c>
      <c r="BS59" s="134">
        <v>539</v>
      </c>
      <c r="BT59" s="134">
        <v>269</v>
      </c>
      <c r="BU59" s="134">
        <v>1520</v>
      </c>
      <c r="BV59" s="134">
        <v>1789</v>
      </c>
      <c r="BW59" s="134">
        <v>7528</v>
      </c>
      <c r="BX59" s="134">
        <v>47840</v>
      </c>
      <c r="BY59" s="134">
        <v>55368</v>
      </c>
      <c r="BZ59" s="134">
        <v>7468</v>
      </c>
      <c r="CA59" s="134">
        <v>46921</v>
      </c>
      <c r="CB59" s="134">
        <v>54389</v>
      </c>
      <c r="CC59" s="134">
        <v>118587</v>
      </c>
      <c r="CD59" s="134">
        <v>113</v>
      </c>
      <c r="CE59" s="134">
        <v>888</v>
      </c>
      <c r="CF59" s="134">
        <v>59</v>
      </c>
      <c r="CG59" s="134">
        <v>719</v>
      </c>
      <c r="CH59" s="134">
        <v>778</v>
      </c>
      <c r="CI59" s="134">
        <v>253</v>
      </c>
      <c r="CJ59" s="134">
        <v>2</v>
      </c>
      <c r="CK59" s="134">
        <v>1</v>
      </c>
      <c r="CL59" s="134">
        <v>200</v>
      </c>
      <c r="CM59" s="134">
        <v>201</v>
      </c>
      <c r="CN59" s="134">
        <v>274</v>
      </c>
      <c r="CO59" s="134">
        <v>3282</v>
      </c>
      <c r="CP59" s="134">
        <v>3556</v>
      </c>
      <c r="CQ59" s="134">
        <v>0</v>
      </c>
      <c r="CR59" s="134">
        <v>0</v>
      </c>
      <c r="CS59" s="134">
        <v>0</v>
      </c>
      <c r="CT59" s="134">
        <v>7254</v>
      </c>
      <c r="CU59" s="134">
        <v>44558</v>
      </c>
      <c r="CV59" s="134">
        <v>51812</v>
      </c>
      <c r="CW59" s="134">
        <v>577</v>
      </c>
      <c r="CX59" s="134">
        <v>2645</v>
      </c>
      <c r="CY59" s="134">
        <v>3222</v>
      </c>
      <c r="CZ59" s="134">
        <v>564</v>
      </c>
      <c r="DA59" s="134">
        <v>6</v>
      </c>
      <c r="DB59" s="134">
        <v>0</v>
      </c>
      <c r="DC59" s="134">
        <v>2504</v>
      </c>
      <c r="DD59" s="134">
        <v>43</v>
      </c>
      <c r="DE59" s="134">
        <v>4</v>
      </c>
      <c r="DF59" s="134">
        <v>570</v>
      </c>
      <c r="DG59" s="134">
        <v>2551</v>
      </c>
      <c r="DH59" s="134">
        <v>3121</v>
      </c>
      <c r="DI59" s="134">
        <v>7</v>
      </c>
      <c r="DJ59" s="134">
        <v>0</v>
      </c>
      <c r="DK59" s="134">
        <v>0</v>
      </c>
      <c r="DL59" s="134">
        <v>89</v>
      </c>
      <c r="DM59" s="134">
        <v>5</v>
      </c>
      <c r="DN59" s="134">
        <v>0</v>
      </c>
      <c r="DO59" s="134">
        <v>7</v>
      </c>
      <c r="DP59" s="134">
        <v>94</v>
      </c>
      <c r="DQ59" s="134">
        <v>101</v>
      </c>
      <c r="DR59" s="134">
        <v>0</v>
      </c>
      <c r="DS59" s="134">
        <v>0</v>
      </c>
      <c r="DT59" s="135">
        <v>0</v>
      </c>
      <c r="DU59" s="116"/>
      <c r="DV59" s="136"/>
      <c r="DX59" s="136"/>
      <c r="DY59" s="136"/>
    </row>
    <row r="60" spans="1:129" s="137" customFormat="1">
      <c r="A60" s="133" t="s">
        <v>329</v>
      </c>
      <c r="B60" s="134">
        <v>254</v>
      </c>
      <c r="C60" s="134">
        <v>1</v>
      </c>
      <c r="D60" s="134">
        <v>255</v>
      </c>
      <c r="E60" s="134">
        <v>137</v>
      </c>
      <c r="F60" s="134">
        <v>1</v>
      </c>
      <c r="G60" s="134">
        <v>2</v>
      </c>
      <c r="H60" s="134">
        <v>3</v>
      </c>
      <c r="I60" s="134">
        <v>0</v>
      </c>
      <c r="J60" s="134">
        <v>91</v>
      </c>
      <c r="K60" s="134">
        <v>91</v>
      </c>
      <c r="L60" s="134">
        <v>0</v>
      </c>
      <c r="M60" s="134">
        <v>40</v>
      </c>
      <c r="N60" s="134">
        <v>40</v>
      </c>
      <c r="O60" s="134">
        <v>0</v>
      </c>
      <c r="P60" s="134">
        <v>51</v>
      </c>
      <c r="Q60" s="134">
        <v>51</v>
      </c>
      <c r="R60" s="134">
        <v>0</v>
      </c>
      <c r="S60" s="134">
        <v>1</v>
      </c>
      <c r="T60" s="134">
        <v>1</v>
      </c>
      <c r="U60" s="134">
        <v>0</v>
      </c>
      <c r="V60" s="134">
        <v>27</v>
      </c>
      <c r="W60" s="134">
        <v>27</v>
      </c>
      <c r="X60" s="134">
        <v>8</v>
      </c>
      <c r="Y60" s="134">
        <v>247</v>
      </c>
      <c r="Z60" s="134">
        <v>255</v>
      </c>
      <c r="AA60" s="134">
        <v>6</v>
      </c>
      <c r="AB60" s="134">
        <v>100</v>
      </c>
      <c r="AC60" s="134">
        <v>106</v>
      </c>
      <c r="AD60" s="134">
        <v>6</v>
      </c>
      <c r="AE60" s="134">
        <v>93</v>
      </c>
      <c r="AF60" s="134">
        <v>99</v>
      </c>
      <c r="AG60" s="134">
        <v>0</v>
      </c>
      <c r="AH60" s="134">
        <v>5</v>
      </c>
      <c r="AI60" s="134">
        <v>5</v>
      </c>
      <c r="AJ60" s="134">
        <v>0</v>
      </c>
      <c r="AK60" s="134">
        <v>2</v>
      </c>
      <c r="AL60" s="134">
        <v>2</v>
      </c>
      <c r="AM60" s="134">
        <v>2</v>
      </c>
      <c r="AN60" s="134">
        <v>147</v>
      </c>
      <c r="AO60" s="134">
        <v>149</v>
      </c>
      <c r="AP60" s="134">
        <v>235</v>
      </c>
      <c r="AQ60" s="134">
        <v>2339</v>
      </c>
      <c r="AR60" s="134">
        <v>2574</v>
      </c>
      <c r="AS60" s="134">
        <v>235</v>
      </c>
      <c r="AT60" s="134">
        <v>2339</v>
      </c>
      <c r="AU60" s="134">
        <v>2574</v>
      </c>
      <c r="AV60" s="134">
        <v>0</v>
      </c>
      <c r="AW60" s="134">
        <v>0</v>
      </c>
      <c r="AX60" s="134">
        <v>0</v>
      </c>
      <c r="AY60" s="134">
        <v>13</v>
      </c>
      <c r="AZ60" s="134">
        <v>229</v>
      </c>
      <c r="BA60" s="134">
        <v>242</v>
      </c>
      <c r="BB60" s="134">
        <v>6</v>
      </c>
      <c r="BC60" s="134">
        <v>0</v>
      </c>
      <c r="BD60" s="134">
        <v>0</v>
      </c>
      <c r="BE60" s="134">
        <v>130</v>
      </c>
      <c r="BF60" s="134">
        <v>0</v>
      </c>
      <c r="BG60" s="134">
        <v>1</v>
      </c>
      <c r="BH60" s="134">
        <v>6</v>
      </c>
      <c r="BI60" s="134">
        <v>131</v>
      </c>
      <c r="BJ60" s="134">
        <v>137</v>
      </c>
      <c r="BK60" s="134">
        <v>1</v>
      </c>
      <c r="BL60" s="134">
        <v>-1</v>
      </c>
      <c r="BM60" s="134">
        <v>0</v>
      </c>
      <c r="BN60" s="134">
        <v>0</v>
      </c>
      <c r="BO60" s="134">
        <v>7</v>
      </c>
      <c r="BP60" s="134">
        <v>7</v>
      </c>
      <c r="BQ60" s="134">
        <v>1</v>
      </c>
      <c r="BR60" s="134">
        <v>43</v>
      </c>
      <c r="BS60" s="134">
        <v>44</v>
      </c>
      <c r="BT60" s="134">
        <v>5</v>
      </c>
      <c r="BU60" s="134">
        <v>49</v>
      </c>
      <c r="BV60" s="134">
        <v>54</v>
      </c>
      <c r="BW60" s="134">
        <v>248</v>
      </c>
      <c r="BX60" s="134">
        <v>2568</v>
      </c>
      <c r="BY60" s="134">
        <v>2816</v>
      </c>
      <c r="BZ60" s="134">
        <v>248</v>
      </c>
      <c r="CA60" s="134">
        <v>2562</v>
      </c>
      <c r="CB60" s="134">
        <v>2810</v>
      </c>
      <c r="CC60" s="134">
        <v>4918</v>
      </c>
      <c r="CD60" s="134">
        <v>2</v>
      </c>
      <c r="CE60" s="134">
        <v>2</v>
      </c>
      <c r="CF60" s="134">
        <v>0</v>
      </c>
      <c r="CG60" s="134">
        <v>3</v>
      </c>
      <c r="CH60" s="134">
        <v>3</v>
      </c>
      <c r="CI60" s="134">
        <v>4</v>
      </c>
      <c r="CJ60" s="134">
        <v>0</v>
      </c>
      <c r="CK60" s="134">
        <v>0</v>
      </c>
      <c r="CL60" s="134">
        <v>3</v>
      </c>
      <c r="CM60" s="134">
        <v>3</v>
      </c>
      <c r="CN60" s="134">
        <v>11</v>
      </c>
      <c r="CO60" s="134">
        <v>249</v>
      </c>
      <c r="CP60" s="134">
        <v>260</v>
      </c>
      <c r="CQ60" s="134">
        <v>9</v>
      </c>
      <c r="CR60" s="134">
        <v>201</v>
      </c>
      <c r="CS60" s="134">
        <v>210</v>
      </c>
      <c r="CT60" s="134">
        <v>237</v>
      </c>
      <c r="CU60" s="134">
        <v>2319</v>
      </c>
      <c r="CV60" s="134">
        <v>2556</v>
      </c>
      <c r="CW60" s="134">
        <v>15</v>
      </c>
      <c r="CX60" s="134">
        <v>99</v>
      </c>
      <c r="CY60" s="134">
        <v>114</v>
      </c>
      <c r="CZ60" s="134">
        <v>14</v>
      </c>
      <c r="DA60" s="134">
        <v>0</v>
      </c>
      <c r="DB60" s="134">
        <v>0</v>
      </c>
      <c r="DC60" s="134">
        <v>96</v>
      </c>
      <c r="DD60" s="134">
        <v>0</v>
      </c>
      <c r="DE60" s="134">
        <v>0</v>
      </c>
      <c r="DF60" s="134">
        <v>14</v>
      </c>
      <c r="DG60" s="134">
        <v>96</v>
      </c>
      <c r="DH60" s="134">
        <v>110</v>
      </c>
      <c r="DI60" s="134">
        <v>1</v>
      </c>
      <c r="DJ60" s="134">
        <v>0</v>
      </c>
      <c r="DK60" s="134">
        <v>0</v>
      </c>
      <c r="DL60" s="134">
        <v>3</v>
      </c>
      <c r="DM60" s="134">
        <v>0</v>
      </c>
      <c r="DN60" s="134">
        <v>0</v>
      </c>
      <c r="DO60" s="134">
        <v>1</v>
      </c>
      <c r="DP60" s="134">
        <v>3</v>
      </c>
      <c r="DQ60" s="134">
        <v>4</v>
      </c>
      <c r="DR60" s="134">
        <v>0</v>
      </c>
      <c r="DS60" s="134">
        <v>0</v>
      </c>
      <c r="DT60" s="135">
        <v>0</v>
      </c>
      <c r="DU60" s="116"/>
      <c r="DV60" s="136"/>
      <c r="DX60" s="136"/>
      <c r="DY60" s="136"/>
    </row>
    <row r="61" spans="1:129" s="137" customFormat="1">
      <c r="A61" s="133" t="s">
        <v>330</v>
      </c>
      <c r="B61" s="134">
        <v>3172</v>
      </c>
      <c r="C61" s="134">
        <v>423</v>
      </c>
      <c r="D61" s="134">
        <v>2132</v>
      </c>
      <c r="E61" s="134">
        <v>1371</v>
      </c>
      <c r="F61" s="134">
        <v>2</v>
      </c>
      <c r="G61" s="134">
        <v>17</v>
      </c>
      <c r="H61" s="134">
        <v>19</v>
      </c>
      <c r="I61" s="134">
        <v>0</v>
      </c>
      <c r="J61" s="134">
        <v>670</v>
      </c>
      <c r="K61" s="134">
        <v>670</v>
      </c>
      <c r="L61" s="134">
        <v>0</v>
      </c>
      <c r="M61" s="134">
        <v>266</v>
      </c>
      <c r="N61" s="134">
        <v>266</v>
      </c>
      <c r="O61" s="134">
        <v>0</v>
      </c>
      <c r="P61" s="134">
        <v>404</v>
      </c>
      <c r="Q61" s="134">
        <v>404</v>
      </c>
      <c r="R61" s="134">
        <v>0</v>
      </c>
      <c r="S61" s="134">
        <v>44</v>
      </c>
      <c r="T61" s="134">
        <v>44</v>
      </c>
      <c r="U61" s="134">
        <v>0</v>
      </c>
      <c r="V61" s="134">
        <v>91</v>
      </c>
      <c r="W61" s="134">
        <v>91</v>
      </c>
      <c r="X61" s="134">
        <v>45</v>
      </c>
      <c r="Y61" s="134">
        <v>1781</v>
      </c>
      <c r="Z61" s="134">
        <v>1826</v>
      </c>
      <c r="AA61" s="134">
        <v>24</v>
      </c>
      <c r="AB61" s="134">
        <v>957</v>
      </c>
      <c r="AC61" s="134">
        <v>981</v>
      </c>
      <c r="AD61" s="134">
        <v>24</v>
      </c>
      <c r="AE61" s="134">
        <v>928</v>
      </c>
      <c r="AF61" s="134">
        <v>952</v>
      </c>
      <c r="AG61" s="134">
        <v>0</v>
      </c>
      <c r="AH61" s="134">
        <v>21</v>
      </c>
      <c r="AI61" s="134">
        <v>21</v>
      </c>
      <c r="AJ61" s="134">
        <v>0</v>
      </c>
      <c r="AK61" s="134">
        <v>8</v>
      </c>
      <c r="AL61" s="134">
        <v>8</v>
      </c>
      <c r="AM61" s="134">
        <v>21</v>
      </c>
      <c r="AN61" s="134">
        <v>824</v>
      </c>
      <c r="AO61" s="134">
        <v>845</v>
      </c>
      <c r="AP61" s="134">
        <v>2438</v>
      </c>
      <c r="AQ61" s="134">
        <v>29549</v>
      </c>
      <c r="AR61" s="134">
        <v>31987</v>
      </c>
      <c r="AS61" s="134">
        <v>2450</v>
      </c>
      <c r="AT61" s="134">
        <v>29360</v>
      </c>
      <c r="AU61" s="134">
        <v>31810</v>
      </c>
      <c r="AV61" s="134">
        <v>-12</v>
      </c>
      <c r="AW61" s="134">
        <v>189</v>
      </c>
      <c r="AX61" s="134">
        <v>177</v>
      </c>
      <c r="AY61" s="134">
        <v>198</v>
      </c>
      <c r="AZ61" s="134">
        <v>2737</v>
      </c>
      <c r="BA61" s="134">
        <v>2935</v>
      </c>
      <c r="BB61" s="134">
        <v>86</v>
      </c>
      <c r="BC61" s="134">
        <v>1</v>
      </c>
      <c r="BD61" s="134">
        <v>0</v>
      </c>
      <c r="BE61" s="134">
        <v>1250</v>
      </c>
      <c r="BF61" s="134">
        <v>22</v>
      </c>
      <c r="BG61" s="134">
        <v>12</v>
      </c>
      <c r="BH61" s="134">
        <v>87</v>
      </c>
      <c r="BI61" s="134">
        <v>1284</v>
      </c>
      <c r="BJ61" s="134">
        <v>1371</v>
      </c>
      <c r="BK61" s="134">
        <v>11</v>
      </c>
      <c r="BL61" s="134">
        <v>-11</v>
      </c>
      <c r="BM61" s="134">
        <v>0</v>
      </c>
      <c r="BN61" s="134">
        <v>3</v>
      </c>
      <c r="BO61" s="134">
        <v>29</v>
      </c>
      <c r="BP61" s="134">
        <v>32</v>
      </c>
      <c r="BQ61" s="134">
        <v>16</v>
      </c>
      <c r="BR61" s="134">
        <v>389</v>
      </c>
      <c r="BS61" s="134">
        <v>405</v>
      </c>
      <c r="BT61" s="134">
        <v>81</v>
      </c>
      <c r="BU61" s="134">
        <v>1046</v>
      </c>
      <c r="BV61" s="134">
        <v>1127</v>
      </c>
      <c r="BW61" s="134">
        <v>2636</v>
      </c>
      <c r="BX61" s="134">
        <v>32286</v>
      </c>
      <c r="BY61" s="134">
        <v>34922</v>
      </c>
      <c r="BZ61" s="134">
        <v>2611</v>
      </c>
      <c r="CA61" s="134">
        <v>31749</v>
      </c>
      <c r="CB61" s="134">
        <v>34360</v>
      </c>
      <c r="CC61" s="134">
        <v>70147</v>
      </c>
      <c r="CD61" s="134">
        <v>51</v>
      </c>
      <c r="CE61" s="134">
        <v>572</v>
      </c>
      <c r="CF61" s="134">
        <v>25</v>
      </c>
      <c r="CG61" s="134">
        <v>314</v>
      </c>
      <c r="CH61" s="134">
        <v>339</v>
      </c>
      <c r="CI61" s="134">
        <v>280</v>
      </c>
      <c r="CJ61" s="134">
        <v>0</v>
      </c>
      <c r="CK61" s="134">
        <v>0</v>
      </c>
      <c r="CL61" s="134">
        <v>223</v>
      </c>
      <c r="CM61" s="134">
        <v>223</v>
      </c>
      <c r="CN61" s="134">
        <v>115</v>
      </c>
      <c r="CO61" s="134">
        <v>2939</v>
      </c>
      <c r="CP61" s="134">
        <v>3054</v>
      </c>
      <c r="CQ61" s="134">
        <v>0</v>
      </c>
      <c r="CR61" s="134">
        <v>0</v>
      </c>
      <c r="CS61" s="134">
        <v>0</v>
      </c>
      <c r="CT61" s="134">
        <v>2521</v>
      </c>
      <c r="CU61" s="134">
        <v>29347</v>
      </c>
      <c r="CV61" s="134">
        <v>31868</v>
      </c>
      <c r="CW61" s="134">
        <v>225</v>
      </c>
      <c r="CX61" s="134">
        <v>1662</v>
      </c>
      <c r="CY61" s="134">
        <v>1887</v>
      </c>
      <c r="CZ61" s="134">
        <v>222</v>
      </c>
      <c r="DA61" s="134">
        <v>0</v>
      </c>
      <c r="DB61" s="134">
        <v>0</v>
      </c>
      <c r="DC61" s="134">
        <v>1562</v>
      </c>
      <c r="DD61" s="134">
        <v>17</v>
      </c>
      <c r="DE61" s="134">
        <v>2</v>
      </c>
      <c r="DF61" s="134">
        <v>222</v>
      </c>
      <c r="DG61" s="134">
        <v>1581</v>
      </c>
      <c r="DH61" s="134">
        <v>1803</v>
      </c>
      <c r="DI61" s="134">
        <v>2</v>
      </c>
      <c r="DJ61" s="134">
        <v>1</v>
      </c>
      <c r="DK61" s="134">
        <v>0</v>
      </c>
      <c r="DL61" s="134">
        <v>78</v>
      </c>
      <c r="DM61" s="134">
        <v>3</v>
      </c>
      <c r="DN61" s="134">
        <v>0</v>
      </c>
      <c r="DO61" s="134">
        <v>3</v>
      </c>
      <c r="DP61" s="134">
        <v>81</v>
      </c>
      <c r="DQ61" s="134">
        <v>84</v>
      </c>
      <c r="DR61" s="134">
        <v>0</v>
      </c>
      <c r="DS61" s="134">
        <v>2</v>
      </c>
      <c r="DT61" s="135">
        <v>2</v>
      </c>
      <c r="DU61" s="116"/>
      <c r="DV61" s="136"/>
      <c r="DX61" s="136"/>
      <c r="DY61" s="136"/>
    </row>
    <row r="62" spans="1:129" s="137" customFormat="1">
      <c r="A62" s="133" t="s">
        <v>331</v>
      </c>
      <c r="B62" s="134">
        <v>929</v>
      </c>
      <c r="C62" s="134">
        <v>137</v>
      </c>
      <c r="D62" s="134">
        <v>677</v>
      </c>
      <c r="E62" s="134">
        <v>426</v>
      </c>
      <c r="F62" s="134">
        <v>4</v>
      </c>
      <c r="G62" s="134">
        <v>19</v>
      </c>
      <c r="H62" s="134">
        <v>23</v>
      </c>
      <c r="I62" s="134">
        <v>0</v>
      </c>
      <c r="J62" s="134">
        <v>214</v>
      </c>
      <c r="K62" s="134">
        <v>214</v>
      </c>
      <c r="L62" s="134">
        <v>0</v>
      </c>
      <c r="M62" s="134">
        <v>59</v>
      </c>
      <c r="N62" s="134">
        <v>59</v>
      </c>
      <c r="O62" s="134">
        <v>0</v>
      </c>
      <c r="P62" s="134">
        <v>155</v>
      </c>
      <c r="Q62" s="134">
        <v>155</v>
      </c>
      <c r="R62" s="134">
        <v>0</v>
      </c>
      <c r="S62" s="134">
        <v>33</v>
      </c>
      <c r="T62" s="134">
        <v>33</v>
      </c>
      <c r="U62" s="134">
        <v>0</v>
      </c>
      <c r="V62" s="134">
        <v>37</v>
      </c>
      <c r="W62" s="134">
        <v>37</v>
      </c>
      <c r="X62" s="134">
        <v>9</v>
      </c>
      <c r="Y62" s="134">
        <v>242</v>
      </c>
      <c r="Z62" s="134">
        <v>251</v>
      </c>
      <c r="AA62" s="134">
        <v>9</v>
      </c>
      <c r="AB62" s="134">
        <v>242</v>
      </c>
      <c r="AC62" s="134">
        <v>251</v>
      </c>
      <c r="AD62" s="134">
        <v>8</v>
      </c>
      <c r="AE62" s="134">
        <v>235</v>
      </c>
      <c r="AF62" s="134">
        <v>243</v>
      </c>
      <c r="AG62" s="134">
        <v>1</v>
      </c>
      <c r="AH62" s="134">
        <v>4</v>
      </c>
      <c r="AI62" s="134">
        <v>5</v>
      </c>
      <c r="AJ62" s="134">
        <v>0</v>
      </c>
      <c r="AK62" s="134">
        <v>3</v>
      </c>
      <c r="AL62" s="134">
        <v>3</v>
      </c>
      <c r="AM62" s="134">
        <v>0</v>
      </c>
      <c r="AN62" s="134">
        <v>0</v>
      </c>
      <c r="AO62" s="134">
        <v>0</v>
      </c>
      <c r="AP62" s="134">
        <v>753</v>
      </c>
      <c r="AQ62" s="134">
        <v>8153</v>
      </c>
      <c r="AR62" s="134">
        <v>8906</v>
      </c>
      <c r="AS62" s="134">
        <v>756</v>
      </c>
      <c r="AT62" s="134">
        <v>8166</v>
      </c>
      <c r="AU62" s="134">
        <v>8922</v>
      </c>
      <c r="AV62" s="134">
        <v>-3</v>
      </c>
      <c r="AW62" s="134">
        <v>-13</v>
      </c>
      <c r="AX62" s="134">
        <v>-16</v>
      </c>
      <c r="AY62" s="134">
        <v>58</v>
      </c>
      <c r="AZ62" s="134">
        <v>825</v>
      </c>
      <c r="BA62" s="134">
        <v>883</v>
      </c>
      <c r="BB62" s="134">
        <v>27</v>
      </c>
      <c r="BC62" s="134">
        <v>3</v>
      </c>
      <c r="BD62" s="134">
        <v>0</v>
      </c>
      <c r="BE62" s="134">
        <v>384</v>
      </c>
      <c r="BF62" s="134">
        <v>6</v>
      </c>
      <c r="BG62" s="134">
        <v>6</v>
      </c>
      <c r="BH62" s="134">
        <v>30</v>
      </c>
      <c r="BI62" s="134">
        <v>396</v>
      </c>
      <c r="BJ62" s="134">
        <v>426</v>
      </c>
      <c r="BK62" s="134">
        <v>-13</v>
      </c>
      <c r="BL62" s="134">
        <v>13</v>
      </c>
      <c r="BM62" s="134">
        <v>0</v>
      </c>
      <c r="BN62" s="134">
        <v>2</v>
      </c>
      <c r="BO62" s="134">
        <v>24</v>
      </c>
      <c r="BP62" s="134">
        <v>26</v>
      </c>
      <c r="BQ62" s="134">
        <v>7</v>
      </c>
      <c r="BR62" s="134">
        <v>80</v>
      </c>
      <c r="BS62" s="134">
        <v>87</v>
      </c>
      <c r="BT62" s="134">
        <v>32</v>
      </c>
      <c r="BU62" s="134">
        <v>312</v>
      </c>
      <c r="BV62" s="134">
        <v>344</v>
      </c>
      <c r="BW62" s="134">
        <v>811</v>
      </c>
      <c r="BX62" s="134">
        <v>8978</v>
      </c>
      <c r="BY62" s="134">
        <v>9789</v>
      </c>
      <c r="BZ62" s="134">
        <v>752</v>
      </c>
      <c r="CA62" s="134">
        <v>8778</v>
      </c>
      <c r="CB62" s="134">
        <v>9530</v>
      </c>
      <c r="CC62" s="134">
        <v>18372</v>
      </c>
      <c r="CD62" s="134">
        <v>16</v>
      </c>
      <c r="CE62" s="134">
        <v>305</v>
      </c>
      <c r="CF62" s="134">
        <v>59</v>
      </c>
      <c r="CG62" s="134">
        <v>147</v>
      </c>
      <c r="CH62" s="134">
        <v>206</v>
      </c>
      <c r="CI62" s="134">
        <v>74</v>
      </c>
      <c r="CJ62" s="134">
        <v>0</v>
      </c>
      <c r="CK62" s="134">
        <v>0</v>
      </c>
      <c r="CL62" s="134">
        <v>53</v>
      </c>
      <c r="CM62" s="134">
        <v>53</v>
      </c>
      <c r="CN62" s="134">
        <v>53</v>
      </c>
      <c r="CO62" s="134">
        <v>926</v>
      </c>
      <c r="CP62" s="134">
        <v>979</v>
      </c>
      <c r="CQ62" s="134">
        <v>0</v>
      </c>
      <c r="CR62" s="134">
        <v>0</v>
      </c>
      <c r="CS62" s="134">
        <v>0</v>
      </c>
      <c r="CT62" s="134">
        <v>758</v>
      </c>
      <c r="CU62" s="134">
        <v>8052</v>
      </c>
      <c r="CV62" s="134">
        <v>8810</v>
      </c>
      <c r="CW62" s="134">
        <v>63</v>
      </c>
      <c r="CX62" s="134">
        <v>573</v>
      </c>
      <c r="CY62" s="134">
        <v>636</v>
      </c>
      <c r="CZ62" s="134">
        <v>58</v>
      </c>
      <c r="DA62" s="134">
        <v>4</v>
      </c>
      <c r="DB62" s="134">
        <v>0</v>
      </c>
      <c r="DC62" s="134">
        <v>461</v>
      </c>
      <c r="DD62" s="134">
        <v>10</v>
      </c>
      <c r="DE62" s="134">
        <v>2</v>
      </c>
      <c r="DF62" s="134">
        <v>62</v>
      </c>
      <c r="DG62" s="134">
        <v>473</v>
      </c>
      <c r="DH62" s="134">
        <v>535</v>
      </c>
      <c r="DI62" s="134">
        <v>1</v>
      </c>
      <c r="DJ62" s="134">
        <v>0</v>
      </c>
      <c r="DK62" s="134">
        <v>0</v>
      </c>
      <c r="DL62" s="134">
        <v>98</v>
      </c>
      <c r="DM62" s="134">
        <v>2</v>
      </c>
      <c r="DN62" s="134">
        <v>0</v>
      </c>
      <c r="DO62" s="134">
        <v>1</v>
      </c>
      <c r="DP62" s="134">
        <v>100</v>
      </c>
      <c r="DQ62" s="134">
        <v>101</v>
      </c>
      <c r="DR62" s="134">
        <v>0</v>
      </c>
      <c r="DS62" s="134">
        <v>0</v>
      </c>
      <c r="DT62" s="135">
        <v>0</v>
      </c>
      <c r="DU62" s="116"/>
      <c r="DV62" s="136"/>
      <c r="DX62" s="136"/>
      <c r="DY62" s="136"/>
    </row>
    <row r="63" spans="1:129" s="137" customFormat="1" ht="18" customHeight="1" thickBot="1">
      <c r="A63" s="138" t="s">
        <v>332</v>
      </c>
      <c r="B63" s="139">
        <v>499</v>
      </c>
      <c r="C63" s="139">
        <v>82</v>
      </c>
      <c r="D63" s="139">
        <v>461</v>
      </c>
      <c r="E63" s="139">
        <v>318</v>
      </c>
      <c r="F63" s="139">
        <v>0</v>
      </c>
      <c r="G63" s="139">
        <v>0</v>
      </c>
      <c r="H63" s="139">
        <v>0</v>
      </c>
      <c r="I63" s="139">
        <v>0</v>
      </c>
      <c r="J63" s="139">
        <v>124</v>
      </c>
      <c r="K63" s="139">
        <v>124</v>
      </c>
      <c r="L63" s="139">
        <v>0</v>
      </c>
      <c r="M63" s="139">
        <v>80</v>
      </c>
      <c r="N63" s="139">
        <v>80</v>
      </c>
      <c r="O63" s="139">
        <v>0</v>
      </c>
      <c r="P63" s="139">
        <v>44</v>
      </c>
      <c r="Q63" s="139">
        <v>44</v>
      </c>
      <c r="R63" s="139">
        <v>0</v>
      </c>
      <c r="S63" s="139">
        <v>0</v>
      </c>
      <c r="T63" s="139">
        <v>0</v>
      </c>
      <c r="U63" s="139">
        <v>0</v>
      </c>
      <c r="V63" s="139">
        <v>19</v>
      </c>
      <c r="W63" s="139">
        <v>19</v>
      </c>
      <c r="X63" s="139">
        <v>5</v>
      </c>
      <c r="Y63" s="139">
        <v>456</v>
      </c>
      <c r="Z63" s="139">
        <v>461</v>
      </c>
      <c r="AA63" s="139">
        <v>2</v>
      </c>
      <c r="AB63" s="139">
        <v>232</v>
      </c>
      <c r="AC63" s="139">
        <v>234</v>
      </c>
      <c r="AD63" s="139">
        <v>2</v>
      </c>
      <c r="AE63" s="139">
        <v>222</v>
      </c>
      <c r="AF63" s="139">
        <v>224</v>
      </c>
      <c r="AG63" s="139">
        <v>0</v>
      </c>
      <c r="AH63" s="139">
        <v>8</v>
      </c>
      <c r="AI63" s="139">
        <v>8</v>
      </c>
      <c r="AJ63" s="139">
        <v>0</v>
      </c>
      <c r="AK63" s="139">
        <v>2</v>
      </c>
      <c r="AL63" s="139">
        <v>2</v>
      </c>
      <c r="AM63" s="139">
        <v>3</v>
      </c>
      <c r="AN63" s="139">
        <v>224</v>
      </c>
      <c r="AO63" s="139">
        <v>227</v>
      </c>
      <c r="AP63" s="139">
        <v>766</v>
      </c>
      <c r="AQ63" s="139">
        <v>4902</v>
      </c>
      <c r="AR63" s="139">
        <v>5668</v>
      </c>
      <c r="AS63" s="139">
        <v>766</v>
      </c>
      <c r="AT63" s="139">
        <v>4902</v>
      </c>
      <c r="AU63" s="139">
        <v>5668</v>
      </c>
      <c r="AV63" s="139">
        <v>0</v>
      </c>
      <c r="AW63" s="139">
        <v>0</v>
      </c>
      <c r="AX63" s="139">
        <v>0</v>
      </c>
      <c r="AY63" s="139">
        <v>32</v>
      </c>
      <c r="AZ63" s="139">
        <v>473</v>
      </c>
      <c r="BA63" s="139">
        <v>505</v>
      </c>
      <c r="BB63" s="139">
        <v>7</v>
      </c>
      <c r="BC63" s="139">
        <v>0</v>
      </c>
      <c r="BD63" s="139">
        <v>0</v>
      </c>
      <c r="BE63" s="139">
        <v>308</v>
      </c>
      <c r="BF63" s="139">
        <v>3</v>
      </c>
      <c r="BG63" s="139">
        <v>0</v>
      </c>
      <c r="BH63" s="139">
        <v>7</v>
      </c>
      <c r="BI63" s="139">
        <v>311</v>
      </c>
      <c r="BJ63" s="139">
        <v>318</v>
      </c>
      <c r="BK63" s="139">
        <v>-2</v>
      </c>
      <c r="BL63" s="139">
        <v>2</v>
      </c>
      <c r="BM63" s="139">
        <v>0</v>
      </c>
      <c r="BN63" s="139">
        <v>6</v>
      </c>
      <c r="BO63" s="139">
        <v>25</v>
      </c>
      <c r="BP63" s="139">
        <v>31</v>
      </c>
      <c r="BQ63" s="139">
        <v>3</v>
      </c>
      <c r="BR63" s="139">
        <v>51</v>
      </c>
      <c r="BS63" s="139">
        <v>54</v>
      </c>
      <c r="BT63" s="139">
        <v>18</v>
      </c>
      <c r="BU63" s="139">
        <v>84</v>
      </c>
      <c r="BV63" s="139">
        <v>102</v>
      </c>
      <c r="BW63" s="139">
        <v>798</v>
      </c>
      <c r="BX63" s="139">
        <v>5375</v>
      </c>
      <c r="BY63" s="139">
        <v>6173</v>
      </c>
      <c r="BZ63" s="139">
        <v>793</v>
      </c>
      <c r="CA63" s="139">
        <v>5339</v>
      </c>
      <c r="CB63" s="139">
        <v>6132</v>
      </c>
      <c r="CC63" s="139">
        <v>13217</v>
      </c>
      <c r="CD63" s="139">
        <v>2</v>
      </c>
      <c r="CE63" s="139">
        <v>46</v>
      </c>
      <c r="CF63" s="139">
        <v>5</v>
      </c>
      <c r="CG63" s="139">
        <v>28</v>
      </c>
      <c r="CH63" s="139">
        <v>33</v>
      </c>
      <c r="CI63" s="139">
        <v>8</v>
      </c>
      <c r="CJ63" s="139">
        <v>0</v>
      </c>
      <c r="CK63" s="139">
        <v>0</v>
      </c>
      <c r="CL63" s="139">
        <v>8</v>
      </c>
      <c r="CM63" s="139">
        <v>8</v>
      </c>
      <c r="CN63" s="139">
        <v>51</v>
      </c>
      <c r="CO63" s="139">
        <v>501</v>
      </c>
      <c r="CP63" s="139">
        <v>552</v>
      </c>
      <c r="CQ63" s="139">
        <v>0</v>
      </c>
      <c r="CR63" s="139">
        <v>21</v>
      </c>
      <c r="CS63" s="139">
        <v>21</v>
      </c>
      <c r="CT63" s="139">
        <v>747</v>
      </c>
      <c r="CU63" s="139">
        <v>4874</v>
      </c>
      <c r="CV63" s="139">
        <v>5621</v>
      </c>
      <c r="CW63" s="139">
        <v>46</v>
      </c>
      <c r="CX63" s="139">
        <v>198</v>
      </c>
      <c r="CY63" s="139">
        <v>244</v>
      </c>
      <c r="CZ63" s="139">
        <v>46</v>
      </c>
      <c r="DA63" s="139">
        <v>0</v>
      </c>
      <c r="DB63" s="139">
        <v>0</v>
      </c>
      <c r="DC63" s="139">
        <v>192</v>
      </c>
      <c r="DD63" s="139">
        <v>1</v>
      </c>
      <c r="DE63" s="139">
        <v>0</v>
      </c>
      <c r="DF63" s="139">
        <v>46</v>
      </c>
      <c r="DG63" s="139">
        <v>193</v>
      </c>
      <c r="DH63" s="139">
        <v>239</v>
      </c>
      <c r="DI63" s="139">
        <v>0</v>
      </c>
      <c r="DJ63" s="139">
        <v>0</v>
      </c>
      <c r="DK63" s="139">
        <v>0</v>
      </c>
      <c r="DL63" s="139">
        <v>5</v>
      </c>
      <c r="DM63" s="139">
        <v>0</v>
      </c>
      <c r="DN63" s="139">
        <v>0</v>
      </c>
      <c r="DO63" s="139">
        <v>0</v>
      </c>
      <c r="DP63" s="139">
        <v>5</v>
      </c>
      <c r="DQ63" s="139">
        <v>5</v>
      </c>
      <c r="DR63" s="139">
        <v>0</v>
      </c>
      <c r="DS63" s="139">
        <v>0</v>
      </c>
      <c r="DT63" s="140">
        <v>0</v>
      </c>
      <c r="DU63" s="116"/>
      <c r="DV63" s="141" t="s">
        <v>333</v>
      </c>
      <c r="DX63" s="136"/>
      <c r="DY63" s="136"/>
    </row>
    <row r="64" spans="1:129" s="137" customFormat="1" ht="15.75" thickTop="1">
      <c r="A64" s="142" t="s">
        <v>334</v>
      </c>
      <c r="B64" s="143">
        <v>173062</v>
      </c>
      <c r="C64" s="143">
        <v>52990</v>
      </c>
      <c r="D64" s="143">
        <v>159883</v>
      </c>
      <c r="E64" s="143">
        <v>103538</v>
      </c>
      <c r="F64" s="143">
        <v>150</v>
      </c>
      <c r="G64" s="143">
        <v>1490</v>
      </c>
      <c r="H64" s="143">
        <v>1640</v>
      </c>
      <c r="I64" s="143">
        <v>184</v>
      </c>
      <c r="J64" s="143">
        <v>49210</v>
      </c>
      <c r="K64" s="143">
        <v>49394</v>
      </c>
      <c r="L64" s="143">
        <v>105</v>
      </c>
      <c r="M64" s="143">
        <v>23037</v>
      </c>
      <c r="N64" s="143">
        <v>23142</v>
      </c>
      <c r="O64" s="143">
        <v>79</v>
      </c>
      <c r="P64" s="143">
        <v>26173</v>
      </c>
      <c r="Q64" s="143">
        <v>26252</v>
      </c>
      <c r="R64" s="143">
        <v>11</v>
      </c>
      <c r="S64" s="143">
        <v>2046</v>
      </c>
      <c r="T64" s="143">
        <v>2057</v>
      </c>
      <c r="U64" s="143">
        <v>44</v>
      </c>
      <c r="V64" s="143">
        <v>6907</v>
      </c>
      <c r="W64" s="143">
        <v>6951</v>
      </c>
      <c r="X64" s="143">
        <v>4795</v>
      </c>
      <c r="Y64" s="143">
        <v>140173</v>
      </c>
      <c r="Z64" s="143">
        <v>144968</v>
      </c>
      <c r="AA64" s="143">
        <v>3145</v>
      </c>
      <c r="AB64" s="143">
        <v>58593</v>
      </c>
      <c r="AC64" s="143">
        <v>61738</v>
      </c>
      <c r="AD64" s="143">
        <v>2747</v>
      </c>
      <c r="AE64" s="143">
        <v>54686</v>
      </c>
      <c r="AF64" s="143">
        <v>57433</v>
      </c>
      <c r="AG64" s="143">
        <v>152</v>
      </c>
      <c r="AH64" s="143">
        <v>2151</v>
      </c>
      <c r="AI64" s="143">
        <v>2303</v>
      </c>
      <c r="AJ64" s="143">
        <v>246</v>
      </c>
      <c r="AK64" s="143">
        <v>1756</v>
      </c>
      <c r="AL64" s="143">
        <v>2002</v>
      </c>
      <c r="AM64" s="143">
        <v>1650</v>
      </c>
      <c r="AN64" s="143">
        <v>81580</v>
      </c>
      <c r="AO64" s="143">
        <v>83230</v>
      </c>
      <c r="AP64" s="143">
        <v>223412</v>
      </c>
      <c r="AQ64" s="143">
        <v>1559958</v>
      </c>
      <c r="AR64" s="143">
        <v>1783370</v>
      </c>
      <c r="AS64" s="143">
        <v>224215</v>
      </c>
      <c r="AT64" s="143">
        <v>1567621</v>
      </c>
      <c r="AU64" s="143">
        <v>1791836</v>
      </c>
      <c r="AV64" s="143">
        <v>-803</v>
      </c>
      <c r="AW64" s="143">
        <v>-7663</v>
      </c>
      <c r="AX64" s="143">
        <v>-8466</v>
      </c>
      <c r="AY64" s="143">
        <v>13094</v>
      </c>
      <c r="AZ64" s="143">
        <v>160593</v>
      </c>
      <c r="BA64" s="143">
        <v>173687</v>
      </c>
      <c r="BB64" s="143">
        <v>6433</v>
      </c>
      <c r="BC64" s="143">
        <v>122</v>
      </c>
      <c r="BD64" s="143">
        <v>15</v>
      </c>
      <c r="BE64" s="143">
        <v>95229</v>
      </c>
      <c r="BF64" s="143">
        <v>1072</v>
      </c>
      <c r="BG64" s="143">
        <v>667</v>
      </c>
      <c r="BH64" s="143">
        <v>6570</v>
      </c>
      <c r="BI64" s="143">
        <v>96968</v>
      </c>
      <c r="BJ64" s="143">
        <v>103538</v>
      </c>
      <c r="BK64" s="143">
        <v>-2036</v>
      </c>
      <c r="BL64" s="143">
        <v>2036</v>
      </c>
      <c r="BM64" s="143">
        <v>0</v>
      </c>
      <c r="BN64" s="143">
        <v>464</v>
      </c>
      <c r="BO64" s="143">
        <v>2262</v>
      </c>
      <c r="BP64" s="143">
        <v>2726</v>
      </c>
      <c r="BQ64" s="143">
        <v>1074</v>
      </c>
      <c r="BR64" s="143">
        <v>14696</v>
      </c>
      <c r="BS64" s="143">
        <v>15770</v>
      </c>
      <c r="BT64" s="143">
        <v>7022</v>
      </c>
      <c r="BU64" s="143">
        <v>44631</v>
      </c>
      <c r="BV64" s="143">
        <v>51653</v>
      </c>
      <c r="BW64" s="143">
        <v>236506</v>
      </c>
      <c r="BX64" s="143">
        <v>1720551</v>
      </c>
      <c r="BY64" s="143">
        <v>1957057</v>
      </c>
      <c r="BZ64" s="143">
        <v>231773</v>
      </c>
      <c r="CA64" s="143">
        <v>1691711</v>
      </c>
      <c r="CB64" s="143">
        <v>1923484</v>
      </c>
      <c r="CC64" s="143">
        <v>3995768</v>
      </c>
      <c r="CD64" s="143">
        <v>2430</v>
      </c>
      <c r="CE64" s="143">
        <v>28810</v>
      </c>
      <c r="CF64" s="143">
        <v>4472</v>
      </c>
      <c r="CG64" s="143">
        <v>19206</v>
      </c>
      <c r="CH64" s="143">
        <v>23678</v>
      </c>
      <c r="CI64" s="143">
        <v>11996</v>
      </c>
      <c r="CJ64" s="143">
        <v>1066</v>
      </c>
      <c r="CK64" s="143">
        <v>261</v>
      </c>
      <c r="CL64" s="143">
        <v>9634</v>
      </c>
      <c r="CM64" s="143">
        <v>9895</v>
      </c>
      <c r="CN64" s="143">
        <v>11291</v>
      </c>
      <c r="CO64" s="143">
        <v>132443</v>
      </c>
      <c r="CP64" s="143">
        <v>143734</v>
      </c>
      <c r="CQ64" s="143">
        <v>69</v>
      </c>
      <c r="CR64" s="143">
        <v>865</v>
      </c>
      <c r="CS64" s="143">
        <v>934</v>
      </c>
      <c r="CT64" s="143">
        <v>225215</v>
      </c>
      <c r="CU64" s="143">
        <v>1588108</v>
      </c>
      <c r="CV64" s="143">
        <v>1813323</v>
      </c>
      <c r="CW64" s="143">
        <v>17316</v>
      </c>
      <c r="CX64" s="143">
        <v>83244</v>
      </c>
      <c r="CY64" s="143">
        <v>100560</v>
      </c>
      <c r="CZ64" s="143">
        <v>16684</v>
      </c>
      <c r="DA64" s="143">
        <v>317</v>
      </c>
      <c r="DB64" s="143">
        <v>13</v>
      </c>
      <c r="DC64" s="143">
        <v>77496</v>
      </c>
      <c r="DD64" s="143">
        <v>1144</v>
      </c>
      <c r="DE64" s="143">
        <v>314</v>
      </c>
      <c r="DF64" s="143">
        <v>17014</v>
      </c>
      <c r="DG64" s="143">
        <v>78954</v>
      </c>
      <c r="DH64" s="143">
        <v>95968</v>
      </c>
      <c r="DI64" s="143">
        <v>294</v>
      </c>
      <c r="DJ64" s="143">
        <v>8</v>
      </c>
      <c r="DK64" s="143">
        <v>0</v>
      </c>
      <c r="DL64" s="143">
        <v>4156</v>
      </c>
      <c r="DM64" s="143">
        <v>113</v>
      </c>
      <c r="DN64" s="143">
        <v>21</v>
      </c>
      <c r="DO64" s="143">
        <v>302</v>
      </c>
      <c r="DP64" s="143">
        <v>4290</v>
      </c>
      <c r="DQ64" s="143">
        <v>4592</v>
      </c>
      <c r="DR64" s="143">
        <v>9</v>
      </c>
      <c r="DS64" s="143">
        <v>54</v>
      </c>
      <c r="DT64" s="143">
        <v>63</v>
      </c>
      <c r="DU64" s="116"/>
      <c r="DV64" s="144">
        <v>25630665</v>
      </c>
      <c r="DX64" s="136"/>
      <c r="DY64" s="136"/>
    </row>
  </sheetData>
  <conditionalFormatting sqref="B6:DT63">
    <cfRule type="containsBlanks" dxfId="1269" priority="1">
      <formula>LEN(TRIM(B6))=0</formula>
    </cfRule>
  </conditionalFormatting>
  <dataValidations count="123">
    <dataValidation allowBlank="1" prompt="Part D.  RECERTIFICATIONS_x000a_ Item 10. Overdue recertifications during the month_x000a_ Column C. Total" sqref="DT5"/>
    <dataValidation allowBlank="1" prompt="Part D.  RECERTIFICATIONS_x000a_ Item 10. Overdue recertifications during the month_x000a_ Column B. NACF" sqref="DS5"/>
    <dataValidation allowBlank="1" prompt="Part D.  RECERTIFICATIONS_x000a_ Item 10. Overdue recertifications during the month_x000a_ Column A. PACF" sqref="DR5"/>
    <dataValidation allowBlank="1" prompt="Part D.  RECERTIFICATIONS_x000a_ Item 9B. Determined ineligible_x000a_ Column C. Total" sqref="DQ5"/>
    <dataValidation allowBlank="1" prompt="Part D.  RECERTIFICATIONS_x000a_ Item 9B. Determined ineligible_x000a_ Column B. NACF" sqref="DP5"/>
    <dataValidation allowBlank="1" prompt="Part D.  RECERTIFICATIONS_x000a_ Item 9B. Determined ineligible_x000a_ Column A. PACF" sqref="DO5"/>
    <dataValidation allowBlank="1" prompt="Part D.  RECERTIFICATIONS_x000a_ Item 9B. Determined ineligible_x000a_ Column NACF: State" sqref="DN5"/>
    <dataValidation allowBlank="1" prompt="Part D.  RECERTIFICATIONS_x000a_ Item 9B. Determined ineligible_x000a_ Column NACF: Federal/State" sqref="DM5"/>
    <dataValidation allowBlank="1" prompt="Part D.  RECERTIFICATIONS_x000a_ Item 9B. Determined ineligible_x000a_ Column NACF: Federal" sqref="DL5"/>
    <dataValidation allowBlank="1" prompt="Part D.  RECERTIFICATIONS_x000a_ Item 9B. Determined ineligible_x000a_ Column PACF: State" sqref="DK5"/>
    <dataValidation allowBlank="1" prompt="Part D.  RECERTIFICATIONS_x000a_ Item 9B. Determined ineligible_x000a_ Column PACF: Federal/State" sqref="DJ5"/>
    <dataValidation allowBlank="1" prompt="Part D.  RECERTIFICATIONS_x000a_ Item 9B. Determined ineligible_x000a_ Column PACF: Federal" sqref="DI5"/>
    <dataValidation allowBlank="1" prompt="Part D.  RECERTIFICATIONS_x000a_ Item 9A. Determined continuing eligible_x000a_ Column C. Total" sqref="DH5"/>
    <dataValidation allowBlank="1" prompt="Part D.  RECERTIFICATIONS_x000a_ Item 9A. Determined continuing eligible_x000a_ Column B. NACF" sqref="DG5"/>
    <dataValidation allowBlank="1" prompt="Part D.  RECERTIFICATIONS_x000a_ Item 9A. Determined continuing eligible_x000a_ Column A. PACF" sqref="DF5"/>
    <dataValidation allowBlank="1" prompt="Part D.  RECERTIFICATIONS_x000a_ Item 9A. Determined continuing eligible_x000a_ Column NACF: State" sqref="DE5"/>
    <dataValidation allowBlank="1" prompt="Part D.  RECERTIFICATIONS_x000a_ Item 9A. Determined continuing eligible_x000a_ Column NACF: Federal/State" sqref="DD5"/>
    <dataValidation allowBlank="1" prompt="Part D.  RECERTIFICATIONS_x000a_ Item 9A. Determined continuing eligible_x000a_ Column NACF: Federal" sqref="DC5"/>
    <dataValidation allowBlank="1" prompt="Part D.  RECERTIFICATIONS_x000a_ Item 9A. Determined continuing eligible_x000a_ Column PACF: State" sqref="DB5"/>
    <dataValidation allowBlank="1" prompt="Part D.  RECERTIFICATIONS_x000a_ Item 9A. Determined continuing eligible_x000a_ Column PACF: Federal/State" sqref="DA5"/>
    <dataValidation allowBlank="1" prompt="Part D.  RECERTIFICATIONS_x000a_ Item 9A. Determined continuing eligible_x000a_ Column PACF: Federal" sqref="CZ5"/>
    <dataValidation allowBlank="1" prompt="Part D.  RECERTIFICATIONS_x000a_ Item 9. Recertifications disposed of during the month _x000a_ Column C. Total" sqref="CY5"/>
    <dataValidation allowBlank="1" prompt="Part D.  RECERTIFICATIONS_x000a_ Item 9. Recertifications disposed of during the month _x000a_ Column B. NACF" sqref="CX5"/>
    <dataValidation allowBlank="1" prompt="Part D.  RECERTIFICATIONS_x000a_ Item 9. Recertifications disposed of during the month _x000a_ Column A. PACF" sqref="CW5"/>
    <dataValidation allowBlank="1" prompt="Part C.  CERTIFIED CASELOAD MOVEMENT_x000a_ Item 8. Cases brought forward at the end of the month_x000a_ Column C. Total" sqref="CV5"/>
    <dataValidation allowBlank="1" prompt="Part C.  CERTIFIED CASELOAD MOVEMENT_x000a_ Item 8. Cases brought forward at the end of the month_x000a_ Column B. NACF" sqref="CU5"/>
    <dataValidation allowBlank="1" prompt="Part C.  CERTIFIED CASELOAD MOVEMENT_x000a_ Item 8. Cases brought forward at the end of the month_x000a_ Column A. PACF" sqref="CT5"/>
    <dataValidation allowBlank="1" prompt="Part C.  CERTIFIED CASELOAD MOVEMENT_x000a_ Item 7A. Households discontinued due to recipient failure to complete application process for ongoing benefits (Expedited services only)_x000a_ Column C. Total" sqref="CS5"/>
    <dataValidation allowBlank="1" prompt="Part C.  CERTIFIED CASELOAD MOVEMENT_x000a_ Item 7A. Households discontinued due to recipient failure to complete application process for ongoing benefits (Expedited services only)_x000a_ Column B. NACF" sqref="CR5"/>
    <dataValidation allowBlank="1" prompt="Part C.  CERTIFIED CASELOAD MOVEMENT_x000a_ Item 7A. Households discontinued due to recipient failure to complete application process for ongoing benefits (Expedited services only)_x000a_ Column A. PACF" sqref="CQ5"/>
    <dataValidation allowBlank="1" prompt="Part C.  CERTIFIED CASELOAD MOVEMENT_x000a_ Item 7. Cases discontinued during the month_x000a_ Column C. Total" sqref="CP5"/>
    <dataValidation allowBlank="1" prompt="Part C.  CERTIFIED CASELOAD MOVEMENT_x000a_ Item 7. Cases discontinued during the month_x000a_ Column B. NACF" sqref="CO5"/>
    <dataValidation allowBlank="1" prompt="Part C.  CERTIFIED CASELOAD MOVEMENT_x000a_ Item 7. Cases discontinued during the month_x000a_ Column A. PACF" sqref="CN5"/>
    <dataValidation allowBlank="1" prompt="Part C.  CERTIFIED CASELOAD MOVEMENT_x000a_ Item 6C. Pure state cases_x000a_ Column C. Total" sqref="CM5"/>
    <dataValidation allowBlank="1" prompt="Part C.  CERTIFIED CASELOAD MOVEMENT_x000a_ Item 6C. Pure state cases_x000a_ Column B. NACF" sqref="CL5"/>
    <dataValidation allowBlank="1" prompt="Part C.  CERTIFIED CASELOAD MOVEMENT_x000a_ Item 6C. Pure state cases_x000a_ Column A. PACF" sqref="CK5"/>
    <dataValidation allowBlank="1" prompt="Part C.  CERTIFIED CASELOAD MOVEMENT_x000a_ Item 6C. Pure state cases_x000a_ Column State Persons: Families" sqref="CJ5"/>
    <dataValidation allowBlank="1" prompt="Part C.  CERTIFIED CASELOAD MOVEMENT_x000a_ Item 6C. Pure state cases_x000a_ Column State Persons: Single" sqref="CI5"/>
    <dataValidation allowBlank="1" prompt="Part C.  CERTIFIED CASELOAD MOVEMENT_x000a_ Item 6B. Federal/State combined cases_x000a_ Column C. Total" sqref="CH5"/>
    <dataValidation allowBlank="1" prompt="Part C.  CERTIFIED CASELOAD MOVEMENT_x000a_ Item 6B. Federal/State combined cases_x000a_ Column B. NACF" sqref="CG5"/>
    <dataValidation allowBlank="1" prompt="Part C.  CERTIFIED CASELOAD MOVEMENT_x000a_ Item 6B. Federal/State combined cases_x000a_ Column A. PACF" sqref="CF5"/>
    <dataValidation allowBlank="1" prompt="Part C.  CERTIFIED CASELOAD MOVEMENT_x000a_ Item 6B. Federal/State combined cases_x000a_ Column State Persons: Families" sqref="CE5"/>
    <dataValidation allowBlank="1" prompt="Part C.  CERTIFIED CASELOAD MOVEMENT_x000a_ Item 6B. Federal/State combined cases_x000a_ Column State Persons: Single" sqref="CD5"/>
    <dataValidation allowBlank="1" prompt="Part C.  CERTIFIED CASELOAD MOVEMENT_x000a_ Item 6A.1) Federal persons in Item 6A cases plus federal persons in Item 6B cases_x000a_ Column Federal Persons" sqref="CC5"/>
    <dataValidation allowBlank="1" prompt="Part C.  CERTIFIED CASELOAD MOVEMENT_x000a_ Item 6A. Pure federal cases_x000a_ Column C. Total" sqref="CB5"/>
    <dataValidation allowBlank="1" prompt="Part C.  CERTIFIED CASELOAD MOVEMENT_x000a_ Item 6A. Pure federal cases_x000a_ Column B. NACF" sqref="CA5"/>
    <dataValidation allowBlank="1" prompt="Part C.  CERTIFIED CASELOAD MOVEMENT_x000a_ Item 6A. Pure federal cases_x000a_ Column A. PACF" sqref="BZ5"/>
    <dataValidation allowBlank="1" prompt="Part C.  CERTIFIED CASELOAD MOVEMENT_x000a_ Item 6. Total cases open during the month _x000a_ Column C. Total" sqref="BY5"/>
    <dataValidation allowBlank="1" prompt="Part C.  CERTIFIED CASELOAD MOVEMENT_x000a_ Item 6. Total cases open during the month _x000a_ Column B. NACF" sqref="BX5"/>
    <dataValidation allowBlank="1" prompt="Part C.  CERTIFIED CASELOAD MOVEMENT_x000a_ Item 6. Total cases open during the month _x000a_ Column A. PACF" sqref="BW5"/>
    <dataValidation allowBlank="1" prompt="Part C.  CERTIFIED CASELOAD MOVEMENT_x000a_ Item 5E. Other Approvals_x000a_ Column C. Total" sqref="BV5"/>
    <dataValidation allowBlank="1" prompt="Part C.  CERTIFIED CASELOAD MOVEMENT_x000a_ Item 5E. Other Approvals_x000a_ Column B. NACF" sqref="BU5"/>
    <dataValidation allowBlank="1" prompt="Part C.  CERTIFIED CASELOAD MOVEMENT_x000a_ Item 5E. Other Approvals_x000a_ Column A. PACF" sqref="BT5"/>
    <dataValidation allowBlank="1" prompt="Part C.  CERTIFIED CASELOAD MOVEMENT_x000a_ Item 5D. Cases with eligibility reinstated and benefits pro-rated during the month_x000a_ Column C. Total" sqref="BS5"/>
    <dataValidation allowBlank="1" prompt="Part C.  CERTIFIED CASELOAD MOVEMENT_x000a_ Item 5D. Cases with eligibility reinstated and benefits pro-rated during the month_x000a_ Column B. NACF" sqref="BR5"/>
    <dataValidation allowBlank="1" prompt="Part C.  CERTIFIED CASELOAD MOVEMENT_x000a_ Item 5D. Cases with eligibility reinstated and benefits pro-rated during the month_x000a_ Column A. PACF" sqref="BQ5"/>
    <dataValidation allowBlank="1" prompt="Part C.  CERTIFIED CASELOAD MOVEMENT_x000a_ Item 5C. Inter-County Transfers_x000a_ Column C. Total" sqref="BP5"/>
    <dataValidation allowBlank="1" prompt="Part C.  CERTIFIED CASELOAD MOVEMENT_x000a_ Item 5C. Inter-County Transfers_x000a_ Column B. NACF" sqref="BO5"/>
    <dataValidation allowBlank="1" prompt="Part C.  CERTIFIED CASELOAD MOVEMENT_x000a_ Item 5C. Inter-County Transfers_x000a_ Column A. PACF" sqref="BN5"/>
    <dataValidation allowBlank="1" prompt="Part C.  CERTIFIED CASELOAD MOVEMENT_x000a_ Item 5B. Change in asssistance status from PACF or NACF_x000a_ Column C. Total" sqref="BM5"/>
    <dataValidation allowBlank="1" prompt="Part C.  CERTIFIED CASELOAD MOVEMENT_x000a_ Item 5B. Change in asssistance status from PACF or NACF_x000a_ Column B. NACF" sqref="BL5"/>
    <dataValidation allowBlank="1" prompt="Part C.  CERTIFIED CASELOAD MOVEMENT_x000a_ Item 5B. Change in asssistance status from PACF or NACF_x000a_ Column A. PACF" sqref="BK5"/>
    <dataValidation allowBlank="1" prompt="Part C.  CERTIFIED CASELOAD MOVEMENT_x000a_ Item 5A. Applications Approved_x000a_ Column C. Total" sqref="BJ5"/>
    <dataValidation allowBlank="1" prompt="Part C.  CERTIFIED CASELOAD MOVEMENT_x000a_ Item 5A. Applications Approved_x000a_ Column B. NACF" sqref="BI5"/>
    <dataValidation allowBlank="1" prompt="Part C.  CERTIFIED CASELOAD MOVEMENT_x000a_ Item 5A. Applications Approved_x000a_ Column A. PACF" sqref="BH5"/>
    <dataValidation allowBlank="1" prompt="Part C.  CERTIFIED CASELOAD MOVEMENT_x000a_ Item 5A. Applications Approved_x000a_ Column NACF (State)" sqref="BG5"/>
    <dataValidation allowBlank="1" prompt="Part C.  CERTIFIED CASELOAD MOVEMENT_x000a_ Item 5A. Applications Approved_x000a_ Column NACF (Federal/State)" sqref="BF5"/>
    <dataValidation allowBlank="1" prompt="Part C.  CERTIFIED CASELOAD MOVEMENT_x000a_ Item 5A. Applications Approved_x000a_ Column NACF (Federal)" sqref="BE5"/>
    <dataValidation allowBlank="1" prompt="Part C.  CERTIFIED CASELOAD MOVEMENT_x000a_ Item 5A. Applications Approved_x000a_ Column PACF (State)" sqref="BD5"/>
    <dataValidation allowBlank="1" prompt="Part C.  CERTIFIED CASELOAD MOVEMENT_x000a_ Item 5A. Applications Approved_x000a_ Column PACF (Federal/State)" sqref="BC5"/>
    <dataValidation allowBlank="1" prompt="Part C.  CERTIFIED CASELOAD MOVEMENT_x000a_ Item 5A. Applications Approved_x000a_ Column PACF (Federal)" sqref="BB5"/>
    <dataValidation allowBlank="1" prompt="Part C.  CERTIFIED CASELOAD MOVEMENT_x000a_ Item 5. Cases added during the month _x000a_ Column C. Total" sqref="BA5"/>
    <dataValidation allowBlank="1" prompt="Part C.  CERTIFIED CASELOAD MOVEMENT_x000a_ Item 5. Cases added during the month _x000a_ Column B. NACF" sqref="AZ5"/>
    <dataValidation allowBlank="1" prompt="Part C.  CERTIFIED CASELOAD MOVEMENT_x000a_ Item 5. Cases added during the month _x000a_ Column A. PACF" sqref="AY5"/>
    <dataValidation allowBlank="1" prompt="Part C.  CERTIFIED CASELOAD MOVEMENT_x000a_ Item 4B. Adjustment_x000a_ Column C. Total" sqref="AX5"/>
    <dataValidation allowBlank="1" prompt="Part C.  CERTIFIED CASELOAD MOVEMENT_x000a_ Item 4B. Adjustment_x000a_ Column B. NACF" sqref="AW5"/>
    <dataValidation allowBlank="1" prompt="Part C.  CERTIFIED CASELOAD MOVEMENT_x000a_ Item 4B. Adjustment_x000a_ Column A. PACF" sqref="AV5"/>
    <dataValidation allowBlank="1" prompt="Part C.  CERTIFIED CASELOAD MOVEMENT_x000a_ Item 4A. Item 8 from last month's report, as reported to CDSS_x000a_ Column C. Total" sqref="AU5"/>
    <dataValidation allowBlank="1" prompt="Part C.  CERTIFIED CASELOAD MOVEMENT_x000a_ Item 4A. Item 8 from last month's report, as reported to CDSS_x000a_ Column B. NACF" sqref="AT5"/>
    <dataValidation allowBlank="1" prompt="Part C.  CERTIFIED CASELOAD MOVEMENT_x000a_ Item 4A. Item 8 from last month's report, as reported to CDSS_x000a_ Column A. PACF" sqref="AS5"/>
    <dataValidation allowBlank="1" prompt="Part C.  CERTIFIED CASELOAD MOVEMENT_x000a_ Item 4. Cases brought forward at the beginning of the month_x000a_ Column C. Total" sqref="AR5"/>
    <dataValidation allowBlank="1" prompt="Part C.  CERTIFIED CASELOAD MOVEMENT_x000a_ Item 4. Cases brought forward at the beginning of the month_x000a_ Column B. NACF" sqref="AQ5"/>
    <dataValidation allowBlank="1" prompt="Part C.  CERTIFIED CASELOAD MOVEMENT_x000a_ Item 4. Cases brought forward at the beginning of the month_x000a_ Column A. PACF" sqref="AP5"/>
    <dataValidation allowBlank="1" prompt="Part B.  APPLICATIONS PROCESSED UNDER EXPEDITED SERVICES (ES)_x000a_ Item 3B. Found not entitled to expedited services_x000a_ Column C. Total" sqref="AO5"/>
    <dataValidation allowBlank="1" prompt="Part B.  APPLICATIONS PROCESSED UNDER EXPEDITED SERVICES (ES)_x000a_ Item 3B. Found not entitled to expedited services_x000a_ Column B. NACF" sqref="AN5"/>
    <dataValidation allowBlank="1" prompt="Part B.  APPLICATIONS PROCESSED UNDER EXPEDITED SERVICES (ES)_x000a_ Item 3B. Found not entitled to expedited services_x000a_ Column A. PACF" sqref="AM5"/>
    <dataValidation allowBlank="1" prompt="Part B.  APPLICATIONS PROCESSED UNDER EXPEDITED SERVICES (ES)_x000a_ Item 3A.3) Benefits issued in over 7 days_x000a_ Column C. Total" sqref="AL5"/>
    <dataValidation allowBlank="1" prompt="Part B.  APPLICATIONS PROCESSED UNDER EXPEDITED SERVICES (ES)_x000a_ Item 3A.3) Benefits issued in over 7 days_x000a_ Column B. NACF" sqref="AK5"/>
    <dataValidation allowBlank="1" prompt="Part B.  APPLICATIONS PROCESSED UNDER EXPEDITED SERVICES (ES)_x000a_ Item 3A.3) Benefits issued in over 7 days_x000a_ Column A. PACF" sqref="AJ5"/>
    <dataValidation allowBlank="1" prompt="Part B.  APPLICATIONS PROCESSED UNDER EXPEDITED SERVICES (ES)_x000a_ Item 3A.2) Benefits issued in 4 to 7 days_x000a_ Column C. Total" sqref="AI5"/>
    <dataValidation allowBlank="1" prompt="Part B.  APPLICATIONS PROCESSED UNDER EXPEDITED SERVICES (ES)_x000a_ Item 3A.2) Benefits issued in 4 to 7 days_x000a_ Column B. NACF" sqref="AH5"/>
    <dataValidation allowBlank="1" prompt="Part B.  APPLICATIONS PROCESSED UNDER EXPEDITED SERVICES (ES)_x000a_ Item 3A.2) Benefits issued in 4 to 7 days_x000a_ Column A. PACF" sqref="AG5"/>
    <dataValidation allowBlank="1" prompt="Part B.  APPLICATIONS PROCESSED UNDER EXPEDITED SERVICES (ES)_x000a_ Item 3A.1) Benefits issued in 1 to 3 days_x000a_ Column C. Total" sqref="AF5"/>
    <dataValidation allowBlank="1" prompt="Part B.  APPLICATIONS PROCESSED UNDER EXPEDITED SERVICES (ES)_x000a_ Item 3A.1) Benefits issued in 1 to 3 days_x000a_ Column B. NACF" sqref="AE5"/>
    <dataValidation allowBlank="1" prompt="Part B.  APPLICATIONS PROCESSED UNDER EXPEDITED SERVICES (ES)_x000a_ Item 3A.1) Benefits issued in 1 to 3 days_x000a_ Column A. PACF" sqref="AD5"/>
    <dataValidation allowBlank="1" prompt="Part B.  APPLICATIONS PROCESSED UNDER EXPEDITED SERVICES (ES)_x000a_ Item 3A. Found entitled to expedited services_x000a_ Column C. Total" sqref="AC5"/>
    <dataValidation allowBlank="1" prompt="Part B.  APPLICATIONS PROCESSED UNDER EXPEDITED SERVICES (ES)_x000a_ Item 3A. Found entitled to expedited services_x000a_ Column B. NACF" sqref="AB5"/>
    <dataValidation allowBlank="1" prompt="Part B.  APPLICATIONS PROCESSED UNDER EXPEDITED SERVICES (ES)_x000a_ Item 3A. Found entitled to expedited services_x000a_ Column A. PACF" sqref="AA5"/>
    <dataValidation allowBlank="1" prompt="Part B.  APPLICATIONS PROCESSED UNDER EXPEDITED SERVICES (ES)_x000a_ Item 3. Of the applications disposed of during the month in Item 2, applications processed under expedited services_x000a_ Column C. Total" sqref="Z5"/>
    <dataValidation allowBlank="1" prompt="Part B.  APPLICATIONS PROCESSED UNDER EXPEDITED SERVICES (ES)_x000a_ Item 3. Of the applications disposed of during the month in Item 2, applications processed under expedited services_x000a_ Column B. NACF" sqref="Y5"/>
    <dataValidation allowBlank="1" prompt="Part B.  APPLICATIONS PROCESSED UNDER EXPEDITED SERVICES (ES)_x000a_ Item 3. Of the applications disposed of during the month in Item 2, applications processed under expedited services_x000a_ Column A. PACF" sqref="X5"/>
    <dataValidation allowBlank="1" prompt="Part A.  APPLICATIONS FOR CALFRESH_x000a_ Item 2C. Applications withdrawn_x000a_ Column C. Total" sqref="W5"/>
    <dataValidation allowBlank="1" prompt="Part A.  APPLICATIONS FOR CALFRESH_x000a_ Item 2C. Applications withdrawn_x000a_ Column B. NACF" sqref="V5"/>
    <dataValidation allowBlank="1" prompt="Part A.  APPLICATIONS FOR CALFRESH_x000a_ Item 2C. Applications withdrawn_x000a_ Column A. PACF" sqref="U5"/>
    <dataValidation allowBlank="1" prompt="Part A.  APPLICATIONS FOR CALFRESH_x000a_ Item 2B.3) Applications denied in over 30 days_x000a_ Column C. Total" sqref="T5"/>
    <dataValidation allowBlank="1" prompt="Part A.  APPLICATIONS FOR CALFRESH_x000a_ Item 2B.3) Applications denied in over 30 days_x000a_ Column B. NACF" sqref="S5"/>
    <dataValidation allowBlank="1" prompt="Part A.  APPLICATIONS FOR CALFRESH_x000a_ Item 2B.3) Applications denied in over 30 days_x000a_ Column A. PACF" sqref="R5"/>
    <dataValidation allowBlank="1" prompt="Part A.  APPLICATIONS FOR CALFRESH_x000a_ Item 2B.2) Applications denied for procedural reasons_x000a_ Column C. Total" sqref="Q5"/>
    <dataValidation allowBlank="1" prompt="Part A.  APPLICATIONS FOR CALFRESH_x000a_ Item 2B.2) Applications denied for procedural reasons_x000a_ Column B. NACF" sqref="P5"/>
    <dataValidation allowBlank="1" prompt="Part A.  APPLICATIONS FOR CALFRESH_x000a_ Item 2B.2) Applications denied for procedural reasons_x000a_ Column A. PACF" sqref="O5"/>
    <dataValidation allowBlank="1" prompt="Part A.  APPLICATIONS FOR CALFRESH_x000a_ Item 2B.1) Applications denied because determined ineligible_x000a_ Column C. Total" sqref="N5"/>
    <dataValidation allowBlank="1" prompt="Part A.  APPLICATIONS FOR CALFRESH_x000a_ Item 2B.1) Applications denied because determined ineligible_x000a_ Column B. NACF" sqref="M5"/>
    <dataValidation allowBlank="1" prompt="Part A.  APPLICATIONS FOR CALFRESH_x000a_ Item 2B.1) Applications denied because determined ineligible_x000a_ Column A. PACF" sqref="L5"/>
    <dataValidation allowBlank="1" prompt="Part A.  APPLICATIONS FOR CALFRESH_x000a_ Item 2B. Applications denied (Item 2B1 plus Item 2B2)_x000a_ Column C. Total" sqref="K5"/>
    <dataValidation allowBlank="1" prompt="Part A.  APPLICATIONS FOR CALFRESH_x000a_ Item 2B. Applications denied (Item 2B1 plus Item 2B2)_x000a_ Column B. NACF" sqref="J5"/>
    <dataValidation allowBlank="1" prompt="Part A.  APPLICATIONS FOR CALFRESH_x000a_ Item 2B. Applications denied (Item 2B1 plus Item 2B2)_x000a_ Column A. PACF" sqref="I5"/>
    <dataValidation allowBlank="1" prompt="Part A.  APPLICATIONS FOR CALFRESH_x000a_ Item 2A.1) Applications approved in over 30 days_x000a_ Column C. Total" sqref="H5"/>
    <dataValidation allowBlank="1" prompt="Part A.  APPLICATIONS FOR CALFRESH_x000a_ Item 2A.1) Applications approved in over 30 days _x000a_ Column B. NACF" sqref="G5"/>
    <dataValidation allowBlank="1" prompt="Part A.  APPLICATIONS FOR CALFRESH_x000a_ Item 2A.1) Applications approved in over 30 days _x000a_ Column A. PACF" sqref="F5"/>
    <dataValidation allowBlank="1" prompt="Part A.  APPLICATIONS FOR CALFRESH_x000a_ Item 2A. Applications approved _x000a_ Column Total" sqref="E5"/>
    <dataValidation allowBlank="1" prompt="Part A.  APPLICATIONS FOR CALFRESH_x000a_ Item 2. Applications disposed of during the month _x000a_ Column Total" sqref="D5"/>
    <dataValidation allowBlank="1" prompt="Part A.  APPLICATIONS FOR CALFRESH_x000a_ Item 1A. Online applications received during the month_x000a_ Column Total" sqref="C5"/>
    <dataValidation allowBlank="1" prompt="Part A.  APPLICATIONS FOR CALFRESH_x000a_ Item 1. Applications received during the month_x000a_ Column Total" sqref="B5"/>
  </dataValidations>
  <printOptions horizontalCentered="1"/>
  <pageMargins left="0.25" right="0.25" top="0.81708333333333305" bottom="0.5" header="0.25" footer="0.25"/>
  <pageSetup scale="10" orientation="portrait" r:id="rId1"/>
  <headerFooter scaleWithDoc="0" alignWithMargins="0"/>
  <rowBreaks count="1" manualBreakCount="1">
    <brk id="64" max="16383" man="1"/>
  </rowBreaks>
  <colBreaks count="12" manualBreakCount="12">
    <brk id="7" max="64" man="1"/>
    <brk id="13" max="64" man="1"/>
    <brk id="19" max="64" man="1"/>
    <brk id="25" max="64" man="1"/>
    <brk id="31" max="64" man="1"/>
    <brk id="37" max="64" man="1"/>
    <brk id="43" max="64" man="1"/>
    <brk id="49" max="64" man="1"/>
    <brk id="55" max="1048575" man="1"/>
    <brk id="61" max="1048575" man="1"/>
    <brk id="80" max="64" man="1"/>
    <brk id="115" max="64" man="1"/>
  </colBreaks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2">
    <pageSetUpPr fitToPage="1"/>
  </sheetPr>
  <dimension ref="A1:AO57"/>
  <sheetViews>
    <sheetView showGridLines="0" zoomScaleNormal="100" workbookViewId="0"/>
  </sheetViews>
  <sheetFormatPr defaultColWidth="9" defaultRowHeight="12.75"/>
  <cols>
    <col min="1" max="1" width="2.7109375" style="111" customWidth="1"/>
    <col min="2" max="2" width="2.7109375" style="31" customWidth="1"/>
    <col min="3" max="3" width="2.7109375" style="22" customWidth="1"/>
    <col min="4" max="4" width="17.140625" style="22" customWidth="1"/>
    <col min="5" max="5" width="8.5703125" style="21" customWidth="1"/>
    <col min="6" max="6" width="3" style="22" customWidth="1"/>
    <col min="7" max="7" width="8.5703125" style="22" customWidth="1"/>
    <col min="8" max="8" width="3" style="22" customWidth="1"/>
    <col min="9" max="9" width="8.5703125" style="23" customWidth="1"/>
    <col min="10" max="10" width="3" style="21" customWidth="1"/>
    <col min="11" max="11" width="8.5703125" style="22" customWidth="1"/>
    <col min="12" max="12" width="3" style="22" customWidth="1"/>
    <col min="13" max="13" width="12.85546875" style="21" customWidth="1"/>
    <col min="14" max="14" width="3" style="23" customWidth="1"/>
    <col min="15" max="15" width="8.5703125" style="22" customWidth="1"/>
    <col min="16" max="16" width="3" style="21" customWidth="1"/>
    <col min="17" max="17" width="8.42578125" style="21" customWidth="1"/>
    <col min="18" max="18" width="3" style="22" customWidth="1"/>
    <col min="19" max="19" width="8.5703125" style="23" customWidth="1"/>
    <col min="20" max="20" width="3" style="22" customWidth="1"/>
    <col min="21" max="21" width="8.5703125" style="21" customWidth="1"/>
    <col min="22" max="22" width="3" style="21" customWidth="1"/>
    <col min="23" max="23" width="11.140625" style="22" customWidth="1"/>
    <col min="24" max="24" width="2.7109375" style="21" customWidth="1"/>
    <col min="25" max="25" width="2.42578125" style="22" customWidth="1"/>
    <col min="26" max="26" width="2.140625" style="22" customWidth="1"/>
    <col min="27" max="27" width="2.7109375" style="22" customWidth="1"/>
    <col min="28" max="28" width="3" style="23" customWidth="1"/>
    <col min="29" max="29" width="10.85546875" style="24" customWidth="1"/>
    <col min="30" max="30" width="3" style="23" customWidth="1"/>
    <col min="31" max="31" width="10.85546875" style="25" customWidth="1"/>
    <col min="32" max="32" width="9" style="26" customWidth="1"/>
    <col min="33" max="33" width="3.7109375" style="26" customWidth="1"/>
    <col min="34" max="41" width="9" style="26"/>
    <col min="42" max="16384" width="9" style="22"/>
  </cols>
  <sheetData>
    <row r="1" spans="1:41">
      <c r="A1" s="15" t="s">
        <v>94</v>
      </c>
      <c r="B1" s="16"/>
      <c r="C1" s="17"/>
      <c r="D1" s="17"/>
      <c r="E1" s="18"/>
      <c r="F1" s="17"/>
      <c r="G1" s="17"/>
      <c r="H1" s="17"/>
      <c r="I1" s="19"/>
      <c r="J1" s="18"/>
      <c r="K1" s="17"/>
      <c r="L1" s="17"/>
      <c r="M1" s="18"/>
      <c r="N1" s="19"/>
      <c r="O1" s="17"/>
      <c r="P1" s="18"/>
      <c r="Q1" s="18"/>
      <c r="R1" s="17"/>
      <c r="S1" s="19"/>
      <c r="T1" s="17"/>
      <c r="U1" s="18"/>
      <c r="V1" s="18"/>
      <c r="W1" s="20"/>
    </row>
    <row r="2" spans="1:41" s="31" customFormat="1" ht="21" customHeight="1">
      <c r="A2" s="203" t="s">
        <v>7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7"/>
      <c r="Q2" s="27"/>
      <c r="R2" s="27"/>
      <c r="S2" s="27"/>
      <c r="T2" s="27"/>
      <c r="U2" s="27"/>
      <c r="V2" s="28"/>
      <c r="W2" s="29"/>
      <c r="X2" s="30"/>
      <c r="Y2" s="30"/>
      <c r="Z2" s="30"/>
      <c r="AA2" s="30"/>
      <c r="AB2" s="30"/>
      <c r="AC2" s="30"/>
      <c r="AD2" s="30"/>
      <c r="AE2" s="30"/>
    </row>
    <row r="3" spans="1:41" s="35" customFormat="1" ht="16.149999999999999" customHeight="1">
      <c r="A3" s="32" t="s">
        <v>8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4"/>
    </row>
    <row r="4" spans="1:41" s="31" customFormat="1" ht="15.6" customHeight="1">
      <c r="A4" s="32" t="s">
        <v>9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28"/>
      <c r="W4" s="29"/>
      <c r="X4" s="30"/>
      <c r="Y4" s="30"/>
      <c r="Z4" s="30"/>
      <c r="AA4" s="30"/>
      <c r="AB4" s="30"/>
      <c r="AC4" s="30"/>
      <c r="AD4" s="30"/>
      <c r="AE4" s="30"/>
    </row>
    <row r="5" spans="1:41" ht="6" customHeight="1">
      <c r="A5" s="36"/>
      <c r="B5" s="37"/>
      <c r="C5" s="37"/>
      <c r="D5" s="37"/>
      <c r="E5" s="38"/>
      <c r="F5" s="37"/>
      <c r="G5" s="37"/>
      <c r="H5" s="37"/>
      <c r="I5" s="39"/>
      <c r="J5" s="38"/>
      <c r="K5" s="37"/>
      <c r="L5" s="37"/>
      <c r="M5" s="38"/>
      <c r="N5" s="39"/>
      <c r="O5" s="37"/>
      <c r="P5" s="38"/>
      <c r="Q5" s="38"/>
      <c r="R5" s="37"/>
      <c r="S5" s="39"/>
      <c r="T5" s="37"/>
      <c r="U5" s="38"/>
      <c r="V5" s="38"/>
      <c r="W5" s="40"/>
      <c r="X5" s="26"/>
      <c r="Y5" s="26"/>
      <c r="Z5" s="26"/>
      <c r="AA5" s="26"/>
      <c r="AB5" s="26"/>
      <c r="AC5" s="26"/>
      <c r="AD5" s="26"/>
      <c r="AE5" s="26"/>
      <c r="AF5" s="22"/>
      <c r="AG5" s="22"/>
      <c r="AH5" s="22"/>
      <c r="AI5" s="22"/>
      <c r="AJ5" s="22"/>
      <c r="AK5" s="22"/>
      <c r="AL5" s="22"/>
      <c r="AM5" s="22"/>
      <c r="AN5" s="22"/>
      <c r="AO5" s="22"/>
    </row>
    <row r="6" spans="1:41" s="42" customFormat="1" ht="23.25">
      <c r="A6" s="205" t="s">
        <v>10</v>
      </c>
      <c r="B6" s="206"/>
      <c r="C6" s="206"/>
      <c r="D6" s="206"/>
      <c r="E6" s="206"/>
      <c r="F6" s="206"/>
      <c r="G6" s="206"/>
      <c r="H6" s="206"/>
      <c r="I6" s="206"/>
      <c r="J6" s="206"/>
      <c r="K6" s="206"/>
      <c r="L6" s="207" t="s">
        <v>339</v>
      </c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9"/>
      <c r="X6" s="41"/>
      <c r="Y6" s="41"/>
      <c r="Z6" s="41"/>
      <c r="AA6" s="41"/>
      <c r="AB6" s="41"/>
      <c r="AC6" s="41"/>
      <c r="AD6" s="41"/>
      <c r="AE6" s="41"/>
    </row>
    <row r="7" spans="1:41" s="26" customFormat="1" ht="15.75" customHeight="1">
      <c r="A7" s="176" t="s">
        <v>12</v>
      </c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8"/>
      <c r="R7" s="182"/>
      <c r="S7" s="210"/>
      <c r="T7" s="210"/>
      <c r="U7" s="183"/>
      <c r="V7" s="182" t="s">
        <v>13</v>
      </c>
      <c r="W7" s="183"/>
    </row>
    <row r="8" spans="1:41" s="30" customFormat="1">
      <c r="A8" s="43" t="s">
        <v>14</v>
      </c>
      <c r="B8" s="197" t="s">
        <v>15</v>
      </c>
      <c r="C8" s="197"/>
      <c r="D8" s="197"/>
      <c r="E8" s="197"/>
      <c r="F8" s="197"/>
      <c r="G8" s="197"/>
      <c r="H8" s="197"/>
      <c r="I8" s="197"/>
      <c r="J8" s="197"/>
      <c r="K8" s="197"/>
      <c r="L8" s="197"/>
      <c r="M8" s="197"/>
      <c r="N8" s="197"/>
      <c r="O8" s="197"/>
      <c r="P8" s="197"/>
      <c r="Q8" s="198"/>
      <c r="R8" s="44"/>
      <c r="S8" s="45"/>
      <c r="T8" s="45"/>
      <c r="U8" s="46"/>
      <c r="V8" s="47">
        <v>1</v>
      </c>
      <c r="W8" s="48">
        <v>151498</v>
      </c>
      <c r="X8" s="26"/>
      <c r="Y8" s="26"/>
      <c r="Z8" s="26"/>
      <c r="AA8" s="26"/>
      <c r="AB8" s="26"/>
      <c r="AC8" s="26"/>
      <c r="AD8" s="26"/>
      <c r="AE8" s="26"/>
    </row>
    <row r="9" spans="1:41" s="55" customFormat="1">
      <c r="A9" s="43"/>
      <c r="B9" s="49" t="s">
        <v>16</v>
      </c>
      <c r="C9" s="189" t="s">
        <v>17</v>
      </c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90"/>
      <c r="R9" s="50"/>
      <c r="S9" s="51"/>
      <c r="T9" s="51"/>
      <c r="U9" s="52"/>
      <c r="V9" s="53">
        <v>2</v>
      </c>
      <c r="W9" s="54">
        <v>49296</v>
      </c>
      <c r="X9" s="26"/>
      <c r="Y9" s="26"/>
      <c r="Z9" s="26"/>
      <c r="AA9" s="26"/>
      <c r="AB9" s="26"/>
      <c r="AC9" s="26"/>
      <c r="AD9" s="26"/>
      <c r="AE9" s="26"/>
    </row>
    <row r="10" spans="1:41" s="55" customFormat="1">
      <c r="A10" s="43" t="s">
        <v>18</v>
      </c>
      <c r="B10" s="201" t="s">
        <v>19</v>
      </c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2"/>
      <c r="R10" s="50"/>
      <c r="S10" s="51"/>
      <c r="T10" s="51"/>
      <c r="U10" s="52"/>
      <c r="V10" s="70">
        <v>3</v>
      </c>
      <c r="W10" s="152">
        <v>148093</v>
      </c>
      <c r="X10" s="26"/>
      <c r="Y10" s="26"/>
      <c r="Z10" s="26"/>
      <c r="AA10" s="26"/>
      <c r="AB10" s="26"/>
      <c r="AC10" s="26"/>
      <c r="AD10" s="26"/>
      <c r="AE10" s="26"/>
    </row>
    <row r="11" spans="1:41" s="55" customFormat="1">
      <c r="A11" s="43"/>
      <c r="B11" s="56" t="s">
        <v>20</v>
      </c>
      <c r="C11" s="189" t="s">
        <v>21</v>
      </c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90"/>
      <c r="R11" s="57"/>
      <c r="S11" s="58"/>
      <c r="T11" s="58"/>
      <c r="U11" s="59"/>
      <c r="V11" s="60">
        <v>4</v>
      </c>
      <c r="W11" s="48">
        <v>90947</v>
      </c>
      <c r="X11" s="26"/>
      <c r="Y11" s="26"/>
      <c r="Z11" s="26"/>
      <c r="AA11" s="26"/>
      <c r="AB11" s="26"/>
      <c r="AC11" s="26"/>
      <c r="AD11" s="26"/>
      <c r="AE11" s="26"/>
    </row>
    <row r="12" spans="1:41" s="55" customFormat="1">
      <c r="A12" s="43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61"/>
      <c r="R12" s="182" t="s">
        <v>22</v>
      </c>
      <c r="S12" s="183"/>
      <c r="T12" s="182" t="s">
        <v>23</v>
      </c>
      <c r="U12" s="183"/>
      <c r="V12" s="182" t="s">
        <v>24</v>
      </c>
      <c r="W12" s="183"/>
      <c r="X12" s="26"/>
      <c r="Y12" s="26"/>
      <c r="Z12" s="26"/>
      <c r="AA12" s="26"/>
      <c r="AB12" s="26"/>
      <c r="AC12" s="26"/>
      <c r="AD12" s="26"/>
      <c r="AE12" s="26"/>
    </row>
    <row r="13" spans="1:41" s="55" customFormat="1">
      <c r="A13" s="43"/>
      <c r="B13" s="56"/>
      <c r="C13" s="56" t="s">
        <v>25</v>
      </c>
      <c r="D13" s="189" t="s">
        <v>26</v>
      </c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90"/>
      <c r="R13" s="47">
        <v>5</v>
      </c>
      <c r="S13" s="48">
        <v>134</v>
      </c>
      <c r="T13" s="47">
        <v>6</v>
      </c>
      <c r="U13" s="48">
        <v>1653</v>
      </c>
      <c r="V13" s="62">
        <v>7</v>
      </c>
      <c r="W13" s="153">
        <v>1787</v>
      </c>
      <c r="X13" s="26"/>
      <c r="Y13" s="26"/>
      <c r="Z13" s="26"/>
      <c r="AA13" s="26"/>
      <c r="AB13" s="26"/>
      <c r="AC13" s="26"/>
      <c r="AD13" s="26"/>
      <c r="AE13" s="26"/>
    </row>
    <row r="14" spans="1:41" s="55" customFormat="1">
      <c r="A14" s="63"/>
      <c r="B14" s="64" t="s">
        <v>27</v>
      </c>
      <c r="C14" s="189" t="s">
        <v>28</v>
      </c>
      <c r="D14" s="189"/>
      <c r="E14" s="189"/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90"/>
      <c r="R14" s="65">
        <v>8</v>
      </c>
      <c r="S14" s="154">
        <v>169</v>
      </c>
      <c r="T14" s="65">
        <v>9</v>
      </c>
      <c r="U14" s="154">
        <v>50730</v>
      </c>
      <c r="V14" s="65">
        <v>10</v>
      </c>
      <c r="W14" s="155">
        <v>50899</v>
      </c>
      <c r="X14" s="26"/>
      <c r="Y14" s="26"/>
      <c r="Z14" s="26"/>
      <c r="AA14" s="26"/>
      <c r="AB14" s="26"/>
      <c r="AC14" s="26"/>
      <c r="AD14" s="26"/>
      <c r="AE14" s="26"/>
    </row>
    <row r="15" spans="1:41" s="55" customFormat="1">
      <c r="A15" s="66"/>
      <c r="B15" s="64"/>
      <c r="C15" s="64" t="s">
        <v>25</v>
      </c>
      <c r="D15" s="189" t="s">
        <v>29</v>
      </c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90"/>
      <c r="R15" s="53">
        <v>11</v>
      </c>
      <c r="S15" s="48">
        <v>101</v>
      </c>
      <c r="T15" s="53">
        <v>12</v>
      </c>
      <c r="U15" s="48">
        <v>20419</v>
      </c>
      <c r="V15" s="65">
        <v>13</v>
      </c>
      <c r="W15" s="155">
        <v>20520</v>
      </c>
      <c r="X15" s="26"/>
      <c r="Y15" s="26"/>
      <c r="Z15" s="26"/>
      <c r="AA15" s="26"/>
      <c r="AB15" s="26"/>
      <c r="AC15" s="26"/>
      <c r="AD15" s="26"/>
      <c r="AE15" s="26"/>
    </row>
    <row r="16" spans="1:41" s="55" customFormat="1">
      <c r="A16" s="63"/>
      <c r="B16" s="64"/>
      <c r="C16" s="67" t="s">
        <v>30</v>
      </c>
      <c r="D16" s="189" t="s">
        <v>31</v>
      </c>
      <c r="E16" s="189"/>
      <c r="F16" s="189"/>
      <c r="G16" s="189"/>
      <c r="H16" s="189"/>
      <c r="I16" s="189"/>
      <c r="J16" s="189"/>
      <c r="K16" s="189"/>
      <c r="L16" s="189"/>
      <c r="M16" s="189"/>
      <c r="N16" s="189"/>
      <c r="O16" s="189"/>
      <c r="P16" s="189"/>
      <c r="Q16" s="190"/>
      <c r="R16" s="53">
        <v>14</v>
      </c>
      <c r="S16" s="48">
        <v>68</v>
      </c>
      <c r="T16" s="53">
        <v>15</v>
      </c>
      <c r="U16" s="48">
        <v>30311</v>
      </c>
      <c r="V16" s="65">
        <v>16</v>
      </c>
      <c r="W16" s="155">
        <v>30379</v>
      </c>
      <c r="X16" s="26"/>
      <c r="Y16" s="26"/>
      <c r="Z16" s="26"/>
      <c r="AA16" s="26"/>
      <c r="AB16" s="26"/>
      <c r="AC16" s="26"/>
      <c r="AD16" s="26"/>
      <c r="AE16" s="26"/>
    </row>
    <row r="17" spans="1:31" s="55" customFormat="1">
      <c r="A17" s="63"/>
      <c r="B17" s="64"/>
      <c r="C17" s="56" t="s">
        <v>32</v>
      </c>
      <c r="D17" s="199" t="s">
        <v>33</v>
      </c>
      <c r="E17" s="199"/>
      <c r="F17" s="199"/>
      <c r="G17" s="199"/>
      <c r="H17" s="199"/>
      <c r="I17" s="199"/>
      <c r="J17" s="199"/>
      <c r="K17" s="199"/>
      <c r="L17" s="199"/>
      <c r="M17" s="199"/>
      <c r="N17" s="199"/>
      <c r="O17" s="199"/>
      <c r="P17" s="199"/>
      <c r="Q17" s="200"/>
      <c r="R17" s="53">
        <v>17</v>
      </c>
      <c r="S17" s="48">
        <v>6</v>
      </c>
      <c r="T17" s="53">
        <v>18</v>
      </c>
      <c r="U17" s="48">
        <v>2106</v>
      </c>
      <c r="V17" s="65">
        <v>19</v>
      </c>
      <c r="W17" s="155">
        <v>2112</v>
      </c>
      <c r="X17" s="26"/>
      <c r="Y17" s="26"/>
      <c r="Z17" s="26"/>
      <c r="AA17" s="26"/>
      <c r="AB17" s="26"/>
      <c r="AC17" s="26"/>
      <c r="AD17" s="26"/>
      <c r="AE17" s="26"/>
    </row>
    <row r="18" spans="1:31" s="55" customFormat="1">
      <c r="A18" s="63"/>
      <c r="B18" s="64" t="s">
        <v>34</v>
      </c>
      <c r="C18" s="195" t="s">
        <v>35</v>
      </c>
      <c r="D18" s="195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5"/>
      <c r="Q18" s="196"/>
      <c r="R18" s="60">
        <v>20</v>
      </c>
      <c r="S18" s="48">
        <v>53</v>
      </c>
      <c r="T18" s="60">
        <v>21</v>
      </c>
      <c r="U18" s="48">
        <v>6194</v>
      </c>
      <c r="V18" s="65">
        <v>22</v>
      </c>
      <c r="W18" s="155">
        <v>6247</v>
      </c>
      <c r="X18" s="26"/>
      <c r="Y18" s="26"/>
      <c r="Z18" s="26"/>
      <c r="AA18" s="26"/>
      <c r="AB18" s="26"/>
      <c r="AC18" s="26"/>
      <c r="AD18" s="26"/>
      <c r="AE18" s="26"/>
    </row>
    <row r="19" spans="1:31" s="55" customFormat="1" ht="15.75">
      <c r="A19" s="176" t="s">
        <v>36</v>
      </c>
      <c r="B19" s="177"/>
      <c r="C19" s="177"/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8"/>
      <c r="R19" s="182" t="s">
        <v>22</v>
      </c>
      <c r="S19" s="183"/>
      <c r="T19" s="182" t="s">
        <v>23</v>
      </c>
      <c r="U19" s="183"/>
      <c r="V19" s="182" t="s">
        <v>24</v>
      </c>
      <c r="W19" s="183"/>
      <c r="X19" s="26"/>
      <c r="Y19" s="26"/>
      <c r="Z19" s="26"/>
      <c r="AA19" s="26"/>
      <c r="AB19" s="26"/>
      <c r="AC19" s="26"/>
      <c r="AD19" s="26"/>
      <c r="AE19" s="26"/>
    </row>
    <row r="20" spans="1:31" s="55" customFormat="1">
      <c r="A20" s="68" t="s">
        <v>37</v>
      </c>
      <c r="B20" s="197" t="s">
        <v>38</v>
      </c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197"/>
      <c r="Q20" s="198"/>
      <c r="R20" s="69">
        <v>23</v>
      </c>
      <c r="S20" s="154">
        <v>4352</v>
      </c>
      <c r="T20" s="69">
        <v>24</v>
      </c>
      <c r="U20" s="154">
        <v>128536</v>
      </c>
      <c r="V20" s="62">
        <v>25</v>
      </c>
      <c r="W20" s="154">
        <v>132888</v>
      </c>
      <c r="X20" s="26"/>
      <c r="Y20" s="26"/>
      <c r="Z20" s="26"/>
      <c r="AA20" s="26"/>
      <c r="AB20" s="26"/>
      <c r="AC20" s="26"/>
      <c r="AD20" s="26"/>
      <c r="AE20" s="26"/>
    </row>
    <row r="21" spans="1:31" s="26" customFormat="1">
      <c r="A21" s="68"/>
      <c r="B21" s="56" t="s">
        <v>39</v>
      </c>
      <c r="C21" s="189" t="s">
        <v>40</v>
      </c>
      <c r="D21" s="189"/>
      <c r="E21" s="189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90"/>
      <c r="R21" s="70">
        <v>26</v>
      </c>
      <c r="S21" s="152">
        <v>2630</v>
      </c>
      <c r="T21" s="70">
        <v>27</v>
      </c>
      <c r="U21" s="152">
        <v>50419</v>
      </c>
      <c r="V21" s="65">
        <v>28</v>
      </c>
      <c r="W21" s="152">
        <v>53049</v>
      </c>
    </row>
    <row r="22" spans="1:31" s="26" customFormat="1">
      <c r="A22" s="71"/>
      <c r="B22" s="56"/>
      <c r="C22" s="72" t="s">
        <v>41</v>
      </c>
      <c r="D22" s="191" t="s">
        <v>42</v>
      </c>
      <c r="E22" s="191"/>
      <c r="F22" s="191"/>
      <c r="G22" s="191"/>
      <c r="H22" s="191"/>
      <c r="I22" s="191"/>
      <c r="J22" s="191"/>
      <c r="K22" s="191"/>
      <c r="L22" s="191"/>
      <c r="M22" s="191"/>
      <c r="N22" s="191"/>
      <c r="O22" s="191"/>
      <c r="P22" s="191"/>
      <c r="Q22" s="192"/>
      <c r="R22" s="53">
        <v>29</v>
      </c>
      <c r="S22" s="48">
        <v>2294</v>
      </c>
      <c r="T22" s="53">
        <v>30</v>
      </c>
      <c r="U22" s="48">
        <v>46957</v>
      </c>
      <c r="V22" s="65">
        <v>31</v>
      </c>
      <c r="W22" s="155">
        <v>49251</v>
      </c>
    </row>
    <row r="23" spans="1:31" s="26" customFormat="1">
      <c r="A23" s="71"/>
      <c r="B23" s="56"/>
      <c r="C23" s="72" t="s">
        <v>43</v>
      </c>
      <c r="D23" s="191" t="s">
        <v>44</v>
      </c>
      <c r="E23" s="191"/>
      <c r="F23" s="191"/>
      <c r="G23" s="191"/>
      <c r="H23" s="191"/>
      <c r="I23" s="191"/>
      <c r="J23" s="191"/>
      <c r="K23" s="191"/>
      <c r="L23" s="191"/>
      <c r="M23" s="191"/>
      <c r="N23" s="191"/>
      <c r="O23" s="191"/>
      <c r="P23" s="191"/>
      <c r="Q23" s="192"/>
      <c r="R23" s="53">
        <v>32</v>
      </c>
      <c r="S23" s="48">
        <v>133</v>
      </c>
      <c r="T23" s="53">
        <v>33</v>
      </c>
      <c r="U23" s="48">
        <v>1837</v>
      </c>
      <c r="V23" s="65">
        <v>34</v>
      </c>
      <c r="W23" s="155">
        <v>1970</v>
      </c>
    </row>
    <row r="24" spans="1:31" s="26" customFormat="1">
      <c r="A24" s="71"/>
      <c r="B24" s="56"/>
      <c r="C24" s="72" t="s">
        <v>45</v>
      </c>
      <c r="D24" s="191" t="s">
        <v>46</v>
      </c>
      <c r="E24" s="191"/>
      <c r="F24" s="191"/>
      <c r="G24" s="191"/>
      <c r="H24" s="191"/>
      <c r="I24" s="191"/>
      <c r="J24" s="191"/>
      <c r="K24" s="191"/>
      <c r="L24" s="191"/>
      <c r="M24" s="191"/>
      <c r="N24" s="191"/>
      <c r="O24" s="191"/>
      <c r="P24" s="191"/>
      <c r="Q24" s="192"/>
      <c r="R24" s="53">
        <v>35</v>
      </c>
      <c r="S24" s="48">
        <v>203</v>
      </c>
      <c r="T24" s="53">
        <v>36</v>
      </c>
      <c r="U24" s="48">
        <v>1625</v>
      </c>
      <c r="V24" s="65">
        <v>37</v>
      </c>
      <c r="W24" s="155">
        <v>1828</v>
      </c>
    </row>
    <row r="25" spans="1:31" s="26" customFormat="1">
      <c r="A25" s="68"/>
      <c r="B25" s="56" t="s">
        <v>47</v>
      </c>
      <c r="C25" s="193" t="s">
        <v>48</v>
      </c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3"/>
      <c r="Q25" s="194"/>
      <c r="R25" s="60">
        <v>38</v>
      </c>
      <c r="S25" s="48">
        <v>1722</v>
      </c>
      <c r="T25" s="60">
        <v>39</v>
      </c>
      <c r="U25" s="48">
        <v>78117</v>
      </c>
      <c r="V25" s="65">
        <v>40</v>
      </c>
      <c r="W25" s="155">
        <v>79839</v>
      </c>
    </row>
    <row r="26" spans="1:31" s="26" customFormat="1" ht="15.75">
      <c r="A26" s="176" t="s">
        <v>49</v>
      </c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8"/>
      <c r="R26" s="182" t="s">
        <v>22</v>
      </c>
      <c r="S26" s="183"/>
      <c r="T26" s="182" t="s">
        <v>23</v>
      </c>
      <c r="U26" s="183"/>
      <c r="V26" s="182" t="s">
        <v>24</v>
      </c>
      <c r="W26" s="183"/>
    </row>
    <row r="27" spans="1:31" s="26" customFormat="1">
      <c r="A27" s="68" t="s">
        <v>50</v>
      </c>
      <c r="B27" s="172" t="s">
        <v>51</v>
      </c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3"/>
      <c r="R27" s="47">
        <v>41</v>
      </c>
      <c r="S27" s="48">
        <v>224313</v>
      </c>
      <c r="T27" s="47">
        <v>42</v>
      </c>
      <c r="U27" s="48">
        <v>1577383</v>
      </c>
      <c r="V27" s="62">
        <v>43</v>
      </c>
      <c r="W27" s="153">
        <v>1801696</v>
      </c>
    </row>
    <row r="28" spans="1:31" s="26" customFormat="1">
      <c r="A28" s="68"/>
      <c r="B28" s="73" t="s">
        <v>39</v>
      </c>
      <c r="C28" s="172" t="s">
        <v>52</v>
      </c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3"/>
      <c r="R28" s="53">
        <v>44</v>
      </c>
      <c r="S28" s="48">
        <v>225215</v>
      </c>
      <c r="T28" s="53">
        <v>45</v>
      </c>
      <c r="U28" s="48">
        <v>1588108</v>
      </c>
      <c r="V28" s="65">
        <v>46</v>
      </c>
      <c r="W28" s="155">
        <v>1813323</v>
      </c>
    </row>
    <row r="29" spans="1:31" s="26" customFormat="1">
      <c r="A29" s="68"/>
      <c r="B29" s="73" t="s">
        <v>47</v>
      </c>
      <c r="C29" s="172" t="s">
        <v>53</v>
      </c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2"/>
      <c r="O29" s="172"/>
      <c r="P29" s="172"/>
      <c r="Q29" s="173"/>
      <c r="R29" s="70">
        <v>47</v>
      </c>
      <c r="S29" s="156">
        <v>-902</v>
      </c>
      <c r="T29" s="70">
        <v>48</v>
      </c>
      <c r="U29" s="156">
        <v>-10725</v>
      </c>
      <c r="V29" s="65">
        <v>49</v>
      </c>
      <c r="W29" s="157">
        <v>-11627</v>
      </c>
    </row>
    <row r="30" spans="1:31" s="26" customFormat="1">
      <c r="A30" s="68" t="s">
        <v>54</v>
      </c>
      <c r="B30" s="172" t="s">
        <v>55</v>
      </c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3"/>
      <c r="R30" s="65">
        <v>50</v>
      </c>
      <c r="S30" s="158">
        <v>9859</v>
      </c>
      <c r="T30" s="65">
        <v>51</v>
      </c>
      <c r="U30" s="158">
        <v>141349</v>
      </c>
      <c r="V30" s="65">
        <v>52</v>
      </c>
      <c r="W30" s="155">
        <v>151208</v>
      </c>
    </row>
    <row r="31" spans="1:31" s="78" customFormat="1" ht="12.75" customHeight="1">
      <c r="A31" s="71"/>
      <c r="B31" s="73"/>
      <c r="C31" s="73"/>
      <c r="D31" s="73"/>
      <c r="E31" s="74"/>
      <c r="F31" s="180" t="s">
        <v>56</v>
      </c>
      <c r="G31" s="184"/>
      <c r="H31" s="184"/>
      <c r="I31" s="184"/>
      <c r="J31" s="184"/>
      <c r="K31" s="181"/>
      <c r="L31" s="180" t="s">
        <v>57</v>
      </c>
      <c r="M31" s="184"/>
      <c r="N31" s="184"/>
      <c r="O31" s="184"/>
      <c r="P31" s="184"/>
      <c r="Q31" s="181"/>
      <c r="R31" s="75"/>
      <c r="S31" s="76"/>
      <c r="T31" s="76"/>
      <c r="U31" s="76"/>
      <c r="V31" s="76"/>
      <c r="W31" s="77"/>
    </row>
    <row r="32" spans="1:31" s="26" customFormat="1">
      <c r="A32" s="71"/>
      <c r="B32" s="73"/>
      <c r="C32" s="73"/>
      <c r="D32" s="73"/>
      <c r="E32" s="56"/>
      <c r="F32" s="180" t="s">
        <v>58</v>
      </c>
      <c r="G32" s="181"/>
      <c r="H32" s="180" t="s">
        <v>59</v>
      </c>
      <c r="I32" s="181"/>
      <c r="J32" s="180" t="s">
        <v>60</v>
      </c>
      <c r="K32" s="181"/>
      <c r="L32" s="180" t="s">
        <v>58</v>
      </c>
      <c r="M32" s="181"/>
      <c r="N32" s="180" t="s">
        <v>59</v>
      </c>
      <c r="O32" s="181"/>
      <c r="P32" s="180" t="s">
        <v>60</v>
      </c>
      <c r="Q32" s="181"/>
      <c r="R32" s="79"/>
      <c r="S32" s="80"/>
      <c r="T32" s="80"/>
      <c r="U32" s="80"/>
      <c r="V32" s="80"/>
      <c r="W32" s="81"/>
    </row>
    <row r="33" spans="1:23" s="26" customFormat="1">
      <c r="A33" s="71"/>
      <c r="B33" s="73" t="s">
        <v>20</v>
      </c>
      <c r="C33" s="172" t="s">
        <v>61</v>
      </c>
      <c r="D33" s="172"/>
      <c r="E33" s="173"/>
      <c r="F33" s="82">
        <v>53</v>
      </c>
      <c r="G33" s="48">
        <v>5456</v>
      </c>
      <c r="H33" s="82">
        <v>54</v>
      </c>
      <c r="I33" s="48">
        <v>109</v>
      </c>
      <c r="J33" s="82">
        <v>55</v>
      </c>
      <c r="K33" s="48">
        <v>12</v>
      </c>
      <c r="L33" s="82">
        <v>56</v>
      </c>
      <c r="M33" s="48">
        <v>83810</v>
      </c>
      <c r="N33" s="82">
        <v>57</v>
      </c>
      <c r="O33" s="48">
        <v>997</v>
      </c>
      <c r="P33" s="82">
        <v>58</v>
      </c>
      <c r="Q33" s="48">
        <v>563</v>
      </c>
      <c r="R33" s="70">
        <v>59</v>
      </c>
      <c r="S33" s="159">
        <v>5577</v>
      </c>
      <c r="T33" s="83">
        <v>60</v>
      </c>
      <c r="U33" s="159">
        <v>85370</v>
      </c>
      <c r="V33" s="65">
        <v>61</v>
      </c>
      <c r="W33" s="155">
        <v>90947</v>
      </c>
    </row>
    <row r="34" spans="1:23" s="26" customFormat="1">
      <c r="A34" s="71"/>
      <c r="B34" s="73" t="s">
        <v>27</v>
      </c>
      <c r="C34" s="172" t="s">
        <v>62</v>
      </c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3"/>
      <c r="R34" s="53">
        <v>62</v>
      </c>
      <c r="S34" s="84">
        <v>-2854</v>
      </c>
      <c r="T34" s="85">
        <v>63</v>
      </c>
      <c r="U34" s="48">
        <v>2854</v>
      </c>
      <c r="V34" s="65">
        <v>64</v>
      </c>
      <c r="W34" s="155">
        <v>0</v>
      </c>
    </row>
    <row r="35" spans="1:23" s="26" customFormat="1">
      <c r="A35" s="71"/>
      <c r="B35" s="73" t="s">
        <v>63</v>
      </c>
      <c r="C35" s="172" t="s">
        <v>64</v>
      </c>
      <c r="D35" s="172"/>
      <c r="E35" s="172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3"/>
      <c r="R35" s="53">
        <v>65</v>
      </c>
      <c r="S35" s="48">
        <v>545</v>
      </c>
      <c r="T35" s="85">
        <v>66</v>
      </c>
      <c r="U35" s="48">
        <v>2637</v>
      </c>
      <c r="V35" s="65">
        <v>67</v>
      </c>
      <c r="W35" s="155">
        <v>3182</v>
      </c>
    </row>
    <row r="36" spans="1:23" s="26" customFormat="1">
      <c r="A36" s="71"/>
      <c r="B36" s="73" t="s">
        <v>65</v>
      </c>
      <c r="C36" s="172" t="s">
        <v>66</v>
      </c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3"/>
      <c r="R36" s="53">
        <v>68</v>
      </c>
      <c r="S36" s="48">
        <v>950</v>
      </c>
      <c r="T36" s="85">
        <v>69</v>
      </c>
      <c r="U36" s="48">
        <v>12816</v>
      </c>
      <c r="V36" s="65">
        <v>70</v>
      </c>
      <c r="W36" s="155">
        <v>13766</v>
      </c>
    </row>
    <row r="37" spans="1:23" s="26" customFormat="1">
      <c r="A37" s="68"/>
      <c r="B37" s="73" t="s">
        <v>67</v>
      </c>
      <c r="C37" s="172" t="s">
        <v>68</v>
      </c>
      <c r="D37" s="172"/>
      <c r="E37" s="172"/>
      <c r="F37" s="172"/>
      <c r="G37" s="172"/>
      <c r="H37" s="172"/>
      <c r="I37" s="172"/>
      <c r="J37" s="172"/>
      <c r="K37" s="172"/>
      <c r="L37" s="172"/>
      <c r="M37" s="172"/>
      <c r="N37" s="172"/>
      <c r="O37" s="172"/>
      <c r="P37" s="172"/>
      <c r="Q37" s="173"/>
      <c r="R37" s="53">
        <v>71</v>
      </c>
      <c r="S37" s="48">
        <v>5641</v>
      </c>
      <c r="T37" s="85">
        <v>72</v>
      </c>
      <c r="U37" s="48">
        <v>37672</v>
      </c>
      <c r="V37" s="65">
        <v>73</v>
      </c>
      <c r="W37" s="155">
        <v>43313</v>
      </c>
    </row>
    <row r="38" spans="1:23" s="26" customFormat="1">
      <c r="A38" s="68" t="s">
        <v>69</v>
      </c>
      <c r="B38" s="172" t="s">
        <v>70</v>
      </c>
      <c r="C38" s="172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72"/>
      <c r="Q38" s="173"/>
      <c r="R38" s="86"/>
      <c r="S38" s="87"/>
      <c r="T38" s="87"/>
      <c r="U38" s="87"/>
      <c r="V38" s="87"/>
      <c r="W38" s="88"/>
    </row>
    <row r="39" spans="1:23" s="26" customFormat="1">
      <c r="A39" s="71"/>
      <c r="B39" s="172" t="s">
        <v>71</v>
      </c>
      <c r="C39" s="172"/>
      <c r="D39" s="172"/>
      <c r="E39" s="172"/>
      <c r="F39" s="172"/>
      <c r="G39" s="172"/>
      <c r="H39" s="172"/>
      <c r="I39" s="172"/>
      <c r="J39" s="172"/>
      <c r="K39" s="172"/>
      <c r="L39" s="172"/>
      <c r="M39" s="172"/>
      <c r="N39" s="172"/>
      <c r="O39" s="172"/>
      <c r="P39" s="172"/>
      <c r="Q39" s="173"/>
      <c r="R39" s="70">
        <v>74</v>
      </c>
      <c r="S39" s="159">
        <v>234172</v>
      </c>
      <c r="T39" s="83">
        <v>75</v>
      </c>
      <c r="U39" s="159">
        <v>1718732</v>
      </c>
      <c r="V39" s="65">
        <v>76</v>
      </c>
      <c r="W39" s="155">
        <v>1952904</v>
      </c>
    </row>
    <row r="40" spans="1:23" s="26" customFormat="1">
      <c r="A40" s="71"/>
      <c r="B40" s="73" t="s">
        <v>20</v>
      </c>
      <c r="C40" s="187" t="s">
        <v>72</v>
      </c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8"/>
      <c r="R40" s="89">
        <v>77</v>
      </c>
      <c r="S40" s="48">
        <v>229475</v>
      </c>
      <c r="T40" s="89">
        <v>78</v>
      </c>
      <c r="U40" s="48">
        <v>1689936</v>
      </c>
      <c r="V40" s="65">
        <v>79</v>
      </c>
      <c r="W40" s="155">
        <v>1919411</v>
      </c>
    </row>
    <row r="41" spans="1:23" s="26" customFormat="1">
      <c r="A41" s="71"/>
      <c r="B41" s="56"/>
      <c r="C41" s="90" t="s">
        <v>25</v>
      </c>
      <c r="D41" s="172" t="s">
        <v>73</v>
      </c>
      <c r="E41" s="172"/>
      <c r="F41" s="172"/>
      <c r="G41" s="172"/>
      <c r="H41" s="172"/>
      <c r="I41" s="172"/>
      <c r="J41" s="172"/>
      <c r="K41" s="173"/>
      <c r="L41" s="180" t="s">
        <v>74</v>
      </c>
      <c r="M41" s="181"/>
      <c r="N41" s="180" t="s">
        <v>75</v>
      </c>
      <c r="O41" s="184"/>
      <c r="P41" s="184"/>
      <c r="Q41" s="181"/>
      <c r="R41" s="75"/>
      <c r="S41" s="76"/>
      <c r="T41" s="76"/>
      <c r="U41" s="76"/>
      <c r="V41" s="76"/>
      <c r="W41" s="77"/>
    </row>
    <row r="42" spans="1:23" s="26" customFormat="1">
      <c r="A42" s="71"/>
      <c r="B42" s="56"/>
      <c r="C42" s="73"/>
      <c r="D42" s="172" t="s">
        <v>76</v>
      </c>
      <c r="E42" s="172"/>
      <c r="F42" s="172"/>
      <c r="G42" s="172"/>
      <c r="H42" s="172"/>
      <c r="I42" s="172"/>
      <c r="J42" s="172"/>
      <c r="K42" s="173"/>
      <c r="L42" s="91">
        <v>80</v>
      </c>
      <c r="M42" s="48">
        <v>3991470</v>
      </c>
      <c r="N42" s="180" t="s">
        <v>77</v>
      </c>
      <c r="O42" s="181"/>
      <c r="P42" s="180" t="s">
        <v>78</v>
      </c>
      <c r="Q42" s="181"/>
      <c r="R42" s="79"/>
      <c r="S42" s="80"/>
      <c r="T42" s="80"/>
      <c r="U42" s="80"/>
      <c r="V42" s="80"/>
      <c r="W42" s="81"/>
    </row>
    <row r="43" spans="1:23" s="26" customFormat="1">
      <c r="A43" s="71"/>
      <c r="B43" s="73" t="s">
        <v>27</v>
      </c>
      <c r="C43" s="172" t="s">
        <v>79</v>
      </c>
      <c r="D43" s="172"/>
      <c r="E43" s="172"/>
      <c r="F43" s="172"/>
      <c r="G43" s="172"/>
      <c r="H43" s="172"/>
      <c r="I43" s="172"/>
      <c r="J43" s="172"/>
      <c r="K43" s="172"/>
      <c r="L43" s="172"/>
      <c r="M43" s="173"/>
      <c r="N43" s="91">
        <v>81</v>
      </c>
      <c r="O43" s="48">
        <v>2440</v>
      </c>
      <c r="P43" s="91">
        <v>82</v>
      </c>
      <c r="Q43" s="48">
        <v>28782</v>
      </c>
      <c r="R43" s="53">
        <v>83</v>
      </c>
      <c r="S43" s="48">
        <v>4459</v>
      </c>
      <c r="T43" s="53">
        <v>84</v>
      </c>
      <c r="U43" s="48">
        <v>19233</v>
      </c>
      <c r="V43" s="70">
        <v>85</v>
      </c>
      <c r="W43" s="160">
        <v>23692</v>
      </c>
    </row>
    <row r="44" spans="1:23" s="26" customFormat="1">
      <c r="A44" s="71"/>
      <c r="B44" s="73" t="s">
        <v>34</v>
      </c>
      <c r="C44" s="172" t="s">
        <v>80</v>
      </c>
      <c r="D44" s="172"/>
      <c r="E44" s="172"/>
      <c r="F44" s="172"/>
      <c r="G44" s="172"/>
      <c r="H44" s="172"/>
      <c r="I44" s="172"/>
      <c r="J44" s="172"/>
      <c r="K44" s="172"/>
      <c r="L44" s="172"/>
      <c r="M44" s="173"/>
      <c r="N44" s="92">
        <v>86</v>
      </c>
      <c r="O44" s="48">
        <v>11848</v>
      </c>
      <c r="P44" s="92">
        <v>87</v>
      </c>
      <c r="Q44" s="48">
        <v>1054</v>
      </c>
      <c r="R44" s="53">
        <v>88</v>
      </c>
      <c r="S44" s="48">
        <v>238</v>
      </c>
      <c r="T44" s="53">
        <v>89</v>
      </c>
      <c r="U44" s="48">
        <v>9563</v>
      </c>
      <c r="V44" s="70">
        <v>90</v>
      </c>
      <c r="W44" s="160">
        <v>9801</v>
      </c>
    </row>
    <row r="45" spans="1:23" s="26" customFormat="1">
      <c r="A45" s="68" t="s">
        <v>81</v>
      </c>
      <c r="B45" s="172" t="s">
        <v>82</v>
      </c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3"/>
      <c r="R45" s="53">
        <v>91</v>
      </c>
      <c r="S45" s="48">
        <v>12630</v>
      </c>
      <c r="T45" s="53">
        <v>92</v>
      </c>
      <c r="U45" s="48">
        <v>137905</v>
      </c>
      <c r="V45" s="70">
        <v>93</v>
      </c>
      <c r="W45" s="160">
        <v>150535</v>
      </c>
    </row>
    <row r="46" spans="1:23" s="26" customFormat="1">
      <c r="A46" s="93"/>
      <c r="B46" s="94" t="s">
        <v>16</v>
      </c>
      <c r="C46" s="185" t="s">
        <v>83</v>
      </c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6"/>
      <c r="R46" s="53">
        <v>94</v>
      </c>
      <c r="S46" s="48">
        <v>52</v>
      </c>
      <c r="T46" s="53">
        <v>95</v>
      </c>
      <c r="U46" s="48">
        <v>840</v>
      </c>
      <c r="V46" s="70">
        <v>96</v>
      </c>
      <c r="W46" s="160">
        <v>892</v>
      </c>
    </row>
    <row r="47" spans="1:23" s="26" customFormat="1">
      <c r="A47" s="68" t="s">
        <v>84</v>
      </c>
      <c r="B47" s="172" t="s">
        <v>85</v>
      </c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3"/>
      <c r="R47" s="95">
        <v>97</v>
      </c>
      <c r="S47" s="161">
        <v>221542</v>
      </c>
      <c r="T47" s="95">
        <v>98</v>
      </c>
      <c r="U47" s="162">
        <v>1580827</v>
      </c>
      <c r="V47" s="65">
        <v>99</v>
      </c>
      <c r="W47" s="155">
        <v>1802369</v>
      </c>
    </row>
    <row r="48" spans="1:23" s="26" customFormat="1" ht="15.75">
      <c r="A48" s="176" t="s">
        <v>86</v>
      </c>
      <c r="B48" s="177"/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8"/>
      <c r="R48" s="182" t="s">
        <v>22</v>
      </c>
      <c r="S48" s="183"/>
      <c r="T48" s="182" t="s">
        <v>23</v>
      </c>
      <c r="U48" s="183"/>
      <c r="V48" s="182" t="s">
        <v>24</v>
      </c>
      <c r="W48" s="183"/>
    </row>
    <row r="49" spans="1:31" s="26" customFormat="1" ht="13.5" customHeight="1">
      <c r="A49" s="71" t="s">
        <v>87</v>
      </c>
      <c r="B49" s="172" t="s">
        <v>88</v>
      </c>
      <c r="C49" s="172"/>
      <c r="D49" s="172"/>
      <c r="E49" s="172"/>
      <c r="F49" s="172"/>
      <c r="G49" s="172"/>
      <c r="H49" s="172"/>
      <c r="I49" s="172"/>
      <c r="J49" s="172"/>
      <c r="K49" s="172"/>
      <c r="L49" s="172"/>
      <c r="M49" s="172"/>
      <c r="N49" s="172"/>
      <c r="O49" s="172"/>
      <c r="P49" s="172"/>
      <c r="Q49" s="173"/>
      <c r="R49" s="96">
        <v>100</v>
      </c>
      <c r="S49" s="163">
        <v>14996</v>
      </c>
      <c r="T49" s="96">
        <v>101</v>
      </c>
      <c r="U49" s="163">
        <v>73300</v>
      </c>
      <c r="V49" s="69">
        <v>102</v>
      </c>
      <c r="W49" s="164">
        <v>88296</v>
      </c>
    </row>
    <row r="50" spans="1:31" s="100" customFormat="1" ht="14.25" customHeight="1">
      <c r="A50" s="71"/>
      <c r="B50" s="73"/>
      <c r="C50" s="73"/>
      <c r="D50" s="73"/>
      <c r="E50" s="73"/>
      <c r="F50" s="180" t="s">
        <v>56</v>
      </c>
      <c r="G50" s="184"/>
      <c r="H50" s="184"/>
      <c r="I50" s="184"/>
      <c r="J50" s="184"/>
      <c r="K50" s="181"/>
      <c r="L50" s="180" t="s">
        <v>57</v>
      </c>
      <c r="M50" s="184"/>
      <c r="N50" s="184"/>
      <c r="O50" s="184"/>
      <c r="P50" s="184"/>
      <c r="Q50" s="181"/>
      <c r="R50" s="97"/>
      <c r="S50" s="98"/>
      <c r="T50" s="98"/>
      <c r="U50" s="98"/>
      <c r="V50" s="98"/>
      <c r="W50" s="99"/>
    </row>
    <row r="51" spans="1:31" s="104" customFormat="1" ht="15" customHeight="1">
      <c r="A51" s="71"/>
      <c r="B51" s="73"/>
      <c r="C51" s="73"/>
      <c r="D51" s="73"/>
      <c r="E51" s="73"/>
      <c r="F51" s="180" t="s">
        <v>58</v>
      </c>
      <c r="G51" s="181"/>
      <c r="H51" s="180" t="s">
        <v>59</v>
      </c>
      <c r="I51" s="181"/>
      <c r="J51" s="180" t="s">
        <v>60</v>
      </c>
      <c r="K51" s="181"/>
      <c r="L51" s="180" t="s">
        <v>58</v>
      </c>
      <c r="M51" s="181"/>
      <c r="N51" s="180" t="s">
        <v>59</v>
      </c>
      <c r="O51" s="181"/>
      <c r="P51" s="180" t="s">
        <v>60</v>
      </c>
      <c r="Q51" s="181"/>
      <c r="R51" s="101"/>
      <c r="S51" s="102"/>
      <c r="T51" s="102"/>
      <c r="U51" s="102"/>
      <c r="V51" s="102"/>
      <c r="W51" s="103"/>
    </row>
    <row r="52" spans="1:31" s="106" customFormat="1" ht="15.75" customHeight="1">
      <c r="A52" s="71"/>
      <c r="B52" s="73" t="s">
        <v>20</v>
      </c>
      <c r="C52" s="172" t="s">
        <v>89</v>
      </c>
      <c r="D52" s="172"/>
      <c r="E52" s="173"/>
      <c r="F52" s="82">
        <v>103</v>
      </c>
      <c r="G52" s="48">
        <v>14400</v>
      </c>
      <c r="H52" s="82">
        <v>104</v>
      </c>
      <c r="I52" s="48">
        <v>303</v>
      </c>
      <c r="J52" s="82">
        <v>105</v>
      </c>
      <c r="K52" s="48">
        <v>14</v>
      </c>
      <c r="L52" s="82">
        <v>106</v>
      </c>
      <c r="M52" s="48">
        <v>67538</v>
      </c>
      <c r="N52" s="82">
        <v>107</v>
      </c>
      <c r="O52" s="48">
        <v>987</v>
      </c>
      <c r="P52" s="82">
        <v>108</v>
      </c>
      <c r="Q52" s="48">
        <v>265</v>
      </c>
      <c r="R52" s="105">
        <v>109</v>
      </c>
      <c r="S52" s="165">
        <v>14717</v>
      </c>
      <c r="T52" s="105">
        <v>110</v>
      </c>
      <c r="U52" s="165">
        <v>68790</v>
      </c>
      <c r="V52" s="70">
        <v>111</v>
      </c>
      <c r="W52" s="160">
        <v>83507</v>
      </c>
    </row>
    <row r="53" spans="1:31" s="107" customFormat="1" ht="13.5" customHeight="1">
      <c r="A53" s="71"/>
      <c r="B53" s="73" t="s">
        <v>27</v>
      </c>
      <c r="C53" s="172" t="s">
        <v>90</v>
      </c>
      <c r="D53" s="172"/>
      <c r="E53" s="173"/>
      <c r="F53" s="82">
        <v>112</v>
      </c>
      <c r="G53" s="48">
        <v>274</v>
      </c>
      <c r="H53" s="82">
        <v>113</v>
      </c>
      <c r="I53" s="48">
        <v>4</v>
      </c>
      <c r="J53" s="82">
        <v>114</v>
      </c>
      <c r="K53" s="48">
        <v>1</v>
      </c>
      <c r="L53" s="82">
        <v>115</v>
      </c>
      <c r="M53" s="48">
        <v>4368</v>
      </c>
      <c r="N53" s="82">
        <v>116</v>
      </c>
      <c r="O53" s="48">
        <v>114</v>
      </c>
      <c r="P53" s="82">
        <v>117</v>
      </c>
      <c r="Q53" s="48">
        <v>28</v>
      </c>
      <c r="R53" s="105">
        <v>118</v>
      </c>
      <c r="S53" s="165">
        <v>279</v>
      </c>
      <c r="T53" s="105">
        <v>119</v>
      </c>
      <c r="U53" s="165">
        <v>4510</v>
      </c>
      <c r="V53" s="70">
        <v>120</v>
      </c>
      <c r="W53" s="160">
        <v>4789</v>
      </c>
      <c r="X53" s="26"/>
      <c r="Y53" s="26"/>
      <c r="Z53" s="26"/>
      <c r="AA53" s="26"/>
      <c r="AB53" s="26"/>
      <c r="AC53" s="26"/>
      <c r="AD53" s="26"/>
      <c r="AE53" s="26"/>
    </row>
    <row r="54" spans="1:31" s="110" customFormat="1" ht="13.5" customHeight="1">
      <c r="A54" s="108" t="s">
        <v>91</v>
      </c>
      <c r="B54" s="174" t="s">
        <v>92</v>
      </c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5"/>
      <c r="R54" s="109">
        <v>121</v>
      </c>
      <c r="S54" s="48">
        <v>9</v>
      </c>
      <c r="T54" s="109">
        <v>122</v>
      </c>
      <c r="U54" s="48">
        <v>55</v>
      </c>
      <c r="V54" s="70">
        <v>123</v>
      </c>
      <c r="W54" s="160">
        <v>64</v>
      </c>
    </row>
    <row r="55" spans="1:31" ht="15.75">
      <c r="A55" s="176" t="s">
        <v>4</v>
      </c>
      <c r="B55" s="177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8"/>
    </row>
    <row r="56" spans="1:31" ht="63" customHeight="1">
      <c r="A56" s="179" t="s">
        <v>6</v>
      </c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  <c r="U56" s="179"/>
      <c r="V56" s="179"/>
      <c r="W56" s="179"/>
      <c r="AC56" s="26"/>
    </row>
    <row r="57" spans="1:31">
      <c r="U57" s="112"/>
      <c r="V57" s="113" t="s">
        <v>93</v>
      </c>
      <c r="W57" s="114">
        <v>25400345</v>
      </c>
    </row>
  </sheetData>
  <mergeCells count="82">
    <mergeCell ref="A2:O2"/>
    <mergeCell ref="A6:K6"/>
    <mergeCell ref="L6:W6"/>
    <mergeCell ref="A7:Q7"/>
    <mergeCell ref="R7:U7"/>
    <mergeCell ref="V7:W7"/>
    <mergeCell ref="B8:Q8"/>
    <mergeCell ref="C9:Q9"/>
    <mergeCell ref="B10:Q10"/>
    <mergeCell ref="C11:Q11"/>
    <mergeCell ref="R12:S12"/>
    <mergeCell ref="B20:Q20"/>
    <mergeCell ref="V12:W12"/>
    <mergeCell ref="D13:Q13"/>
    <mergeCell ref="C14:Q14"/>
    <mergeCell ref="D15:Q15"/>
    <mergeCell ref="D16:Q16"/>
    <mergeCell ref="D17:Q17"/>
    <mergeCell ref="T12:U12"/>
    <mergeCell ref="C18:Q18"/>
    <mergeCell ref="A19:Q19"/>
    <mergeCell ref="R19:S19"/>
    <mergeCell ref="T19:U19"/>
    <mergeCell ref="V19:W19"/>
    <mergeCell ref="C29:Q29"/>
    <mergeCell ref="C21:Q21"/>
    <mergeCell ref="D22:Q22"/>
    <mergeCell ref="D23:Q23"/>
    <mergeCell ref="D24:Q24"/>
    <mergeCell ref="C25:Q25"/>
    <mergeCell ref="A26:Q26"/>
    <mergeCell ref="R26:S26"/>
    <mergeCell ref="T26:U26"/>
    <mergeCell ref="V26:W26"/>
    <mergeCell ref="B27:Q27"/>
    <mergeCell ref="C28:Q28"/>
    <mergeCell ref="B30:Q30"/>
    <mergeCell ref="F31:K31"/>
    <mergeCell ref="L31:Q31"/>
    <mergeCell ref="F32:G32"/>
    <mergeCell ref="H32:I32"/>
    <mergeCell ref="J32:K32"/>
    <mergeCell ref="L32:M32"/>
    <mergeCell ref="N32:O32"/>
    <mergeCell ref="P32:Q32"/>
    <mergeCell ref="D42:K42"/>
    <mergeCell ref="N42:O42"/>
    <mergeCell ref="P42:Q42"/>
    <mergeCell ref="C33:E33"/>
    <mergeCell ref="C34:Q34"/>
    <mergeCell ref="C35:Q35"/>
    <mergeCell ref="C36:Q36"/>
    <mergeCell ref="C37:Q37"/>
    <mergeCell ref="B38:Q38"/>
    <mergeCell ref="B39:Q39"/>
    <mergeCell ref="C40:Q40"/>
    <mergeCell ref="D41:K41"/>
    <mergeCell ref="L41:M41"/>
    <mergeCell ref="N41:Q41"/>
    <mergeCell ref="C43:M43"/>
    <mergeCell ref="C44:M44"/>
    <mergeCell ref="B45:Q45"/>
    <mergeCell ref="C46:Q46"/>
    <mergeCell ref="B47:Q47"/>
    <mergeCell ref="P51:Q51"/>
    <mergeCell ref="R48:S48"/>
    <mergeCell ref="T48:U48"/>
    <mergeCell ref="V48:W48"/>
    <mergeCell ref="B49:Q49"/>
    <mergeCell ref="F50:K50"/>
    <mergeCell ref="L50:Q50"/>
    <mergeCell ref="A48:Q48"/>
    <mergeCell ref="F51:G51"/>
    <mergeCell ref="H51:I51"/>
    <mergeCell ref="J51:K51"/>
    <mergeCell ref="L51:M51"/>
    <mergeCell ref="N51:O51"/>
    <mergeCell ref="C52:E52"/>
    <mergeCell ref="C53:E53"/>
    <mergeCell ref="B54:Q54"/>
    <mergeCell ref="A55:W55"/>
    <mergeCell ref="A56:W56"/>
  </mergeCells>
  <dataValidations count="25">
    <dataValidation type="custom" sqref="Q43:Q44 O43:O44 Q52:Q53 O52:O53 U43:U46 S43:S46">
      <formula1>AND(ISNUMBER(O43),O43&gt;=0,IF(SUM(X41,X44)=0,O43=0,O43&gt;=SUM(X41,X44)))</formula1>
    </dataValidation>
    <dataValidation allowBlank="1" sqref="U48 V52:V54 R7:R41 V7:V37 S31:S32 G54 S48 W31:W32 R43:R50 V39:V40 Q54 Q45:Q51 W48 V43:V49 R52:R54 T52:T54 O54 M43:M51 N26:N54 M54 O45:O51 L26:L54 K54 K34:K51 J26:J54 I54 I34:I51 H26:H54 G26:G32 G34:G51 D26:F54 I26:I32 U31:U32 S8:S12 T8:T37 U8:U12 S19 U19 W19 W26 U26 S26 T39:T40 K26:K32 M26:M32 O26:O32 Q26:Q32 P26:P54 M34:M41 O34:O42 Q34:Q42 T43:T49 D22:D24 C21:C54 E12:Q12 E22:Q23 D12:D13 D15:D17 C11:C19 D19:Q19 C7:Q7 C9 A7:A55 B7:B54"/>
    <dataValidation type="custom" sqref="W13 S13 U13">
      <formula1>AND(ISNUMBER(S13),S13&gt;=0,S13&lt;=S33)</formula1>
    </dataValidation>
    <dataValidation type="custom" sqref="W16">
      <formula1>AND(ISNUMBER(W16),W16&gt;=0,W16&lt;=W$17)</formula1>
    </dataValidation>
    <dataValidation type="custom" sqref="W20">
      <formula1>AND(ISNUMBER(W20),W20&gt;=0,W20&lt;=W8, W20=SUM(W21,W25))</formula1>
    </dataValidation>
    <dataValidation type="custom" sqref="W29">
      <formula1>AND(ISNUMBER(W29),W29=SUM(W27,-W28))</formula1>
    </dataValidation>
    <dataValidation type="custom" sqref="S30 U30">
      <formula1>AND(ISNUMBER(S30))</formula1>
    </dataValidation>
    <dataValidation type="custom" sqref="W34">
      <formula1>AND(ISNUMBER(W34),W34=0)</formula1>
    </dataValidation>
    <dataValidation type="custom" sqref="S39 U39">
      <formula1>AND(ISNUMBER(S39),S39&gt;=0,S39=SUM(S30,S27))</formula1>
    </dataValidation>
    <dataValidation type="custom" sqref="W46 W9">
      <formula1>AND(ISNUMBER(W9),W9&gt;=0,W9&lt;=W8)</formula1>
    </dataValidation>
    <dataValidation type="custom" sqref="W47">
      <formula1>AND(ISNUMBER(W47),W47&gt;=0,W47=W39-W45)</formula1>
    </dataValidation>
    <dataValidation type="custom" sqref="W49">
      <formula1>AND(ISNUMBER(W49),W49&gt;=0,W49=SUM(W52,W53))</formula1>
    </dataValidation>
    <dataValidation type="custom" sqref="W54">
      <formula1>AND(ISNUMBER(W54),W54&gt;=0,W54&lt;=W49)</formula1>
    </dataValidation>
    <dataValidation type="custom" sqref="W39">
      <formula1>AND(ISNUMBER(W39),W39&gt;=0,W39=SUM(W40,W43,W44),W39=SUM(W27,W30))</formula1>
    </dataValidation>
    <dataValidation type="custom" sqref="W30">
      <formula1>AND(ISNUMBER(W30),W30&gt;=0, W30=SUM(W33,W34,W35,W36,W37))</formula1>
    </dataValidation>
    <dataValidation type="custom" sqref="W21">
      <formula1>AND(ISNUMBER(W21),W21&gt;=0,W21=SUM(W22,W23,W24))</formula1>
    </dataValidation>
    <dataValidation type="custom" sqref="W14">
      <formula1>AND(ISNUMBER(W14),W14&gt;=0,W14=SUM(W15,W16))</formula1>
    </dataValidation>
    <dataValidation type="custom" sqref="W11">
      <formula1>AND(ISNUMBER(W11),W11&gt;=0,W11=W33)</formula1>
    </dataValidation>
    <dataValidation type="custom" sqref="W17">
      <formula1>AND(ISNUMBER(W17),W17&gt;=0,W17&lt;=W14)</formula1>
    </dataValidation>
    <dataValidation type="custom" sqref="M42 G52:G53 I52:I53 K52:K53 M52:M53">
      <formula1>AND(ISNUMBER(G42),G42&gt;=0,IF(SUM(Q40,Q43)=0,G42=0,G42&gt;=SUM(Q40,Q43)))</formula1>
    </dataValidation>
    <dataValidation type="custom" sqref="W45 U49 U47 S52:S53 O33 W8 S14:S18 Q33 U40 S49 W27:W28 U20:U25 W15 W18 U14:U18 U33:U37 W33 W52:W53 S33:S37 W35:W37 S27:S28 U52:U53 U27:U28 G33 I33 K33 M33 W40 S20:S25 W22:W25 S40 W10 S47">
      <formula1>AND(ISNUMBER(G8),G8&gt;=0)</formula1>
    </dataValidation>
    <dataValidation type="custom" sqref="W43">
      <formula1>AND(ISNUMBER(W43),W43&gt;=0,IF(SUM(#REF!,#REF!)=0,SUM($Q$46,$S$46)=0,SUM($Q$46,$S$46)&gt;=SUM(#REF!,#REF!)))</formula1>
    </dataValidation>
    <dataValidation type="custom" sqref="W44">
      <formula1>AND(ISNUMBER(W44),W44&gt;=0,IF(SUM($Q$47,$S$47)=0,#REF!=0,SUM($Q$47,$S$47)&gt;=#REF!))</formula1>
    </dataValidation>
    <dataValidation type="custom" sqref="S29 U29">
      <formula1>AND(ISNUMBER(S29),(IF(S29&lt;&gt;0,#REF!&lt;&gt;"",#REF!="")))</formula1>
    </dataValidation>
    <dataValidation type="custom" sqref="S54 U54">
      <formula1>AND(ISNUMBER(S54),S54&gt;=0,IF(SUM(AB52,#REF!)=0,S54=0,S54&gt;=SUM(AB52,#REF!)))</formula1>
    </dataValidation>
  </dataValidations>
  <printOptions horizontalCentered="1" verticalCentered="1"/>
  <pageMargins left="0.25" right="0.25" top="0.5" bottom="0.5" header="0.25" footer="0.25"/>
  <pageSetup scale="70" orientation="portrait" r:id="rId1"/>
  <headerFooter alignWithMargins="0">
    <oddHeader>&amp;L&amp;"Arial"&amp;11STATE OF CALIFORNIA
HEALTH AND HUMAN SERVICES AGENCY&amp;R&amp;"Arial"&amp;11CALIFORNIA DEPARTMENT OF SOCIAL SERVICES
DATA SYSTEMS AND SURVEY DESIGN BUREAU&amp;C&amp;"Arial"&amp;11</oddHeader>
    <oddFooter>&amp;L&amp;"Arial"&amp;11&amp;R&amp;"Arial"&amp;11&amp;C&amp;"Arial"&amp;11&amp;P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3">
    <pageSetUpPr fitToPage="1"/>
  </sheetPr>
  <dimension ref="A1:DY64"/>
  <sheetViews>
    <sheetView showGridLines="0" zoomScaleNormal="100" workbookViewId="0"/>
  </sheetViews>
  <sheetFormatPr defaultColWidth="16.5703125" defaultRowHeight="15"/>
  <cols>
    <col min="1" max="1" width="26.42578125" style="145" customWidth="1"/>
    <col min="2" max="124" width="20.7109375" style="136" customWidth="1"/>
    <col min="125" max="125" width="1.7109375" style="116" customWidth="1"/>
    <col min="126" max="126" width="18" style="136" bestFit="1" customWidth="1"/>
    <col min="127" max="127" width="16.5703125" style="137"/>
    <col min="128" max="16384" width="16.5703125" style="136"/>
  </cols>
  <sheetData>
    <row r="1" spans="1:129" s="117" customFormat="1" ht="15.75">
      <c r="A1" s="115" t="s">
        <v>340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116"/>
      <c r="CC1" s="116"/>
      <c r="CD1" s="116"/>
      <c r="CE1" s="116"/>
      <c r="CF1" s="116"/>
      <c r="CG1" s="116"/>
      <c r="CH1" s="116"/>
      <c r="CI1" s="116"/>
      <c r="CJ1" s="116"/>
      <c r="CK1" s="116"/>
      <c r="CL1" s="116"/>
      <c r="CM1" s="116"/>
      <c r="CN1" s="116"/>
      <c r="CO1" s="116"/>
      <c r="CP1" s="116"/>
      <c r="CQ1" s="116"/>
      <c r="CR1" s="116"/>
      <c r="CS1" s="116"/>
      <c r="CT1" s="116"/>
      <c r="CU1" s="116"/>
      <c r="CV1" s="116"/>
      <c r="CW1" s="116"/>
      <c r="CX1" s="116"/>
      <c r="CY1" s="116"/>
      <c r="CZ1" s="116"/>
      <c r="DA1" s="116"/>
      <c r="DB1" s="116"/>
      <c r="DC1" s="116"/>
      <c r="DD1" s="116"/>
      <c r="DE1" s="116"/>
      <c r="DF1" s="116"/>
      <c r="DG1" s="116"/>
      <c r="DH1" s="116"/>
      <c r="DI1" s="116"/>
      <c r="DJ1" s="116"/>
      <c r="DK1" s="116"/>
      <c r="DL1" s="116"/>
      <c r="DM1" s="116"/>
      <c r="DN1" s="116"/>
      <c r="DO1" s="116"/>
      <c r="DP1" s="116"/>
      <c r="DQ1" s="116"/>
      <c r="DR1" s="116"/>
      <c r="DS1" s="116"/>
      <c r="DT1" s="116"/>
      <c r="DU1" s="116"/>
      <c r="DW1" s="118"/>
    </row>
    <row r="2" spans="1:129" s="116" customFormat="1" ht="15.75">
      <c r="A2" s="119"/>
      <c r="B2" s="120" t="s">
        <v>95</v>
      </c>
      <c r="C2" s="120" t="s">
        <v>95</v>
      </c>
      <c r="D2" s="120" t="s">
        <v>95</v>
      </c>
      <c r="E2" s="120" t="s">
        <v>95</v>
      </c>
      <c r="F2" s="120" t="s">
        <v>95</v>
      </c>
      <c r="G2" s="120" t="s">
        <v>95</v>
      </c>
      <c r="H2" s="120" t="s">
        <v>95</v>
      </c>
      <c r="I2" s="120" t="s">
        <v>95</v>
      </c>
      <c r="J2" s="120" t="s">
        <v>95</v>
      </c>
      <c r="K2" s="120" t="s">
        <v>95</v>
      </c>
      <c r="L2" s="120" t="s">
        <v>95</v>
      </c>
      <c r="M2" s="120" t="s">
        <v>95</v>
      </c>
      <c r="N2" s="120" t="s">
        <v>95</v>
      </c>
      <c r="O2" s="120" t="s">
        <v>95</v>
      </c>
      <c r="P2" s="120" t="s">
        <v>95</v>
      </c>
      <c r="Q2" s="120" t="s">
        <v>95</v>
      </c>
      <c r="R2" s="120" t="s">
        <v>95</v>
      </c>
      <c r="S2" s="120" t="s">
        <v>95</v>
      </c>
      <c r="T2" s="120" t="s">
        <v>95</v>
      </c>
      <c r="U2" s="120" t="s">
        <v>95</v>
      </c>
      <c r="V2" s="120" t="s">
        <v>95</v>
      </c>
      <c r="W2" s="120" t="s">
        <v>95</v>
      </c>
      <c r="X2" s="120" t="s">
        <v>96</v>
      </c>
      <c r="Y2" s="120" t="s">
        <v>96</v>
      </c>
      <c r="Z2" s="120" t="s">
        <v>96</v>
      </c>
      <c r="AA2" s="120" t="s">
        <v>96</v>
      </c>
      <c r="AB2" s="120" t="s">
        <v>96</v>
      </c>
      <c r="AC2" s="120" t="s">
        <v>96</v>
      </c>
      <c r="AD2" s="120" t="s">
        <v>96</v>
      </c>
      <c r="AE2" s="120" t="s">
        <v>96</v>
      </c>
      <c r="AF2" s="120" t="s">
        <v>96</v>
      </c>
      <c r="AG2" s="120" t="s">
        <v>96</v>
      </c>
      <c r="AH2" s="120" t="s">
        <v>96</v>
      </c>
      <c r="AI2" s="120" t="s">
        <v>96</v>
      </c>
      <c r="AJ2" s="120" t="s">
        <v>96</v>
      </c>
      <c r="AK2" s="120" t="s">
        <v>96</v>
      </c>
      <c r="AL2" s="120" t="s">
        <v>96</v>
      </c>
      <c r="AM2" s="120" t="s">
        <v>96</v>
      </c>
      <c r="AN2" s="120" t="s">
        <v>96</v>
      </c>
      <c r="AO2" s="120" t="s">
        <v>96</v>
      </c>
      <c r="AP2" s="120" t="s">
        <v>97</v>
      </c>
      <c r="AQ2" s="120" t="s">
        <v>97</v>
      </c>
      <c r="AR2" s="120" t="s">
        <v>97</v>
      </c>
      <c r="AS2" s="120" t="s">
        <v>97</v>
      </c>
      <c r="AT2" s="120" t="s">
        <v>97</v>
      </c>
      <c r="AU2" s="120" t="s">
        <v>97</v>
      </c>
      <c r="AV2" s="120" t="s">
        <v>97</v>
      </c>
      <c r="AW2" s="120" t="s">
        <v>97</v>
      </c>
      <c r="AX2" s="120" t="s">
        <v>97</v>
      </c>
      <c r="AY2" s="120" t="s">
        <v>97</v>
      </c>
      <c r="AZ2" s="120" t="s">
        <v>97</v>
      </c>
      <c r="BA2" s="120" t="s">
        <v>97</v>
      </c>
      <c r="BB2" s="120" t="s">
        <v>97</v>
      </c>
      <c r="BC2" s="120" t="s">
        <v>97</v>
      </c>
      <c r="BD2" s="120" t="s">
        <v>97</v>
      </c>
      <c r="BE2" s="120" t="s">
        <v>97</v>
      </c>
      <c r="BF2" s="120" t="s">
        <v>97</v>
      </c>
      <c r="BG2" s="120" t="s">
        <v>97</v>
      </c>
      <c r="BH2" s="120" t="s">
        <v>97</v>
      </c>
      <c r="BI2" s="120" t="s">
        <v>97</v>
      </c>
      <c r="BJ2" s="120" t="s">
        <v>97</v>
      </c>
      <c r="BK2" s="120" t="s">
        <v>97</v>
      </c>
      <c r="BL2" s="120" t="s">
        <v>97</v>
      </c>
      <c r="BM2" s="120" t="s">
        <v>97</v>
      </c>
      <c r="BN2" s="120" t="s">
        <v>97</v>
      </c>
      <c r="BO2" s="120" t="s">
        <v>97</v>
      </c>
      <c r="BP2" s="120" t="s">
        <v>97</v>
      </c>
      <c r="BQ2" s="120" t="s">
        <v>97</v>
      </c>
      <c r="BR2" s="120" t="s">
        <v>97</v>
      </c>
      <c r="BS2" s="120" t="s">
        <v>97</v>
      </c>
      <c r="BT2" s="120" t="s">
        <v>97</v>
      </c>
      <c r="BU2" s="120" t="s">
        <v>97</v>
      </c>
      <c r="BV2" s="120" t="s">
        <v>97</v>
      </c>
      <c r="BW2" s="120" t="s">
        <v>97</v>
      </c>
      <c r="BX2" s="120" t="s">
        <v>97</v>
      </c>
      <c r="BY2" s="120" t="s">
        <v>97</v>
      </c>
      <c r="BZ2" s="120" t="s">
        <v>97</v>
      </c>
      <c r="CA2" s="120" t="s">
        <v>97</v>
      </c>
      <c r="CB2" s="120" t="s">
        <v>97</v>
      </c>
      <c r="CC2" s="120" t="s">
        <v>97</v>
      </c>
      <c r="CD2" s="120" t="s">
        <v>97</v>
      </c>
      <c r="CE2" s="120" t="s">
        <v>97</v>
      </c>
      <c r="CF2" s="120" t="s">
        <v>97</v>
      </c>
      <c r="CG2" s="120" t="s">
        <v>97</v>
      </c>
      <c r="CH2" s="120" t="s">
        <v>97</v>
      </c>
      <c r="CI2" s="120" t="s">
        <v>97</v>
      </c>
      <c r="CJ2" s="120" t="s">
        <v>97</v>
      </c>
      <c r="CK2" s="120" t="s">
        <v>97</v>
      </c>
      <c r="CL2" s="120" t="s">
        <v>97</v>
      </c>
      <c r="CM2" s="120" t="s">
        <v>97</v>
      </c>
      <c r="CN2" s="120" t="s">
        <v>97</v>
      </c>
      <c r="CO2" s="120" t="s">
        <v>97</v>
      </c>
      <c r="CP2" s="120" t="s">
        <v>97</v>
      </c>
      <c r="CQ2" s="120" t="s">
        <v>97</v>
      </c>
      <c r="CR2" s="120" t="s">
        <v>97</v>
      </c>
      <c r="CS2" s="120" t="s">
        <v>97</v>
      </c>
      <c r="CT2" s="120" t="s">
        <v>97</v>
      </c>
      <c r="CU2" s="120" t="s">
        <v>97</v>
      </c>
      <c r="CV2" s="120" t="s">
        <v>97</v>
      </c>
      <c r="CW2" s="120" t="s">
        <v>98</v>
      </c>
      <c r="CX2" s="120" t="s">
        <v>98</v>
      </c>
      <c r="CY2" s="120" t="s">
        <v>98</v>
      </c>
      <c r="CZ2" s="120" t="s">
        <v>98</v>
      </c>
      <c r="DA2" s="120" t="s">
        <v>98</v>
      </c>
      <c r="DB2" s="120" t="s">
        <v>98</v>
      </c>
      <c r="DC2" s="120" t="s">
        <v>98</v>
      </c>
      <c r="DD2" s="120" t="s">
        <v>98</v>
      </c>
      <c r="DE2" s="120" t="s">
        <v>98</v>
      </c>
      <c r="DF2" s="120" t="s">
        <v>98</v>
      </c>
      <c r="DG2" s="120" t="s">
        <v>98</v>
      </c>
      <c r="DH2" s="120" t="s">
        <v>98</v>
      </c>
      <c r="DI2" s="120" t="s">
        <v>98</v>
      </c>
      <c r="DJ2" s="120" t="s">
        <v>98</v>
      </c>
      <c r="DK2" s="120" t="s">
        <v>98</v>
      </c>
      <c r="DL2" s="120" t="s">
        <v>98</v>
      </c>
      <c r="DM2" s="120" t="s">
        <v>98</v>
      </c>
      <c r="DN2" s="120" t="s">
        <v>98</v>
      </c>
      <c r="DO2" s="120" t="s">
        <v>98</v>
      </c>
      <c r="DP2" s="120" t="s">
        <v>98</v>
      </c>
      <c r="DQ2" s="120" t="s">
        <v>98</v>
      </c>
      <c r="DR2" s="120" t="s">
        <v>98</v>
      </c>
      <c r="DS2" s="120" t="s">
        <v>98</v>
      </c>
      <c r="DT2" s="120" t="s">
        <v>98</v>
      </c>
    </row>
    <row r="3" spans="1:129" s="116" customFormat="1" ht="31.5">
      <c r="A3" s="119"/>
      <c r="B3" s="121"/>
      <c r="C3" s="122"/>
      <c r="D3" s="122"/>
      <c r="E3" s="123"/>
      <c r="F3" s="124" t="s">
        <v>22</v>
      </c>
      <c r="G3" s="124" t="s">
        <v>23</v>
      </c>
      <c r="H3" s="124" t="s">
        <v>99</v>
      </c>
      <c r="I3" s="125" t="s">
        <v>22</v>
      </c>
      <c r="J3" s="125" t="s">
        <v>23</v>
      </c>
      <c r="K3" s="125" t="s">
        <v>99</v>
      </c>
      <c r="L3" s="125" t="s">
        <v>22</v>
      </c>
      <c r="M3" s="125" t="s">
        <v>23</v>
      </c>
      <c r="N3" s="125" t="s">
        <v>99</v>
      </c>
      <c r="O3" s="125" t="s">
        <v>22</v>
      </c>
      <c r="P3" s="125" t="s">
        <v>23</v>
      </c>
      <c r="Q3" s="125" t="s">
        <v>99</v>
      </c>
      <c r="R3" s="125" t="s">
        <v>22</v>
      </c>
      <c r="S3" s="125" t="s">
        <v>23</v>
      </c>
      <c r="T3" s="125" t="s">
        <v>99</v>
      </c>
      <c r="U3" s="125" t="s">
        <v>22</v>
      </c>
      <c r="V3" s="125" t="s">
        <v>23</v>
      </c>
      <c r="W3" s="125" t="s">
        <v>99</v>
      </c>
      <c r="X3" s="125" t="s">
        <v>22</v>
      </c>
      <c r="Y3" s="125" t="s">
        <v>23</v>
      </c>
      <c r="Z3" s="126" t="s">
        <v>99</v>
      </c>
      <c r="AA3" s="126" t="s">
        <v>22</v>
      </c>
      <c r="AB3" s="126" t="s">
        <v>23</v>
      </c>
      <c r="AC3" s="126" t="s">
        <v>99</v>
      </c>
      <c r="AD3" s="126" t="s">
        <v>22</v>
      </c>
      <c r="AE3" s="126" t="s">
        <v>23</v>
      </c>
      <c r="AF3" s="125" t="s">
        <v>99</v>
      </c>
      <c r="AG3" s="125" t="s">
        <v>22</v>
      </c>
      <c r="AH3" s="125" t="s">
        <v>23</v>
      </c>
      <c r="AI3" s="125" t="s">
        <v>99</v>
      </c>
      <c r="AJ3" s="125" t="s">
        <v>22</v>
      </c>
      <c r="AK3" s="125" t="s">
        <v>23</v>
      </c>
      <c r="AL3" s="125" t="s">
        <v>99</v>
      </c>
      <c r="AM3" s="125" t="s">
        <v>22</v>
      </c>
      <c r="AN3" s="125" t="s">
        <v>23</v>
      </c>
      <c r="AO3" s="125" t="s">
        <v>99</v>
      </c>
      <c r="AP3" s="125" t="s">
        <v>22</v>
      </c>
      <c r="AQ3" s="125" t="s">
        <v>23</v>
      </c>
      <c r="AR3" s="125" t="s">
        <v>99</v>
      </c>
      <c r="AS3" s="125" t="s">
        <v>22</v>
      </c>
      <c r="AT3" s="125" t="s">
        <v>23</v>
      </c>
      <c r="AU3" s="125" t="s">
        <v>99</v>
      </c>
      <c r="AV3" s="125" t="s">
        <v>22</v>
      </c>
      <c r="AW3" s="125" t="s">
        <v>23</v>
      </c>
      <c r="AX3" s="125" t="s">
        <v>99</v>
      </c>
      <c r="AY3" s="125" t="s">
        <v>22</v>
      </c>
      <c r="AZ3" s="125" t="s">
        <v>23</v>
      </c>
      <c r="BA3" s="125" t="s">
        <v>99</v>
      </c>
      <c r="BB3" s="125" t="s">
        <v>100</v>
      </c>
      <c r="BC3" s="125" t="s">
        <v>101</v>
      </c>
      <c r="BD3" s="125" t="s">
        <v>102</v>
      </c>
      <c r="BE3" s="125" t="s">
        <v>103</v>
      </c>
      <c r="BF3" s="125" t="s">
        <v>104</v>
      </c>
      <c r="BG3" s="125" t="s">
        <v>105</v>
      </c>
      <c r="BH3" s="125" t="s">
        <v>22</v>
      </c>
      <c r="BI3" s="126" t="s">
        <v>23</v>
      </c>
      <c r="BJ3" s="126" t="s">
        <v>99</v>
      </c>
      <c r="BK3" s="126" t="s">
        <v>22</v>
      </c>
      <c r="BL3" s="126" t="s">
        <v>23</v>
      </c>
      <c r="BM3" s="126" t="s">
        <v>99</v>
      </c>
      <c r="BN3" s="126" t="s">
        <v>22</v>
      </c>
      <c r="BO3" s="126" t="s">
        <v>23</v>
      </c>
      <c r="BP3" s="126" t="s">
        <v>99</v>
      </c>
      <c r="BQ3" s="126" t="s">
        <v>22</v>
      </c>
      <c r="BR3" s="126" t="s">
        <v>23</v>
      </c>
      <c r="BS3" s="126" t="s">
        <v>99</v>
      </c>
      <c r="BT3" s="126" t="s">
        <v>22</v>
      </c>
      <c r="BU3" s="126" t="s">
        <v>23</v>
      </c>
      <c r="BV3" s="126" t="s">
        <v>99</v>
      </c>
      <c r="BW3" s="125" t="s">
        <v>22</v>
      </c>
      <c r="BX3" s="125" t="s">
        <v>23</v>
      </c>
      <c r="BY3" s="125" t="s">
        <v>99</v>
      </c>
      <c r="BZ3" s="125" t="s">
        <v>22</v>
      </c>
      <c r="CA3" s="125" t="s">
        <v>23</v>
      </c>
      <c r="CB3" s="126" t="s">
        <v>99</v>
      </c>
      <c r="CC3" s="126" t="s">
        <v>74</v>
      </c>
      <c r="CD3" s="126" t="s">
        <v>106</v>
      </c>
      <c r="CE3" s="126" t="s">
        <v>107</v>
      </c>
      <c r="CF3" s="126" t="s">
        <v>22</v>
      </c>
      <c r="CG3" s="126" t="s">
        <v>23</v>
      </c>
      <c r="CH3" s="126" t="s">
        <v>99</v>
      </c>
      <c r="CI3" s="126" t="s">
        <v>106</v>
      </c>
      <c r="CJ3" s="126" t="s">
        <v>107</v>
      </c>
      <c r="CK3" s="126" t="s">
        <v>22</v>
      </c>
      <c r="CL3" s="126" t="s">
        <v>23</v>
      </c>
      <c r="CM3" s="126" t="s">
        <v>99</v>
      </c>
      <c r="CN3" s="126" t="s">
        <v>22</v>
      </c>
      <c r="CO3" s="126" t="s">
        <v>23</v>
      </c>
      <c r="CP3" s="126" t="s">
        <v>99</v>
      </c>
      <c r="CQ3" s="126" t="s">
        <v>22</v>
      </c>
      <c r="CR3" s="126" t="s">
        <v>23</v>
      </c>
      <c r="CS3" s="126" t="s">
        <v>99</v>
      </c>
      <c r="CT3" s="126" t="s">
        <v>22</v>
      </c>
      <c r="CU3" s="126" t="s">
        <v>23</v>
      </c>
      <c r="CV3" s="126" t="s">
        <v>99</v>
      </c>
      <c r="CW3" s="125" t="s">
        <v>22</v>
      </c>
      <c r="CX3" s="125" t="s">
        <v>23</v>
      </c>
      <c r="CY3" s="125" t="s">
        <v>99</v>
      </c>
      <c r="CZ3" s="125" t="s">
        <v>108</v>
      </c>
      <c r="DA3" s="125" t="s">
        <v>109</v>
      </c>
      <c r="DB3" s="126" t="s">
        <v>110</v>
      </c>
      <c r="DC3" s="126" t="s">
        <v>111</v>
      </c>
      <c r="DD3" s="125" t="s">
        <v>112</v>
      </c>
      <c r="DE3" s="125" t="s">
        <v>113</v>
      </c>
      <c r="DF3" s="125" t="s">
        <v>22</v>
      </c>
      <c r="DG3" s="125" t="s">
        <v>23</v>
      </c>
      <c r="DH3" s="125" t="s">
        <v>99</v>
      </c>
      <c r="DI3" s="125" t="s">
        <v>108</v>
      </c>
      <c r="DJ3" s="125" t="s">
        <v>109</v>
      </c>
      <c r="DK3" s="126" t="s">
        <v>110</v>
      </c>
      <c r="DL3" s="126" t="s">
        <v>111</v>
      </c>
      <c r="DM3" s="125" t="s">
        <v>112</v>
      </c>
      <c r="DN3" s="125" t="s">
        <v>113</v>
      </c>
      <c r="DO3" s="125" t="s">
        <v>22</v>
      </c>
      <c r="DP3" s="125" t="s">
        <v>23</v>
      </c>
      <c r="DQ3" s="125" t="s">
        <v>99</v>
      </c>
      <c r="DR3" s="125" t="s">
        <v>22</v>
      </c>
      <c r="DS3" s="125" t="s">
        <v>23</v>
      </c>
      <c r="DT3" s="125" t="s">
        <v>99</v>
      </c>
    </row>
    <row r="4" spans="1:129" s="116" customFormat="1" ht="141.75">
      <c r="A4" s="127" t="s">
        <v>339</v>
      </c>
      <c r="B4" s="128" t="s">
        <v>114</v>
      </c>
      <c r="C4" s="128" t="s">
        <v>115</v>
      </c>
      <c r="D4" s="128" t="s">
        <v>116</v>
      </c>
      <c r="E4" s="128" t="s">
        <v>117</v>
      </c>
      <c r="F4" s="128" t="s">
        <v>118</v>
      </c>
      <c r="G4" s="128" t="s">
        <v>118</v>
      </c>
      <c r="H4" s="128" t="s">
        <v>118</v>
      </c>
      <c r="I4" s="128" t="s">
        <v>119</v>
      </c>
      <c r="J4" s="128" t="s">
        <v>119</v>
      </c>
      <c r="K4" s="128" t="s">
        <v>119</v>
      </c>
      <c r="L4" s="128" t="s">
        <v>120</v>
      </c>
      <c r="M4" s="128" t="s">
        <v>120</v>
      </c>
      <c r="N4" s="128" t="s">
        <v>120</v>
      </c>
      <c r="O4" s="128" t="s">
        <v>121</v>
      </c>
      <c r="P4" s="128" t="s">
        <v>121</v>
      </c>
      <c r="Q4" s="128" t="s">
        <v>121</v>
      </c>
      <c r="R4" s="128" t="s">
        <v>122</v>
      </c>
      <c r="S4" s="128" t="s">
        <v>122</v>
      </c>
      <c r="T4" s="128" t="s">
        <v>122</v>
      </c>
      <c r="U4" s="128" t="s">
        <v>123</v>
      </c>
      <c r="V4" s="128" t="s">
        <v>123</v>
      </c>
      <c r="W4" s="128" t="s">
        <v>123</v>
      </c>
      <c r="X4" s="128" t="s">
        <v>124</v>
      </c>
      <c r="Y4" s="128" t="s">
        <v>124</v>
      </c>
      <c r="Z4" s="128" t="s">
        <v>124</v>
      </c>
      <c r="AA4" s="128" t="s">
        <v>125</v>
      </c>
      <c r="AB4" s="128" t="s">
        <v>125</v>
      </c>
      <c r="AC4" s="128" t="s">
        <v>125</v>
      </c>
      <c r="AD4" s="128" t="s">
        <v>126</v>
      </c>
      <c r="AE4" s="128" t="s">
        <v>126</v>
      </c>
      <c r="AF4" s="128" t="s">
        <v>126</v>
      </c>
      <c r="AG4" s="128" t="s">
        <v>127</v>
      </c>
      <c r="AH4" s="128" t="s">
        <v>127</v>
      </c>
      <c r="AI4" s="128" t="s">
        <v>127</v>
      </c>
      <c r="AJ4" s="128" t="s">
        <v>128</v>
      </c>
      <c r="AK4" s="128" t="s">
        <v>128</v>
      </c>
      <c r="AL4" s="128" t="s">
        <v>128</v>
      </c>
      <c r="AM4" s="128" t="s">
        <v>129</v>
      </c>
      <c r="AN4" s="128" t="s">
        <v>129</v>
      </c>
      <c r="AO4" s="128" t="s">
        <v>129</v>
      </c>
      <c r="AP4" s="128" t="s">
        <v>130</v>
      </c>
      <c r="AQ4" s="128" t="s">
        <v>130</v>
      </c>
      <c r="AR4" s="128" t="s">
        <v>130</v>
      </c>
      <c r="AS4" s="128" t="s">
        <v>131</v>
      </c>
      <c r="AT4" s="128" t="s">
        <v>131</v>
      </c>
      <c r="AU4" s="128" t="s">
        <v>131</v>
      </c>
      <c r="AV4" s="128" t="s">
        <v>132</v>
      </c>
      <c r="AW4" s="128" t="s">
        <v>132</v>
      </c>
      <c r="AX4" s="128" t="s">
        <v>132</v>
      </c>
      <c r="AY4" s="128" t="s">
        <v>133</v>
      </c>
      <c r="AZ4" s="128" t="s">
        <v>133</v>
      </c>
      <c r="BA4" s="128" t="s">
        <v>133</v>
      </c>
      <c r="BB4" s="128" t="s">
        <v>134</v>
      </c>
      <c r="BC4" s="128" t="s">
        <v>134</v>
      </c>
      <c r="BD4" s="128" t="s">
        <v>134</v>
      </c>
      <c r="BE4" s="128" t="s">
        <v>134</v>
      </c>
      <c r="BF4" s="128" t="s">
        <v>134</v>
      </c>
      <c r="BG4" s="128" t="s">
        <v>134</v>
      </c>
      <c r="BH4" s="128" t="s">
        <v>134</v>
      </c>
      <c r="BI4" s="128" t="s">
        <v>134</v>
      </c>
      <c r="BJ4" s="128" t="s">
        <v>134</v>
      </c>
      <c r="BK4" s="128" t="s">
        <v>135</v>
      </c>
      <c r="BL4" s="128" t="s">
        <v>135</v>
      </c>
      <c r="BM4" s="128" t="s">
        <v>135</v>
      </c>
      <c r="BN4" s="128" t="s">
        <v>136</v>
      </c>
      <c r="BO4" s="128" t="s">
        <v>136</v>
      </c>
      <c r="BP4" s="128" t="s">
        <v>136</v>
      </c>
      <c r="BQ4" s="128" t="s">
        <v>137</v>
      </c>
      <c r="BR4" s="128" t="s">
        <v>137</v>
      </c>
      <c r="BS4" s="128" t="s">
        <v>137</v>
      </c>
      <c r="BT4" s="128" t="s">
        <v>138</v>
      </c>
      <c r="BU4" s="128" t="s">
        <v>138</v>
      </c>
      <c r="BV4" s="128" t="s">
        <v>138</v>
      </c>
      <c r="BW4" s="128" t="s">
        <v>139</v>
      </c>
      <c r="BX4" s="128" t="s">
        <v>139</v>
      </c>
      <c r="BY4" s="128" t="s">
        <v>139</v>
      </c>
      <c r="BZ4" s="128" t="s">
        <v>140</v>
      </c>
      <c r="CA4" s="128" t="s">
        <v>140</v>
      </c>
      <c r="CB4" s="128" t="s">
        <v>140</v>
      </c>
      <c r="CC4" s="128" t="s">
        <v>141</v>
      </c>
      <c r="CD4" s="128" t="s">
        <v>142</v>
      </c>
      <c r="CE4" s="128" t="s">
        <v>142</v>
      </c>
      <c r="CF4" s="128" t="s">
        <v>142</v>
      </c>
      <c r="CG4" s="128" t="s">
        <v>142</v>
      </c>
      <c r="CH4" s="128" t="s">
        <v>142</v>
      </c>
      <c r="CI4" s="128" t="s">
        <v>143</v>
      </c>
      <c r="CJ4" s="128" t="s">
        <v>143</v>
      </c>
      <c r="CK4" s="128" t="s">
        <v>143</v>
      </c>
      <c r="CL4" s="128" t="s">
        <v>143</v>
      </c>
      <c r="CM4" s="128" t="s">
        <v>143</v>
      </c>
      <c r="CN4" s="128" t="s">
        <v>144</v>
      </c>
      <c r="CO4" s="128" t="s">
        <v>144</v>
      </c>
      <c r="CP4" s="128" t="s">
        <v>144</v>
      </c>
      <c r="CQ4" s="128" t="s">
        <v>145</v>
      </c>
      <c r="CR4" s="128" t="s">
        <v>145</v>
      </c>
      <c r="CS4" s="128" t="s">
        <v>145</v>
      </c>
      <c r="CT4" s="128" t="s">
        <v>146</v>
      </c>
      <c r="CU4" s="128" t="s">
        <v>146</v>
      </c>
      <c r="CV4" s="128" t="s">
        <v>146</v>
      </c>
      <c r="CW4" s="128" t="s">
        <v>147</v>
      </c>
      <c r="CX4" s="128" t="s">
        <v>147</v>
      </c>
      <c r="CY4" s="128" t="s">
        <v>147</v>
      </c>
      <c r="CZ4" s="128" t="s">
        <v>148</v>
      </c>
      <c r="DA4" s="128" t="s">
        <v>148</v>
      </c>
      <c r="DB4" s="128" t="s">
        <v>148</v>
      </c>
      <c r="DC4" s="128" t="s">
        <v>148</v>
      </c>
      <c r="DD4" s="128" t="s">
        <v>148</v>
      </c>
      <c r="DE4" s="128" t="s">
        <v>148</v>
      </c>
      <c r="DF4" s="128" t="s">
        <v>148</v>
      </c>
      <c r="DG4" s="128" t="s">
        <v>148</v>
      </c>
      <c r="DH4" s="128" t="s">
        <v>148</v>
      </c>
      <c r="DI4" s="128" t="s">
        <v>149</v>
      </c>
      <c r="DJ4" s="128" t="s">
        <v>149</v>
      </c>
      <c r="DK4" s="128" t="s">
        <v>149</v>
      </c>
      <c r="DL4" s="128" t="s">
        <v>149</v>
      </c>
      <c r="DM4" s="128" t="s">
        <v>149</v>
      </c>
      <c r="DN4" s="128" t="s">
        <v>149</v>
      </c>
      <c r="DO4" s="128" t="s">
        <v>149</v>
      </c>
      <c r="DP4" s="128" t="s">
        <v>149</v>
      </c>
      <c r="DQ4" s="128" t="s">
        <v>149</v>
      </c>
      <c r="DR4" s="128" t="s">
        <v>150</v>
      </c>
      <c r="DS4" s="128" t="s">
        <v>150</v>
      </c>
      <c r="DT4" s="128" t="s">
        <v>150</v>
      </c>
    </row>
    <row r="5" spans="1:129" s="131" customFormat="1">
      <c r="A5" s="129" t="s">
        <v>151</v>
      </c>
      <c r="B5" s="130" t="s">
        <v>152</v>
      </c>
      <c r="C5" s="130" t="s">
        <v>153</v>
      </c>
      <c r="D5" s="130" t="s">
        <v>154</v>
      </c>
      <c r="E5" s="130" t="s">
        <v>155</v>
      </c>
      <c r="F5" s="130" t="s">
        <v>156</v>
      </c>
      <c r="G5" s="130" t="s">
        <v>157</v>
      </c>
      <c r="H5" s="130" t="s">
        <v>158</v>
      </c>
      <c r="I5" s="130" t="s">
        <v>159</v>
      </c>
      <c r="J5" s="130" t="s">
        <v>160</v>
      </c>
      <c r="K5" s="130" t="s">
        <v>161</v>
      </c>
      <c r="L5" s="130" t="s">
        <v>162</v>
      </c>
      <c r="M5" s="130" t="s">
        <v>163</v>
      </c>
      <c r="N5" s="130" t="s">
        <v>164</v>
      </c>
      <c r="O5" s="130" t="s">
        <v>165</v>
      </c>
      <c r="P5" s="130" t="s">
        <v>166</v>
      </c>
      <c r="Q5" s="130" t="s">
        <v>167</v>
      </c>
      <c r="R5" s="130" t="s">
        <v>168</v>
      </c>
      <c r="S5" s="130" t="s">
        <v>169</v>
      </c>
      <c r="T5" s="130" t="s">
        <v>170</v>
      </c>
      <c r="U5" s="130" t="s">
        <v>171</v>
      </c>
      <c r="V5" s="130" t="s">
        <v>172</v>
      </c>
      <c r="W5" s="130" t="s">
        <v>173</v>
      </c>
      <c r="X5" s="130" t="s">
        <v>174</v>
      </c>
      <c r="Y5" s="130" t="s">
        <v>175</v>
      </c>
      <c r="Z5" s="130" t="s">
        <v>176</v>
      </c>
      <c r="AA5" s="130" t="s">
        <v>177</v>
      </c>
      <c r="AB5" s="130" t="s">
        <v>178</v>
      </c>
      <c r="AC5" s="130" t="s">
        <v>179</v>
      </c>
      <c r="AD5" s="130" t="s">
        <v>180</v>
      </c>
      <c r="AE5" s="130" t="s">
        <v>181</v>
      </c>
      <c r="AF5" s="130" t="s">
        <v>182</v>
      </c>
      <c r="AG5" s="130" t="s">
        <v>183</v>
      </c>
      <c r="AH5" s="130" t="s">
        <v>184</v>
      </c>
      <c r="AI5" s="130" t="s">
        <v>185</v>
      </c>
      <c r="AJ5" s="130" t="s">
        <v>186</v>
      </c>
      <c r="AK5" s="130" t="s">
        <v>187</v>
      </c>
      <c r="AL5" s="130" t="s">
        <v>188</v>
      </c>
      <c r="AM5" s="130" t="s">
        <v>189</v>
      </c>
      <c r="AN5" s="130" t="s">
        <v>190</v>
      </c>
      <c r="AO5" s="130" t="s">
        <v>191</v>
      </c>
      <c r="AP5" s="130" t="s">
        <v>192</v>
      </c>
      <c r="AQ5" s="130" t="s">
        <v>193</v>
      </c>
      <c r="AR5" s="130" t="s">
        <v>194</v>
      </c>
      <c r="AS5" s="130" t="s">
        <v>195</v>
      </c>
      <c r="AT5" s="130" t="s">
        <v>196</v>
      </c>
      <c r="AU5" s="130" t="s">
        <v>197</v>
      </c>
      <c r="AV5" s="130" t="s">
        <v>198</v>
      </c>
      <c r="AW5" s="130" t="s">
        <v>199</v>
      </c>
      <c r="AX5" s="130" t="s">
        <v>200</v>
      </c>
      <c r="AY5" s="130" t="s">
        <v>201</v>
      </c>
      <c r="AZ5" s="130" t="s">
        <v>202</v>
      </c>
      <c r="BA5" s="130" t="s">
        <v>203</v>
      </c>
      <c r="BB5" s="130" t="s">
        <v>204</v>
      </c>
      <c r="BC5" s="130" t="s">
        <v>205</v>
      </c>
      <c r="BD5" s="130" t="s">
        <v>206</v>
      </c>
      <c r="BE5" s="130" t="s">
        <v>207</v>
      </c>
      <c r="BF5" s="130" t="s">
        <v>208</v>
      </c>
      <c r="BG5" s="130" t="s">
        <v>209</v>
      </c>
      <c r="BH5" s="130" t="s">
        <v>210</v>
      </c>
      <c r="BI5" s="130" t="s">
        <v>211</v>
      </c>
      <c r="BJ5" s="130" t="s">
        <v>212</v>
      </c>
      <c r="BK5" s="130" t="s">
        <v>213</v>
      </c>
      <c r="BL5" s="130" t="s">
        <v>214</v>
      </c>
      <c r="BM5" s="130" t="s">
        <v>215</v>
      </c>
      <c r="BN5" s="130" t="s">
        <v>216</v>
      </c>
      <c r="BO5" s="130" t="s">
        <v>217</v>
      </c>
      <c r="BP5" s="130" t="s">
        <v>218</v>
      </c>
      <c r="BQ5" s="130" t="s">
        <v>219</v>
      </c>
      <c r="BR5" s="130" t="s">
        <v>220</v>
      </c>
      <c r="BS5" s="130" t="s">
        <v>221</v>
      </c>
      <c r="BT5" s="130" t="s">
        <v>222</v>
      </c>
      <c r="BU5" s="130" t="s">
        <v>223</v>
      </c>
      <c r="BV5" s="130" t="s">
        <v>224</v>
      </c>
      <c r="BW5" s="130" t="s">
        <v>225</v>
      </c>
      <c r="BX5" s="130" t="s">
        <v>226</v>
      </c>
      <c r="BY5" s="130" t="s">
        <v>227</v>
      </c>
      <c r="BZ5" s="130" t="s">
        <v>228</v>
      </c>
      <c r="CA5" s="130" t="s">
        <v>229</v>
      </c>
      <c r="CB5" s="130" t="s">
        <v>230</v>
      </c>
      <c r="CC5" s="130" t="s">
        <v>231</v>
      </c>
      <c r="CD5" s="130" t="s">
        <v>232</v>
      </c>
      <c r="CE5" s="130" t="s">
        <v>233</v>
      </c>
      <c r="CF5" s="130" t="s">
        <v>234</v>
      </c>
      <c r="CG5" s="130" t="s">
        <v>235</v>
      </c>
      <c r="CH5" s="130" t="s">
        <v>236</v>
      </c>
      <c r="CI5" s="130" t="s">
        <v>237</v>
      </c>
      <c r="CJ5" s="130" t="s">
        <v>238</v>
      </c>
      <c r="CK5" s="130" t="s">
        <v>239</v>
      </c>
      <c r="CL5" s="130" t="s">
        <v>240</v>
      </c>
      <c r="CM5" s="130" t="s">
        <v>241</v>
      </c>
      <c r="CN5" s="130" t="s">
        <v>242</v>
      </c>
      <c r="CO5" s="130" t="s">
        <v>243</v>
      </c>
      <c r="CP5" s="130" t="s">
        <v>244</v>
      </c>
      <c r="CQ5" s="130" t="s">
        <v>245</v>
      </c>
      <c r="CR5" s="130" t="s">
        <v>246</v>
      </c>
      <c r="CS5" s="130" t="s">
        <v>247</v>
      </c>
      <c r="CT5" s="130" t="s">
        <v>248</v>
      </c>
      <c r="CU5" s="130" t="s">
        <v>249</v>
      </c>
      <c r="CV5" s="130" t="s">
        <v>250</v>
      </c>
      <c r="CW5" s="130" t="s">
        <v>251</v>
      </c>
      <c r="CX5" s="130" t="s">
        <v>252</v>
      </c>
      <c r="CY5" s="130" t="s">
        <v>253</v>
      </c>
      <c r="CZ5" s="130" t="s">
        <v>254</v>
      </c>
      <c r="DA5" s="130" t="s">
        <v>255</v>
      </c>
      <c r="DB5" s="130" t="s">
        <v>256</v>
      </c>
      <c r="DC5" s="130" t="s">
        <v>257</v>
      </c>
      <c r="DD5" s="130" t="s">
        <v>258</v>
      </c>
      <c r="DE5" s="130" t="s">
        <v>259</v>
      </c>
      <c r="DF5" s="130" t="s">
        <v>260</v>
      </c>
      <c r="DG5" s="130" t="s">
        <v>261</v>
      </c>
      <c r="DH5" s="130" t="s">
        <v>262</v>
      </c>
      <c r="DI5" s="130" t="s">
        <v>263</v>
      </c>
      <c r="DJ5" s="130" t="s">
        <v>264</v>
      </c>
      <c r="DK5" s="130" t="s">
        <v>265</v>
      </c>
      <c r="DL5" s="130" t="s">
        <v>266</v>
      </c>
      <c r="DM5" s="130" t="s">
        <v>267</v>
      </c>
      <c r="DN5" s="130" t="s">
        <v>268</v>
      </c>
      <c r="DO5" s="130" t="s">
        <v>269</v>
      </c>
      <c r="DP5" s="130" t="s">
        <v>270</v>
      </c>
      <c r="DQ5" s="130" t="s">
        <v>271</v>
      </c>
      <c r="DR5" s="130" t="s">
        <v>272</v>
      </c>
      <c r="DS5" s="130" t="s">
        <v>273</v>
      </c>
      <c r="DT5" s="130" t="s">
        <v>274</v>
      </c>
      <c r="DU5" s="116"/>
      <c r="DW5" s="132"/>
    </row>
    <row r="6" spans="1:129" ht="15.75">
      <c r="A6" s="133" t="s">
        <v>275</v>
      </c>
      <c r="B6" s="134" t="s">
        <v>335</v>
      </c>
      <c r="C6" s="134" t="s">
        <v>335</v>
      </c>
      <c r="D6" s="134" t="s">
        <v>335</v>
      </c>
      <c r="E6" s="134" t="s">
        <v>335</v>
      </c>
      <c r="F6" s="134" t="s">
        <v>335</v>
      </c>
      <c r="G6" s="134" t="s">
        <v>335</v>
      </c>
      <c r="H6" s="134" t="s">
        <v>335</v>
      </c>
      <c r="I6" s="134" t="s">
        <v>335</v>
      </c>
      <c r="J6" s="134" t="s">
        <v>335</v>
      </c>
      <c r="K6" s="134" t="s">
        <v>335</v>
      </c>
      <c r="L6" s="134" t="s">
        <v>335</v>
      </c>
      <c r="M6" s="134" t="s">
        <v>335</v>
      </c>
      <c r="N6" s="134" t="s">
        <v>335</v>
      </c>
      <c r="O6" s="134" t="s">
        <v>335</v>
      </c>
      <c r="P6" s="134" t="s">
        <v>335</v>
      </c>
      <c r="Q6" s="134" t="s">
        <v>335</v>
      </c>
      <c r="R6" s="134" t="s">
        <v>335</v>
      </c>
      <c r="S6" s="134" t="s">
        <v>335</v>
      </c>
      <c r="T6" s="134" t="s">
        <v>335</v>
      </c>
      <c r="U6" s="134" t="s">
        <v>335</v>
      </c>
      <c r="V6" s="134" t="s">
        <v>335</v>
      </c>
      <c r="W6" s="134" t="s">
        <v>335</v>
      </c>
      <c r="X6" s="134" t="s">
        <v>335</v>
      </c>
      <c r="Y6" s="134" t="s">
        <v>335</v>
      </c>
      <c r="Z6" s="134" t="s">
        <v>335</v>
      </c>
      <c r="AA6" s="134" t="s">
        <v>335</v>
      </c>
      <c r="AB6" s="134" t="s">
        <v>335</v>
      </c>
      <c r="AC6" s="134" t="s">
        <v>335</v>
      </c>
      <c r="AD6" s="134" t="s">
        <v>335</v>
      </c>
      <c r="AE6" s="134" t="s">
        <v>335</v>
      </c>
      <c r="AF6" s="134" t="s">
        <v>335</v>
      </c>
      <c r="AG6" s="134" t="s">
        <v>335</v>
      </c>
      <c r="AH6" s="134" t="s">
        <v>335</v>
      </c>
      <c r="AI6" s="134" t="s">
        <v>335</v>
      </c>
      <c r="AJ6" s="134" t="s">
        <v>335</v>
      </c>
      <c r="AK6" s="134" t="s">
        <v>335</v>
      </c>
      <c r="AL6" s="134" t="s">
        <v>335</v>
      </c>
      <c r="AM6" s="134" t="s">
        <v>335</v>
      </c>
      <c r="AN6" s="134" t="s">
        <v>335</v>
      </c>
      <c r="AO6" s="134" t="s">
        <v>335</v>
      </c>
      <c r="AP6" s="134" t="s">
        <v>335</v>
      </c>
      <c r="AQ6" s="134" t="s">
        <v>335</v>
      </c>
      <c r="AR6" s="134" t="s">
        <v>335</v>
      </c>
      <c r="AS6" s="134" t="s">
        <v>335</v>
      </c>
      <c r="AT6" s="134" t="s">
        <v>335</v>
      </c>
      <c r="AU6" s="134" t="s">
        <v>335</v>
      </c>
      <c r="AV6" s="134" t="s">
        <v>335</v>
      </c>
      <c r="AW6" s="134" t="s">
        <v>335</v>
      </c>
      <c r="AX6" s="134" t="s">
        <v>335</v>
      </c>
      <c r="AY6" s="134" t="s">
        <v>335</v>
      </c>
      <c r="AZ6" s="134" t="s">
        <v>335</v>
      </c>
      <c r="BA6" s="134" t="s">
        <v>335</v>
      </c>
      <c r="BB6" s="134" t="s">
        <v>335</v>
      </c>
      <c r="BC6" s="134" t="s">
        <v>335</v>
      </c>
      <c r="BD6" s="134" t="s">
        <v>335</v>
      </c>
      <c r="BE6" s="134" t="s">
        <v>335</v>
      </c>
      <c r="BF6" s="134" t="s">
        <v>335</v>
      </c>
      <c r="BG6" s="134" t="s">
        <v>335</v>
      </c>
      <c r="BH6" s="134" t="s">
        <v>335</v>
      </c>
      <c r="BI6" s="134" t="s">
        <v>335</v>
      </c>
      <c r="BJ6" s="134" t="s">
        <v>335</v>
      </c>
      <c r="BK6" s="134" t="s">
        <v>335</v>
      </c>
      <c r="BL6" s="134" t="s">
        <v>335</v>
      </c>
      <c r="BM6" s="134" t="s">
        <v>335</v>
      </c>
      <c r="BN6" s="134" t="s">
        <v>335</v>
      </c>
      <c r="BO6" s="134" t="s">
        <v>335</v>
      </c>
      <c r="BP6" s="134" t="s">
        <v>335</v>
      </c>
      <c r="BQ6" s="134" t="s">
        <v>335</v>
      </c>
      <c r="BR6" s="134" t="s">
        <v>335</v>
      </c>
      <c r="BS6" s="134" t="s">
        <v>335</v>
      </c>
      <c r="BT6" s="134" t="s">
        <v>335</v>
      </c>
      <c r="BU6" s="134" t="s">
        <v>335</v>
      </c>
      <c r="BV6" s="134" t="s">
        <v>335</v>
      </c>
      <c r="BW6" s="134" t="s">
        <v>335</v>
      </c>
      <c r="BX6" s="134" t="s">
        <v>335</v>
      </c>
      <c r="BY6" s="134" t="s">
        <v>335</v>
      </c>
      <c r="BZ6" s="134" t="s">
        <v>335</v>
      </c>
      <c r="CA6" s="134" t="s">
        <v>335</v>
      </c>
      <c r="CB6" s="134" t="s">
        <v>335</v>
      </c>
      <c r="CC6" s="134" t="s">
        <v>335</v>
      </c>
      <c r="CD6" s="134" t="s">
        <v>335</v>
      </c>
      <c r="CE6" s="134" t="s">
        <v>335</v>
      </c>
      <c r="CF6" s="134" t="s">
        <v>335</v>
      </c>
      <c r="CG6" s="134" t="s">
        <v>335</v>
      </c>
      <c r="CH6" s="134" t="s">
        <v>335</v>
      </c>
      <c r="CI6" s="134" t="s">
        <v>335</v>
      </c>
      <c r="CJ6" s="134" t="s">
        <v>335</v>
      </c>
      <c r="CK6" s="134" t="s">
        <v>335</v>
      </c>
      <c r="CL6" s="134" t="s">
        <v>335</v>
      </c>
      <c r="CM6" s="134" t="s">
        <v>335</v>
      </c>
      <c r="CN6" s="134" t="s">
        <v>335</v>
      </c>
      <c r="CO6" s="134" t="s">
        <v>335</v>
      </c>
      <c r="CP6" s="134" t="s">
        <v>335</v>
      </c>
      <c r="CQ6" s="134" t="s">
        <v>335</v>
      </c>
      <c r="CR6" s="134" t="s">
        <v>335</v>
      </c>
      <c r="CS6" s="134" t="s">
        <v>335</v>
      </c>
      <c r="CT6" s="134" t="s">
        <v>335</v>
      </c>
      <c r="CU6" s="134" t="s">
        <v>335</v>
      </c>
      <c r="CV6" s="134" t="s">
        <v>335</v>
      </c>
      <c r="CW6" s="134" t="s">
        <v>335</v>
      </c>
      <c r="CX6" s="134" t="s">
        <v>335</v>
      </c>
      <c r="CY6" s="134" t="s">
        <v>335</v>
      </c>
      <c r="CZ6" s="134" t="s">
        <v>335</v>
      </c>
      <c r="DA6" s="134" t="s">
        <v>335</v>
      </c>
      <c r="DB6" s="134" t="s">
        <v>335</v>
      </c>
      <c r="DC6" s="134" t="s">
        <v>335</v>
      </c>
      <c r="DD6" s="134" t="s">
        <v>335</v>
      </c>
      <c r="DE6" s="134" t="s">
        <v>335</v>
      </c>
      <c r="DF6" s="134" t="s">
        <v>335</v>
      </c>
      <c r="DG6" s="134" t="s">
        <v>335</v>
      </c>
      <c r="DH6" s="134" t="s">
        <v>335</v>
      </c>
      <c r="DI6" s="134" t="s">
        <v>335</v>
      </c>
      <c r="DJ6" s="134" t="s">
        <v>335</v>
      </c>
      <c r="DK6" s="134" t="s">
        <v>335</v>
      </c>
      <c r="DL6" s="134" t="s">
        <v>335</v>
      </c>
      <c r="DM6" s="134" t="s">
        <v>335</v>
      </c>
      <c r="DN6" s="134" t="s">
        <v>335</v>
      </c>
      <c r="DO6" s="134" t="s">
        <v>335</v>
      </c>
      <c r="DP6" s="134" t="s">
        <v>335</v>
      </c>
      <c r="DQ6" s="134" t="s">
        <v>335</v>
      </c>
      <c r="DR6" s="134" t="s">
        <v>335</v>
      </c>
      <c r="DS6" s="134" t="s">
        <v>335</v>
      </c>
      <c r="DT6" s="135" t="s">
        <v>335</v>
      </c>
    </row>
    <row r="7" spans="1:129">
      <c r="A7" s="133" t="s">
        <v>276</v>
      </c>
      <c r="B7" s="134">
        <v>8</v>
      </c>
      <c r="C7" s="134">
        <v>0</v>
      </c>
      <c r="D7" s="134">
        <v>8</v>
      </c>
      <c r="E7" s="134">
        <v>6</v>
      </c>
      <c r="F7" s="134">
        <v>0</v>
      </c>
      <c r="G7" s="134">
        <v>0</v>
      </c>
      <c r="H7" s="134">
        <v>0</v>
      </c>
      <c r="I7" s="134">
        <v>0</v>
      </c>
      <c r="J7" s="134">
        <v>2</v>
      </c>
      <c r="K7" s="134">
        <v>2</v>
      </c>
      <c r="L7" s="134">
        <v>0</v>
      </c>
      <c r="M7" s="134">
        <v>1</v>
      </c>
      <c r="N7" s="134">
        <v>1</v>
      </c>
      <c r="O7" s="134">
        <v>0</v>
      </c>
      <c r="P7" s="134">
        <v>1</v>
      </c>
      <c r="Q7" s="134">
        <v>1</v>
      </c>
      <c r="R7" s="134">
        <v>0</v>
      </c>
      <c r="S7" s="134">
        <v>0</v>
      </c>
      <c r="T7" s="134">
        <v>0</v>
      </c>
      <c r="U7" s="134">
        <v>0</v>
      </c>
      <c r="V7" s="134">
        <v>0</v>
      </c>
      <c r="W7" s="134">
        <v>0</v>
      </c>
      <c r="X7" s="134">
        <v>0</v>
      </c>
      <c r="Y7" s="134">
        <v>8</v>
      </c>
      <c r="Z7" s="134">
        <v>8</v>
      </c>
      <c r="AA7" s="134">
        <v>0</v>
      </c>
      <c r="AB7" s="134">
        <v>4</v>
      </c>
      <c r="AC7" s="134">
        <v>4</v>
      </c>
      <c r="AD7" s="134">
        <v>0</v>
      </c>
      <c r="AE7" s="134">
        <v>1</v>
      </c>
      <c r="AF7" s="134">
        <v>1</v>
      </c>
      <c r="AG7" s="134">
        <v>0</v>
      </c>
      <c r="AH7" s="134">
        <v>2</v>
      </c>
      <c r="AI7" s="134">
        <v>2</v>
      </c>
      <c r="AJ7" s="134">
        <v>0</v>
      </c>
      <c r="AK7" s="134">
        <v>1</v>
      </c>
      <c r="AL7" s="134">
        <v>1</v>
      </c>
      <c r="AM7" s="134">
        <v>0</v>
      </c>
      <c r="AN7" s="134">
        <v>4</v>
      </c>
      <c r="AO7" s="134">
        <v>4</v>
      </c>
      <c r="AP7" s="134">
        <v>3</v>
      </c>
      <c r="AQ7" s="134">
        <v>71</v>
      </c>
      <c r="AR7" s="134">
        <v>74</v>
      </c>
      <c r="AS7" s="134">
        <v>3</v>
      </c>
      <c r="AT7" s="134">
        <v>71</v>
      </c>
      <c r="AU7" s="134">
        <v>74</v>
      </c>
      <c r="AV7" s="134">
        <v>0</v>
      </c>
      <c r="AW7" s="134">
        <v>0</v>
      </c>
      <c r="AX7" s="134">
        <v>0</v>
      </c>
      <c r="AY7" s="134">
        <v>1</v>
      </c>
      <c r="AZ7" s="134">
        <v>8</v>
      </c>
      <c r="BA7" s="134">
        <v>9</v>
      </c>
      <c r="BB7" s="134">
        <v>0</v>
      </c>
      <c r="BC7" s="134">
        <v>0</v>
      </c>
      <c r="BD7" s="134">
        <v>0</v>
      </c>
      <c r="BE7" s="134">
        <v>6</v>
      </c>
      <c r="BF7" s="134">
        <v>0</v>
      </c>
      <c r="BG7" s="134">
        <v>0</v>
      </c>
      <c r="BH7" s="134">
        <v>0</v>
      </c>
      <c r="BI7" s="134">
        <v>6</v>
      </c>
      <c r="BJ7" s="134">
        <v>6</v>
      </c>
      <c r="BK7" s="134">
        <v>1</v>
      </c>
      <c r="BL7" s="134">
        <v>-1</v>
      </c>
      <c r="BM7" s="134">
        <v>0</v>
      </c>
      <c r="BN7" s="134">
        <v>0</v>
      </c>
      <c r="BO7" s="134">
        <v>1</v>
      </c>
      <c r="BP7" s="134">
        <v>1</v>
      </c>
      <c r="BQ7" s="134">
        <v>0</v>
      </c>
      <c r="BR7" s="134">
        <v>2</v>
      </c>
      <c r="BS7" s="134">
        <v>2</v>
      </c>
      <c r="BT7" s="134">
        <v>0</v>
      </c>
      <c r="BU7" s="134">
        <v>0</v>
      </c>
      <c r="BV7" s="134">
        <v>0</v>
      </c>
      <c r="BW7" s="134">
        <v>4</v>
      </c>
      <c r="BX7" s="134">
        <v>79</v>
      </c>
      <c r="BY7" s="134">
        <v>83</v>
      </c>
      <c r="BZ7" s="134">
        <v>4</v>
      </c>
      <c r="CA7" s="134">
        <v>79</v>
      </c>
      <c r="CB7" s="134">
        <v>83</v>
      </c>
      <c r="CC7" s="134">
        <v>147</v>
      </c>
      <c r="CD7" s="134">
        <v>0</v>
      </c>
      <c r="CE7" s="134">
        <v>0</v>
      </c>
      <c r="CF7" s="134">
        <v>0</v>
      </c>
      <c r="CG7" s="134">
        <v>0</v>
      </c>
      <c r="CH7" s="134">
        <v>0</v>
      </c>
      <c r="CI7" s="134">
        <v>0</v>
      </c>
      <c r="CJ7" s="134">
        <v>0</v>
      </c>
      <c r="CK7" s="134">
        <v>0</v>
      </c>
      <c r="CL7" s="134">
        <v>0</v>
      </c>
      <c r="CM7" s="134">
        <v>0</v>
      </c>
      <c r="CN7" s="134">
        <v>1</v>
      </c>
      <c r="CO7" s="134">
        <v>6</v>
      </c>
      <c r="CP7" s="134">
        <v>7</v>
      </c>
      <c r="CQ7" s="134">
        <v>0</v>
      </c>
      <c r="CR7" s="134">
        <v>0</v>
      </c>
      <c r="CS7" s="134">
        <v>0</v>
      </c>
      <c r="CT7" s="134">
        <v>3</v>
      </c>
      <c r="CU7" s="134">
        <v>73</v>
      </c>
      <c r="CV7" s="134">
        <v>76</v>
      </c>
      <c r="CW7" s="134">
        <v>0</v>
      </c>
      <c r="CX7" s="134">
        <v>6</v>
      </c>
      <c r="CY7" s="134">
        <v>6</v>
      </c>
      <c r="CZ7" s="134">
        <v>0</v>
      </c>
      <c r="DA7" s="134">
        <v>0</v>
      </c>
      <c r="DB7" s="134">
        <v>0</v>
      </c>
      <c r="DC7" s="134">
        <v>6</v>
      </c>
      <c r="DD7" s="134">
        <v>0</v>
      </c>
      <c r="DE7" s="134">
        <v>0</v>
      </c>
      <c r="DF7" s="134">
        <v>0</v>
      </c>
      <c r="DG7" s="134">
        <v>6</v>
      </c>
      <c r="DH7" s="134">
        <v>6</v>
      </c>
      <c r="DI7" s="134">
        <v>0</v>
      </c>
      <c r="DJ7" s="134">
        <v>0</v>
      </c>
      <c r="DK7" s="134">
        <v>0</v>
      </c>
      <c r="DL7" s="134">
        <v>0</v>
      </c>
      <c r="DM7" s="134">
        <v>0</v>
      </c>
      <c r="DN7" s="134">
        <v>0</v>
      </c>
      <c r="DO7" s="134">
        <v>0</v>
      </c>
      <c r="DP7" s="134">
        <v>0</v>
      </c>
      <c r="DQ7" s="134">
        <v>0</v>
      </c>
      <c r="DR7" s="134">
        <v>0</v>
      </c>
      <c r="DS7" s="134">
        <v>0</v>
      </c>
      <c r="DT7" s="135">
        <v>0</v>
      </c>
    </row>
    <row r="8" spans="1:129">
      <c r="A8" s="133" t="s">
        <v>277</v>
      </c>
      <c r="B8" s="134">
        <v>133</v>
      </c>
      <c r="C8" s="134">
        <v>19</v>
      </c>
      <c r="D8" s="134">
        <v>120</v>
      </c>
      <c r="E8" s="134">
        <v>91</v>
      </c>
      <c r="F8" s="134">
        <v>0</v>
      </c>
      <c r="G8" s="134">
        <v>2</v>
      </c>
      <c r="H8" s="134">
        <v>2</v>
      </c>
      <c r="I8" s="134">
        <v>0</v>
      </c>
      <c r="J8" s="134">
        <v>24</v>
      </c>
      <c r="K8" s="134">
        <v>24</v>
      </c>
      <c r="L8" s="134">
        <v>0</v>
      </c>
      <c r="M8" s="134">
        <v>13</v>
      </c>
      <c r="N8" s="134">
        <v>13</v>
      </c>
      <c r="O8" s="134">
        <v>0</v>
      </c>
      <c r="P8" s="134">
        <v>11</v>
      </c>
      <c r="Q8" s="134">
        <v>11</v>
      </c>
      <c r="R8" s="134">
        <v>0</v>
      </c>
      <c r="S8" s="134">
        <v>0</v>
      </c>
      <c r="T8" s="134">
        <v>0</v>
      </c>
      <c r="U8" s="134">
        <v>0</v>
      </c>
      <c r="V8" s="134">
        <v>5</v>
      </c>
      <c r="W8" s="134">
        <v>5</v>
      </c>
      <c r="X8" s="134">
        <v>0</v>
      </c>
      <c r="Y8" s="134">
        <v>120</v>
      </c>
      <c r="Z8" s="134">
        <v>120</v>
      </c>
      <c r="AA8" s="134">
        <v>0</v>
      </c>
      <c r="AB8" s="134">
        <v>53</v>
      </c>
      <c r="AC8" s="134">
        <v>53</v>
      </c>
      <c r="AD8" s="134">
        <v>0</v>
      </c>
      <c r="AE8" s="134">
        <v>52</v>
      </c>
      <c r="AF8" s="134">
        <v>52</v>
      </c>
      <c r="AG8" s="134">
        <v>0</v>
      </c>
      <c r="AH8" s="134">
        <v>1</v>
      </c>
      <c r="AI8" s="134">
        <v>1</v>
      </c>
      <c r="AJ8" s="134">
        <v>0</v>
      </c>
      <c r="AK8" s="134">
        <v>0</v>
      </c>
      <c r="AL8" s="134">
        <v>0</v>
      </c>
      <c r="AM8" s="134">
        <v>0</v>
      </c>
      <c r="AN8" s="134">
        <v>67</v>
      </c>
      <c r="AO8" s="134">
        <v>67</v>
      </c>
      <c r="AP8" s="134">
        <v>115</v>
      </c>
      <c r="AQ8" s="134">
        <v>1425</v>
      </c>
      <c r="AR8" s="134">
        <v>1540</v>
      </c>
      <c r="AS8" s="134">
        <v>115</v>
      </c>
      <c r="AT8" s="134">
        <v>1425</v>
      </c>
      <c r="AU8" s="134">
        <v>1540</v>
      </c>
      <c r="AV8" s="134">
        <v>0</v>
      </c>
      <c r="AW8" s="134">
        <v>0</v>
      </c>
      <c r="AX8" s="134">
        <v>0</v>
      </c>
      <c r="AY8" s="134">
        <v>-1</v>
      </c>
      <c r="AZ8" s="134">
        <v>140</v>
      </c>
      <c r="BA8" s="134">
        <v>139</v>
      </c>
      <c r="BB8" s="134">
        <v>0</v>
      </c>
      <c r="BC8" s="134">
        <v>0</v>
      </c>
      <c r="BD8" s="134">
        <v>0</v>
      </c>
      <c r="BE8" s="134">
        <v>91</v>
      </c>
      <c r="BF8" s="134">
        <v>0</v>
      </c>
      <c r="BG8" s="134">
        <v>0</v>
      </c>
      <c r="BH8" s="134">
        <v>0</v>
      </c>
      <c r="BI8" s="134">
        <v>91</v>
      </c>
      <c r="BJ8" s="134">
        <v>91</v>
      </c>
      <c r="BK8" s="134">
        <v>-4</v>
      </c>
      <c r="BL8" s="134">
        <v>4</v>
      </c>
      <c r="BM8" s="134">
        <v>0</v>
      </c>
      <c r="BN8" s="134">
        <v>0</v>
      </c>
      <c r="BO8" s="134">
        <v>10</v>
      </c>
      <c r="BP8" s="134">
        <v>10</v>
      </c>
      <c r="BQ8" s="134">
        <v>1</v>
      </c>
      <c r="BR8" s="134">
        <v>12</v>
      </c>
      <c r="BS8" s="134">
        <v>13</v>
      </c>
      <c r="BT8" s="134">
        <v>2</v>
      </c>
      <c r="BU8" s="134">
        <v>23</v>
      </c>
      <c r="BV8" s="134">
        <v>25</v>
      </c>
      <c r="BW8" s="134">
        <v>114</v>
      </c>
      <c r="BX8" s="134">
        <v>1565</v>
      </c>
      <c r="BY8" s="134">
        <v>1679</v>
      </c>
      <c r="BZ8" s="134">
        <v>114</v>
      </c>
      <c r="CA8" s="134">
        <v>1564</v>
      </c>
      <c r="CB8" s="134">
        <v>1678</v>
      </c>
      <c r="CC8" s="134">
        <v>3045</v>
      </c>
      <c r="CD8" s="134">
        <v>0</v>
      </c>
      <c r="CE8" s="134">
        <v>1</v>
      </c>
      <c r="CF8" s="134">
        <v>0</v>
      </c>
      <c r="CG8" s="134">
        <v>1</v>
      </c>
      <c r="CH8" s="134">
        <v>1</v>
      </c>
      <c r="CI8" s="134">
        <v>0</v>
      </c>
      <c r="CJ8" s="134">
        <v>0</v>
      </c>
      <c r="CK8" s="134">
        <v>0</v>
      </c>
      <c r="CL8" s="134">
        <v>0</v>
      </c>
      <c r="CM8" s="134">
        <v>0</v>
      </c>
      <c r="CN8" s="134">
        <v>8</v>
      </c>
      <c r="CO8" s="134">
        <v>136</v>
      </c>
      <c r="CP8" s="134">
        <v>144</v>
      </c>
      <c r="CQ8" s="134">
        <v>0</v>
      </c>
      <c r="CR8" s="134">
        <v>0</v>
      </c>
      <c r="CS8" s="134">
        <v>0</v>
      </c>
      <c r="CT8" s="134">
        <v>106</v>
      </c>
      <c r="CU8" s="134">
        <v>1429</v>
      </c>
      <c r="CV8" s="134">
        <v>1535</v>
      </c>
      <c r="CW8" s="134">
        <v>8</v>
      </c>
      <c r="CX8" s="134">
        <v>45</v>
      </c>
      <c r="CY8" s="134">
        <v>53</v>
      </c>
      <c r="CZ8" s="134">
        <v>8</v>
      </c>
      <c r="DA8" s="134">
        <v>0</v>
      </c>
      <c r="DB8" s="134">
        <v>0</v>
      </c>
      <c r="DC8" s="134">
        <v>45</v>
      </c>
      <c r="DD8" s="134">
        <v>0</v>
      </c>
      <c r="DE8" s="134">
        <v>0</v>
      </c>
      <c r="DF8" s="134">
        <v>8</v>
      </c>
      <c r="DG8" s="134">
        <v>45</v>
      </c>
      <c r="DH8" s="134">
        <v>53</v>
      </c>
      <c r="DI8" s="134">
        <v>0</v>
      </c>
      <c r="DJ8" s="134">
        <v>0</v>
      </c>
      <c r="DK8" s="134">
        <v>0</v>
      </c>
      <c r="DL8" s="134">
        <v>0</v>
      </c>
      <c r="DM8" s="134">
        <v>0</v>
      </c>
      <c r="DN8" s="134">
        <v>0</v>
      </c>
      <c r="DO8" s="134">
        <v>0</v>
      </c>
      <c r="DP8" s="134">
        <v>0</v>
      </c>
      <c r="DQ8" s="134">
        <v>0</v>
      </c>
      <c r="DR8" s="134">
        <v>0</v>
      </c>
      <c r="DS8" s="134">
        <v>0</v>
      </c>
      <c r="DT8" s="135">
        <v>0</v>
      </c>
    </row>
    <row r="9" spans="1:129">
      <c r="A9" s="133" t="s">
        <v>278</v>
      </c>
      <c r="B9" s="134">
        <v>1615</v>
      </c>
      <c r="C9" s="134">
        <v>756</v>
      </c>
      <c r="D9" s="134">
        <v>1683</v>
      </c>
      <c r="E9" s="134">
        <v>904</v>
      </c>
      <c r="F9" s="134">
        <v>3</v>
      </c>
      <c r="G9" s="134">
        <v>112</v>
      </c>
      <c r="H9" s="134">
        <v>115</v>
      </c>
      <c r="I9" s="134">
        <v>0</v>
      </c>
      <c r="J9" s="134">
        <v>716</v>
      </c>
      <c r="K9" s="134">
        <v>716</v>
      </c>
      <c r="L9" s="134">
        <v>0</v>
      </c>
      <c r="M9" s="134">
        <v>76</v>
      </c>
      <c r="N9" s="134">
        <v>76</v>
      </c>
      <c r="O9" s="134">
        <v>0</v>
      </c>
      <c r="P9" s="134">
        <v>640</v>
      </c>
      <c r="Q9" s="134">
        <v>640</v>
      </c>
      <c r="R9" s="134">
        <v>0</v>
      </c>
      <c r="S9" s="134">
        <v>30</v>
      </c>
      <c r="T9" s="134">
        <v>30</v>
      </c>
      <c r="U9" s="134">
        <v>0</v>
      </c>
      <c r="V9" s="134">
        <v>63</v>
      </c>
      <c r="W9" s="134">
        <v>63</v>
      </c>
      <c r="X9" s="134">
        <v>27</v>
      </c>
      <c r="Y9" s="134">
        <v>1656</v>
      </c>
      <c r="Z9" s="134">
        <v>1683</v>
      </c>
      <c r="AA9" s="134">
        <v>20</v>
      </c>
      <c r="AB9" s="134">
        <v>654</v>
      </c>
      <c r="AC9" s="134">
        <v>674</v>
      </c>
      <c r="AD9" s="134">
        <v>19</v>
      </c>
      <c r="AE9" s="134">
        <v>612</v>
      </c>
      <c r="AF9" s="134">
        <v>631</v>
      </c>
      <c r="AG9" s="134">
        <v>1</v>
      </c>
      <c r="AH9" s="134">
        <v>21</v>
      </c>
      <c r="AI9" s="134">
        <v>22</v>
      </c>
      <c r="AJ9" s="134">
        <v>0</v>
      </c>
      <c r="AK9" s="134">
        <v>21</v>
      </c>
      <c r="AL9" s="134">
        <v>21</v>
      </c>
      <c r="AM9" s="134">
        <v>7</v>
      </c>
      <c r="AN9" s="134">
        <v>1002</v>
      </c>
      <c r="AO9" s="134">
        <v>1009</v>
      </c>
      <c r="AP9" s="134">
        <v>1484</v>
      </c>
      <c r="AQ9" s="134">
        <v>13801</v>
      </c>
      <c r="AR9" s="134">
        <v>15285</v>
      </c>
      <c r="AS9" s="134">
        <v>1484</v>
      </c>
      <c r="AT9" s="134">
        <v>13801</v>
      </c>
      <c r="AU9" s="134">
        <v>15285</v>
      </c>
      <c r="AV9" s="134">
        <v>0</v>
      </c>
      <c r="AW9" s="134">
        <v>0</v>
      </c>
      <c r="AX9" s="134">
        <v>0</v>
      </c>
      <c r="AY9" s="134">
        <v>72</v>
      </c>
      <c r="AZ9" s="134">
        <v>1512</v>
      </c>
      <c r="BA9" s="134">
        <v>1584</v>
      </c>
      <c r="BB9" s="134">
        <v>34</v>
      </c>
      <c r="BC9" s="134">
        <v>0</v>
      </c>
      <c r="BD9" s="134">
        <v>0</v>
      </c>
      <c r="BE9" s="134">
        <v>862</v>
      </c>
      <c r="BF9" s="134">
        <v>7</v>
      </c>
      <c r="BG9" s="134">
        <v>1</v>
      </c>
      <c r="BH9" s="134">
        <v>34</v>
      </c>
      <c r="BI9" s="134">
        <v>870</v>
      </c>
      <c r="BJ9" s="134">
        <v>904</v>
      </c>
      <c r="BK9" s="134">
        <v>-19</v>
      </c>
      <c r="BL9" s="134">
        <v>19</v>
      </c>
      <c r="BM9" s="134">
        <v>0</v>
      </c>
      <c r="BN9" s="134">
        <v>11</v>
      </c>
      <c r="BO9" s="134">
        <v>53</v>
      </c>
      <c r="BP9" s="134">
        <v>64</v>
      </c>
      <c r="BQ9" s="134">
        <v>7</v>
      </c>
      <c r="BR9" s="134">
        <v>142</v>
      </c>
      <c r="BS9" s="134">
        <v>149</v>
      </c>
      <c r="BT9" s="134">
        <v>39</v>
      </c>
      <c r="BU9" s="134">
        <v>428</v>
      </c>
      <c r="BV9" s="134">
        <v>467</v>
      </c>
      <c r="BW9" s="134">
        <v>1556</v>
      </c>
      <c r="BX9" s="134">
        <v>15313</v>
      </c>
      <c r="BY9" s="134">
        <v>16869</v>
      </c>
      <c r="BZ9" s="134">
        <v>1550</v>
      </c>
      <c r="CA9" s="134">
        <v>15246</v>
      </c>
      <c r="CB9" s="134">
        <v>16796</v>
      </c>
      <c r="CC9" s="134">
        <v>31134</v>
      </c>
      <c r="CD9" s="134">
        <v>4</v>
      </c>
      <c r="CE9" s="134">
        <v>47</v>
      </c>
      <c r="CF9" s="134">
        <v>6</v>
      </c>
      <c r="CG9" s="134">
        <v>42</v>
      </c>
      <c r="CH9" s="134">
        <v>48</v>
      </c>
      <c r="CI9" s="134">
        <v>25</v>
      </c>
      <c r="CJ9" s="134">
        <v>5</v>
      </c>
      <c r="CK9" s="134">
        <v>0</v>
      </c>
      <c r="CL9" s="134">
        <v>25</v>
      </c>
      <c r="CM9" s="134">
        <v>25</v>
      </c>
      <c r="CN9" s="134">
        <v>97</v>
      </c>
      <c r="CO9" s="134">
        <v>1466</v>
      </c>
      <c r="CP9" s="134">
        <v>1563</v>
      </c>
      <c r="CQ9" s="134">
        <v>0</v>
      </c>
      <c r="CR9" s="134">
        <v>26</v>
      </c>
      <c r="CS9" s="134">
        <v>26</v>
      </c>
      <c r="CT9" s="134">
        <v>1459</v>
      </c>
      <c r="CU9" s="134">
        <v>13847</v>
      </c>
      <c r="CV9" s="134">
        <v>15306</v>
      </c>
      <c r="CW9" s="134">
        <v>123</v>
      </c>
      <c r="CX9" s="134">
        <v>553</v>
      </c>
      <c r="CY9" s="134">
        <v>676</v>
      </c>
      <c r="CZ9" s="134">
        <v>122</v>
      </c>
      <c r="DA9" s="134">
        <v>1</v>
      </c>
      <c r="DB9" s="134">
        <v>0</v>
      </c>
      <c r="DC9" s="134">
        <v>543</v>
      </c>
      <c r="DD9" s="134">
        <v>1</v>
      </c>
      <c r="DE9" s="134">
        <v>2</v>
      </c>
      <c r="DF9" s="134">
        <v>123</v>
      </c>
      <c r="DG9" s="134">
        <v>546</v>
      </c>
      <c r="DH9" s="134">
        <v>669</v>
      </c>
      <c r="DI9" s="134">
        <v>0</v>
      </c>
      <c r="DJ9" s="134">
        <v>0</v>
      </c>
      <c r="DK9" s="134">
        <v>0</v>
      </c>
      <c r="DL9" s="134">
        <v>7</v>
      </c>
      <c r="DM9" s="134">
        <v>0</v>
      </c>
      <c r="DN9" s="134">
        <v>0</v>
      </c>
      <c r="DO9" s="134">
        <v>0</v>
      </c>
      <c r="DP9" s="134">
        <v>7</v>
      </c>
      <c r="DQ9" s="134">
        <v>7</v>
      </c>
      <c r="DR9" s="134">
        <v>0</v>
      </c>
      <c r="DS9" s="134">
        <v>0</v>
      </c>
      <c r="DT9" s="135">
        <v>0</v>
      </c>
    </row>
    <row r="10" spans="1:129">
      <c r="A10" s="133" t="s">
        <v>279</v>
      </c>
      <c r="B10" s="134">
        <v>165</v>
      </c>
      <c r="C10" s="134">
        <v>39</v>
      </c>
      <c r="D10" s="134">
        <v>180</v>
      </c>
      <c r="E10" s="134">
        <v>118</v>
      </c>
      <c r="F10" s="134">
        <v>0</v>
      </c>
      <c r="G10" s="134">
        <v>3</v>
      </c>
      <c r="H10" s="134">
        <v>3</v>
      </c>
      <c r="I10" s="134">
        <v>0</v>
      </c>
      <c r="J10" s="134">
        <v>56</v>
      </c>
      <c r="K10" s="134">
        <v>56</v>
      </c>
      <c r="L10" s="134">
        <v>0</v>
      </c>
      <c r="M10" s="134">
        <v>18</v>
      </c>
      <c r="N10" s="134">
        <v>18</v>
      </c>
      <c r="O10" s="134">
        <v>0</v>
      </c>
      <c r="P10" s="134">
        <v>38</v>
      </c>
      <c r="Q10" s="134">
        <v>38</v>
      </c>
      <c r="R10" s="134">
        <v>0</v>
      </c>
      <c r="S10" s="134">
        <v>3</v>
      </c>
      <c r="T10" s="134">
        <v>3</v>
      </c>
      <c r="U10" s="134">
        <v>0</v>
      </c>
      <c r="V10" s="134">
        <v>6</v>
      </c>
      <c r="W10" s="134">
        <v>6</v>
      </c>
      <c r="X10" s="134">
        <v>3</v>
      </c>
      <c r="Y10" s="134">
        <v>177</v>
      </c>
      <c r="Z10" s="134">
        <v>180</v>
      </c>
      <c r="AA10" s="134">
        <v>1</v>
      </c>
      <c r="AB10" s="134">
        <v>77</v>
      </c>
      <c r="AC10" s="134">
        <v>78</v>
      </c>
      <c r="AD10" s="134">
        <v>0</v>
      </c>
      <c r="AE10" s="134">
        <v>71</v>
      </c>
      <c r="AF10" s="134">
        <v>71</v>
      </c>
      <c r="AG10" s="134">
        <v>0</v>
      </c>
      <c r="AH10" s="134">
        <v>1</v>
      </c>
      <c r="AI10" s="134">
        <v>1</v>
      </c>
      <c r="AJ10" s="134">
        <v>1</v>
      </c>
      <c r="AK10" s="134">
        <v>5</v>
      </c>
      <c r="AL10" s="134">
        <v>6</v>
      </c>
      <c r="AM10" s="134">
        <v>2</v>
      </c>
      <c r="AN10" s="134">
        <v>100</v>
      </c>
      <c r="AO10" s="134">
        <v>102</v>
      </c>
      <c r="AP10" s="134">
        <v>196</v>
      </c>
      <c r="AQ10" s="134">
        <v>2446</v>
      </c>
      <c r="AR10" s="134">
        <v>2642</v>
      </c>
      <c r="AS10" s="134">
        <v>196</v>
      </c>
      <c r="AT10" s="134">
        <v>2446</v>
      </c>
      <c r="AU10" s="134">
        <v>2642</v>
      </c>
      <c r="AV10" s="134">
        <v>0</v>
      </c>
      <c r="AW10" s="134">
        <v>0</v>
      </c>
      <c r="AX10" s="134">
        <v>0</v>
      </c>
      <c r="AY10" s="134">
        <v>20</v>
      </c>
      <c r="AZ10" s="134">
        <v>186</v>
      </c>
      <c r="BA10" s="134">
        <v>206</v>
      </c>
      <c r="BB10" s="134">
        <v>4</v>
      </c>
      <c r="BC10" s="134">
        <v>0</v>
      </c>
      <c r="BD10" s="134">
        <v>0</v>
      </c>
      <c r="BE10" s="134">
        <v>113</v>
      </c>
      <c r="BF10" s="134">
        <v>1</v>
      </c>
      <c r="BG10" s="134">
        <v>0</v>
      </c>
      <c r="BH10" s="134">
        <v>4</v>
      </c>
      <c r="BI10" s="134">
        <v>114</v>
      </c>
      <c r="BJ10" s="134">
        <v>118</v>
      </c>
      <c r="BK10" s="134">
        <v>10</v>
      </c>
      <c r="BL10" s="134">
        <v>-10</v>
      </c>
      <c r="BM10" s="134">
        <v>0</v>
      </c>
      <c r="BN10" s="134">
        <v>2</v>
      </c>
      <c r="BO10" s="134">
        <v>10</v>
      </c>
      <c r="BP10" s="134">
        <v>12</v>
      </c>
      <c r="BQ10" s="134">
        <v>0</v>
      </c>
      <c r="BR10" s="134">
        <v>28</v>
      </c>
      <c r="BS10" s="134">
        <v>28</v>
      </c>
      <c r="BT10" s="134">
        <v>4</v>
      </c>
      <c r="BU10" s="134">
        <v>44</v>
      </c>
      <c r="BV10" s="134">
        <v>48</v>
      </c>
      <c r="BW10" s="134">
        <v>216</v>
      </c>
      <c r="BX10" s="134">
        <v>2632</v>
      </c>
      <c r="BY10" s="134">
        <v>2848</v>
      </c>
      <c r="BZ10" s="134">
        <v>216</v>
      </c>
      <c r="CA10" s="134">
        <v>2624</v>
      </c>
      <c r="CB10" s="134">
        <v>2840</v>
      </c>
      <c r="CC10" s="134">
        <v>5099</v>
      </c>
      <c r="CD10" s="134">
        <v>1</v>
      </c>
      <c r="CE10" s="134">
        <v>5</v>
      </c>
      <c r="CF10" s="134">
        <v>0</v>
      </c>
      <c r="CG10" s="134">
        <v>5</v>
      </c>
      <c r="CH10" s="134">
        <v>5</v>
      </c>
      <c r="CI10" s="134">
        <v>4</v>
      </c>
      <c r="CJ10" s="134">
        <v>0</v>
      </c>
      <c r="CK10" s="134">
        <v>0</v>
      </c>
      <c r="CL10" s="134">
        <v>3</v>
      </c>
      <c r="CM10" s="134">
        <v>3</v>
      </c>
      <c r="CN10" s="134">
        <v>21</v>
      </c>
      <c r="CO10" s="134">
        <v>214</v>
      </c>
      <c r="CP10" s="134">
        <v>235</v>
      </c>
      <c r="CQ10" s="134">
        <v>0</v>
      </c>
      <c r="CR10" s="134">
        <v>1</v>
      </c>
      <c r="CS10" s="134">
        <v>1</v>
      </c>
      <c r="CT10" s="134">
        <v>195</v>
      </c>
      <c r="CU10" s="134">
        <v>2418</v>
      </c>
      <c r="CV10" s="134">
        <v>2613</v>
      </c>
      <c r="CW10" s="134">
        <v>15</v>
      </c>
      <c r="CX10" s="134">
        <v>81</v>
      </c>
      <c r="CY10" s="134">
        <v>96</v>
      </c>
      <c r="CZ10" s="134">
        <v>15</v>
      </c>
      <c r="DA10" s="134">
        <v>0</v>
      </c>
      <c r="DB10" s="134">
        <v>0</v>
      </c>
      <c r="DC10" s="134">
        <v>81</v>
      </c>
      <c r="DD10" s="134">
        <v>0</v>
      </c>
      <c r="DE10" s="134">
        <v>0</v>
      </c>
      <c r="DF10" s="134">
        <v>15</v>
      </c>
      <c r="DG10" s="134">
        <v>81</v>
      </c>
      <c r="DH10" s="134">
        <v>96</v>
      </c>
      <c r="DI10" s="134">
        <v>0</v>
      </c>
      <c r="DJ10" s="134">
        <v>0</v>
      </c>
      <c r="DK10" s="134">
        <v>0</v>
      </c>
      <c r="DL10" s="134">
        <v>0</v>
      </c>
      <c r="DM10" s="134">
        <v>0</v>
      </c>
      <c r="DN10" s="134">
        <v>0</v>
      </c>
      <c r="DO10" s="134">
        <v>0</v>
      </c>
      <c r="DP10" s="134">
        <v>0</v>
      </c>
      <c r="DQ10" s="134">
        <v>0</v>
      </c>
      <c r="DR10" s="134">
        <v>0</v>
      </c>
      <c r="DS10" s="134">
        <v>0</v>
      </c>
      <c r="DT10" s="135">
        <v>0</v>
      </c>
    </row>
    <row r="11" spans="1:129">
      <c r="A11" s="133" t="s">
        <v>280</v>
      </c>
      <c r="B11" s="134">
        <v>58</v>
      </c>
      <c r="C11" s="134">
        <v>7</v>
      </c>
      <c r="D11" s="134">
        <v>52</v>
      </c>
      <c r="E11" s="134">
        <v>27</v>
      </c>
      <c r="F11" s="134">
        <v>0</v>
      </c>
      <c r="G11" s="134">
        <v>0</v>
      </c>
      <c r="H11" s="134">
        <v>0</v>
      </c>
      <c r="I11" s="134">
        <v>0</v>
      </c>
      <c r="J11" s="134">
        <v>24</v>
      </c>
      <c r="K11" s="134">
        <v>24</v>
      </c>
      <c r="L11" s="134">
        <v>0</v>
      </c>
      <c r="M11" s="134">
        <v>10</v>
      </c>
      <c r="N11" s="134">
        <v>10</v>
      </c>
      <c r="O11" s="134">
        <v>0</v>
      </c>
      <c r="P11" s="134">
        <v>14</v>
      </c>
      <c r="Q11" s="134">
        <v>14</v>
      </c>
      <c r="R11" s="134">
        <v>0</v>
      </c>
      <c r="S11" s="134">
        <v>0</v>
      </c>
      <c r="T11" s="134">
        <v>0</v>
      </c>
      <c r="U11" s="134">
        <v>0</v>
      </c>
      <c r="V11" s="134">
        <v>1</v>
      </c>
      <c r="W11" s="134">
        <v>1</v>
      </c>
      <c r="X11" s="134">
        <v>3</v>
      </c>
      <c r="Y11" s="134">
        <v>49</v>
      </c>
      <c r="Z11" s="134">
        <v>52</v>
      </c>
      <c r="AA11" s="134">
        <v>1</v>
      </c>
      <c r="AB11" s="134">
        <v>20</v>
      </c>
      <c r="AC11" s="134">
        <v>21</v>
      </c>
      <c r="AD11" s="134">
        <v>1</v>
      </c>
      <c r="AE11" s="134">
        <v>18</v>
      </c>
      <c r="AF11" s="134">
        <v>19</v>
      </c>
      <c r="AG11" s="134">
        <v>0</v>
      </c>
      <c r="AH11" s="134">
        <v>2</v>
      </c>
      <c r="AI11" s="134">
        <v>2</v>
      </c>
      <c r="AJ11" s="134">
        <v>0</v>
      </c>
      <c r="AK11" s="134">
        <v>0</v>
      </c>
      <c r="AL11" s="134">
        <v>0</v>
      </c>
      <c r="AM11" s="134">
        <v>2</v>
      </c>
      <c r="AN11" s="134">
        <v>29</v>
      </c>
      <c r="AO11" s="134">
        <v>31</v>
      </c>
      <c r="AP11" s="134">
        <v>72</v>
      </c>
      <c r="AQ11" s="134">
        <v>576</v>
      </c>
      <c r="AR11" s="134">
        <v>648</v>
      </c>
      <c r="AS11" s="134">
        <v>72</v>
      </c>
      <c r="AT11" s="134">
        <v>576</v>
      </c>
      <c r="AU11" s="134">
        <v>648</v>
      </c>
      <c r="AV11" s="134">
        <v>0</v>
      </c>
      <c r="AW11" s="134">
        <v>0</v>
      </c>
      <c r="AX11" s="134">
        <v>0</v>
      </c>
      <c r="AY11" s="134">
        <v>0</v>
      </c>
      <c r="AZ11" s="134">
        <v>54</v>
      </c>
      <c r="BA11" s="134">
        <v>54</v>
      </c>
      <c r="BB11" s="134">
        <v>2</v>
      </c>
      <c r="BC11" s="134">
        <v>0</v>
      </c>
      <c r="BD11" s="134">
        <v>0</v>
      </c>
      <c r="BE11" s="134">
        <v>25</v>
      </c>
      <c r="BF11" s="134">
        <v>0</v>
      </c>
      <c r="BG11" s="134">
        <v>0</v>
      </c>
      <c r="BH11" s="134">
        <v>2</v>
      </c>
      <c r="BI11" s="134">
        <v>25</v>
      </c>
      <c r="BJ11" s="134">
        <v>27</v>
      </c>
      <c r="BK11" s="134">
        <v>-3</v>
      </c>
      <c r="BL11" s="134">
        <v>3</v>
      </c>
      <c r="BM11" s="134">
        <v>0</v>
      </c>
      <c r="BN11" s="134">
        <v>1</v>
      </c>
      <c r="BO11" s="134">
        <v>2</v>
      </c>
      <c r="BP11" s="134">
        <v>3</v>
      </c>
      <c r="BQ11" s="134">
        <v>0</v>
      </c>
      <c r="BR11" s="134">
        <v>3</v>
      </c>
      <c r="BS11" s="134">
        <v>3</v>
      </c>
      <c r="BT11" s="134">
        <v>0</v>
      </c>
      <c r="BU11" s="134">
        <v>21</v>
      </c>
      <c r="BV11" s="134">
        <v>21</v>
      </c>
      <c r="BW11" s="134">
        <v>72</v>
      </c>
      <c r="BX11" s="134">
        <v>630</v>
      </c>
      <c r="BY11" s="134">
        <v>702</v>
      </c>
      <c r="BZ11" s="134">
        <v>71</v>
      </c>
      <c r="CA11" s="134">
        <v>626</v>
      </c>
      <c r="CB11" s="134">
        <v>697</v>
      </c>
      <c r="CC11" s="134">
        <v>1526</v>
      </c>
      <c r="CD11" s="134">
        <v>0</v>
      </c>
      <c r="CE11" s="134">
        <v>5</v>
      </c>
      <c r="CF11" s="134">
        <v>1</v>
      </c>
      <c r="CG11" s="134">
        <v>3</v>
      </c>
      <c r="CH11" s="134">
        <v>4</v>
      </c>
      <c r="CI11" s="134">
        <v>1</v>
      </c>
      <c r="CJ11" s="134">
        <v>0</v>
      </c>
      <c r="CK11" s="134">
        <v>0</v>
      </c>
      <c r="CL11" s="134">
        <v>1</v>
      </c>
      <c r="CM11" s="134">
        <v>1</v>
      </c>
      <c r="CN11" s="134">
        <v>7</v>
      </c>
      <c r="CO11" s="134">
        <v>56</v>
      </c>
      <c r="CP11" s="134">
        <v>63</v>
      </c>
      <c r="CQ11" s="134">
        <v>0</v>
      </c>
      <c r="CR11" s="134">
        <v>0</v>
      </c>
      <c r="CS11" s="134">
        <v>0</v>
      </c>
      <c r="CT11" s="134">
        <v>65</v>
      </c>
      <c r="CU11" s="134">
        <v>574</v>
      </c>
      <c r="CV11" s="134">
        <v>639</v>
      </c>
      <c r="CW11" s="134">
        <v>7</v>
      </c>
      <c r="CX11" s="134">
        <v>10</v>
      </c>
      <c r="CY11" s="134">
        <v>17</v>
      </c>
      <c r="CZ11" s="134">
        <v>7</v>
      </c>
      <c r="DA11" s="134">
        <v>0</v>
      </c>
      <c r="DB11" s="134">
        <v>0</v>
      </c>
      <c r="DC11" s="134">
        <v>9</v>
      </c>
      <c r="DD11" s="134">
        <v>1</v>
      </c>
      <c r="DE11" s="134">
        <v>0</v>
      </c>
      <c r="DF11" s="134">
        <v>7</v>
      </c>
      <c r="DG11" s="134">
        <v>10</v>
      </c>
      <c r="DH11" s="134">
        <v>17</v>
      </c>
      <c r="DI11" s="134">
        <v>0</v>
      </c>
      <c r="DJ11" s="134">
        <v>0</v>
      </c>
      <c r="DK11" s="134">
        <v>0</v>
      </c>
      <c r="DL11" s="134">
        <v>0</v>
      </c>
      <c r="DM11" s="134">
        <v>0</v>
      </c>
      <c r="DN11" s="134">
        <v>0</v>
      </c>
      <c r="DO11" s="134">
        <v>0</v>
      </c>
      <c r="DP11" s="134">
        <v>0</v>
      </c>
      <c r="DQ11" s="134">
        <v>0</v>
      </c>
      <c r="DR11" s="134">
        <v>0</v>
      </c>
      <c r="DS11" s="134">
        <v>0</v>
      </c>
      <c r="DT11" s="135">
        <v>0</v>
      </c>
    </row>
    <row r="12" spans="1:129">
      <c r="A12" s="133" t="s">
        <v>281</v>
      </c>
      <c r="B12" s="134">
        <v>2482</v>
      </c>
      <c r="C12" s="134">
        <v>1033</v>
      </c>
      <c r="D12" s="134">
        <v>2207</v>
      </c>
      <c r="E12" s="134">
        <v>1062</v>
      </c>
      <c r="F12" s="134">
        <v>2</v>
      </c>
      <c r="G12" s="134">
        <v>22</v>
      </c>
      <c r="H12" s="134">
        <v>24</v>
      </c>
      <c r="I12" s="134">
        <v>0</v>
      </c>
      <c r="J12" s="134">
        <v>1035</v>
      </c>
      <c r="K12" s="134">
        <v>1035</v>
      </c>
      <c r="L12" s="134">
        <v>0</v>
      </c>
      <c r="M12" s="134">
        <v>262</v>
      </c>
      <c r="N12" s="134">
        <v>262</v>
      </c>
      <c r="O12" s="134">
        <v>0</v>
      </c>
      <c r="P12" s="134">
        <v>773</v>
      </c>
      <c r="Q12" s="134">
        <v>773</v>
      </c>
      <c r="R12" s="134">
        <v>0</v>
      </c>
      <c r="S12" s="134">
        <v>93</v>
      </c>
      <c r="T12" s="134">
        <v>93</v>
      </c>
      <c r="U12" s="134">
        <v>0</v>
      </c>
      <c r="V12" s="134">
        <v>110</v>
      </c>
      <c r="W12" s="134">
        <v>110</v>
      </c>
      <c r="X12" s="134">
        <v>39</v>
      </c>
      <c r="Y12" s="134">
        <v>962</v>
      </c>
      <c r="Z12" s="134">
        <v>1001</v>
      </c>
      <c r="AA12" s="134">
        <v>22</v>
      </c>
      <c r="AB12" s="134">
        <v>442</v>
      </c>
      <c r="AC12" s="134">
        <v>464</v>
      </c>
      <c r="AD12" s="134">
        <v>22</v>
      </c>
      <c r="AE12" s="134">
        <v>430</v>
      </c>
      <c r="AF12" s="134">
        <v>452</v>
      </c>
      <c r="AG12" s="134">
        <v>0</v>
      </c>
      <c r="AH12" s="134">
        <v>8</v>
      </c>
      <c r="AI12" s="134">
        <v>8</v>
      </c>
      <c r="AJ12" s="134">
        <v>0</v>
      </c>
      <c r="AK12" s="134">
        <v>4</v>
      </c>
      <c r="AL12" s="134">
        <v>4</v>
      </c>
      <c r="AM12" s="134">
        <v>17</v>
      </c>
      <c r="AN12" s="134">
        <v>520</v>
      </c>
      <c r="AO12" s="134">
        <v>537</v>
      </c>
      <c r="AP12" s="134">
        <v>3448</v>
      </c>
      <c r="AQ12" s="134">
        <v>25773</v>
      </c>
      <c r="AR12" s="134">
        <v>29221</v>
      </c>
      <c r="AS12" s="134">
        <v>3420</v>
      </c>
      <c r="AT12" s="134">
        <v>25483</v>
      </c>
      <c r="AU12" s="134">
        <v>28903</v>
      </c>
      <c r="AV12" s="134">
        <v>28</v>
      </c>
      <c r="AW12" s="134">
        <v>290</v>
      </c>
      <c r="AX12" s="134">
        <v>318</v>
      </c>
      <c r="AY12" s="134">
        <v>165</v>
      </c>
      <c r="AZ12" s="134">
        <v>2361</v>
      </c>
      <c r="BA12" s="134">
        <v>2526</v>
      </c>
      <c r="BB12" s="134">
        <v>97</v>
      </c>
      <c r="BC12" s="134">
        <v>2</v>
      </c>
      <c r="BD12" s="134">
        <v>0</v>
      </c>
      <c r="BE12" s="134">
        <v>938</v>
      </c>
      <c r="BF12" s="134">
        <v>14</v>
      </c>
      <c r="BG12" s="134">
        <v>11</v>
      </c>
      <c r="BH12" s="134">
        <v>99</v>
      </c>
      <c r="BI12" s="134">
        <v>963</v>
      </c>
      <c r="BJ12" s="134">
        <v>1062</v>
      </c>
      <c r="BK12" s="134">
        <v>-77</v>
      </c>
      <c r="BL12" s="134">
        <v>77</v>
      </c>
      <c r="BM12" s="134">
        <v>0</v>
      </c>
      <c r="BN12" s="134">
        <v>27</v>
      </c>
      <c r="BO12" s="134">
        <v>74</v>
      </c>
      <c r="BP12" s="134">
        <v>101</v>
      </c>
      <c r="BQ12" s="134">
        <v>7</v>
      </c>
      <c r="BR12" s="134">
        <v>33</v>
      </c>
      <c r="BS12" s="134">
        <v>40</v>
      </c>
      <c r="BT12" s="134">
        <v>109</v>
      </c>
      <c r="BU12" s="134">
        <v>1214</v>
      </c>
      <c r="BV12" s="134">
        <v>1323</v>
      </c>
      <c r="BW12" s="134">
        <v>3613</v>
      </c>
      <c r="BX12" s="134">
        <v>28134</v>
      </c>
      <c r="BY12" s="134">
        <v>31747</v>
      </c>
      <c r="BZ12" s="134">
        <v>3511</v>
      </c>
      <c r="CA12" s="134">
        <v>27590</v>
      </c>
      <c r="CB12" s="134">
        <v>31101</v>
      </c>
      <c r="CC12" s="134">
        <v>63598</v>
      </c>
      <c r="CD12" s="134">
        <v>30</v>
      </c>
      <c r="CE12" s="134">
        <v>675</v>
      </c>
      <c r="CF12" s="134">
        <v>99</v>
      </c>
      <c r="CG12" s="134">
        <v>408</v>
      </c>
      <c r="CH12" s="134">
        <v>507</v>
      </c>
      <c r="CI12" s="134">
        <v>172</v>
      </c>
      <c r="CJ12" s="134">
        <v>18</v>
      </c>
      <c r="CK12" s="134">
        <v>3</v>
      </c>
      <c r="CL12" s="134">
        <v>136</v>
      </c>
      <c r="CM12" s="134">
        <v>139</v>
      </c>
      <c r="CN12" s="134">
        <v>206</v>
      </c>
      <c r="CO12" s="134">
        <v>2581</v>
      </c>
      <c r="CP12" s="134">
        <v>2787</v>
      </c>
      <c r="CQ12" s="134">
        <v>0</v>
      </c>
      <c r="CR12" s="134">
        <v>0</v>
      </c>
      <c r="CS12" s="134">
        <v>0</v>
      </c>
      <c r="CT12" s="134">
        <v>3407</v>
      </c>
      <c r="CU12" s="134">
        <v>25553</v>
      </c>
      <c r="CV12" s="134">
        <v>28960</v>
      </c>
      <c r="CW12" s="134">
        <v>258</v>
      </c>
      <c r="CX12" s="134">
        <v>1201</v>
      </c>
      <c r="CY12" s="134">
        <v>1459</v>
      </c>
      <c r="CZ12" s="134">
        <v>242</v>
      </c>
      <c r="DA12" s="134">
        <v>11</v>
      </c>
      <c r="DB12" s="134">
        <v>0</v>
      </c>
      <c r="DC12" s="134">
        <v>1139</v>
      </c>
      <c r="DD12" s="134">
        <v>17</v>
      </c>
      <c r="DE12" s="134">
        <v>2</v>
      </c>
      <c r="DF12" s="134">
        <v>253</v>
      </c>
      <c r="DG12" s="134">
        <v>1158</v>
      </c>
      <c r="DH12" s="134">
        <v>1411</v>
      </c>
      <c r="DI12" s="134">
        <v>5</v>
      </c>
      <c r="DJ12" s="134">
        <v>0</v>
      </c>
      <c r="DK12" s="134">
        <v>0</v>
      </c>
      <c r="DL12" s="134">
        <v>40</v>
      </c>
      <c r="DM12" s="134">
        <v>2</v>
      </c>
      <c r="DN12" s="134">
        <v>1</v>
      </c>
      <c r="DO12" s="134">
        <v>5</v>
      </c>
      <c r="DP12" s="134">
        <v>43</v>
      </c>
      <c r="DQ12" s="134">
        <v>48</v>
      </c>
      <c r="DR12" s="134">
        <v>3</v>
      </c>
      <c r="DS12" s="134">
        <v>13</v>
      </c>
      <c r="DT12" s="135">
        <v>16</v>
      </c>
    </row>
    <row r="13" spans="1:129">
      <c r="A13" s="133" t="s">
        <v>282</v>
      </c>
      <c r="B13" s="134">
        <v>167</v>
      </c>
      <c r="C13" s="134">
        <v>23</v>
      </c>
      <c r="D13" s="134">
        <v>189</v>
      </c>
      <c r="E13" s="134">
        <v>106</v>
      </c>
      <c r="F13" s="134">
        <v>0</v>
      </c>
      <c r="G13" s="134">
        <v>2</v>
      </c>
      <c r="H13" s="134">
        <v>2</v>
      </c>
      <c r="I13" s="134">
        <v>0</v>
      </c>
      <c r="J13" s="134">
        <v>77</v>
      </c>
      <c r="K13" s="134">
        <v>77</v>
      </c>
      <c r="L13" s="134">
        <v>0</v>
      </c>
      <c r="M13" s="134">
        <v>31</v>
      </c>
      <c r="N13" s="134">
        <v>31</v>
      </c>
      <c r="O13" s="134">
        <v>0</v>
      </c>
      <c r="P13" s="134">
        <v>46</v>
      </c>
      <c r="Q13" s="134">
        <v>46</v>
      </c>
      <c r="R13" s="134">
        <v>0</v>
      </c>
      <c r="S13" s="134">
        <v>0</v>
      </c>
      <c r="T13" s="134">
        <v>0</v>
      </c>
      <c r="U13" s="134">
        <v>0</v>
      </c>
      <c r="V13" s="134">
        <v>6</v>
      </c>
      <c r="W13" s="134">
        <v>6</v>
      </c>
      <c r="X13" s="134">
        <v>4</v>
      </c>
      <c r="Y13" s="134">
        <v>185</v>
      </c>
      <c r="Z13" s="134">
        <v>189</v>
      </c>
      <c r="AA13" s="134">
        <v>3</v>
      </c>
      <c r="AB13" s="134">
        <v>74</v>
      </c>
      <c r="AC13" s="134">
        <v>77</v>
      </c>
      <c r="AD13" s="134">
        <v>3</v>
      </c>
      <c r="AE13" s="134">
        <v>69</v>
      </c>
      <c r="AF13" s="134">
        <v>72</v>
      </c>
      <c r="AG13" s="134">
        <v>0</v>
      </c>
      <c r="AH13" s="134">
        <v>2</v>
      </c>
      <c r="AI13" s="134">
        <v>2</v>
      </c>
      <c r="AJ13" s="134">
        <v>0</v>
      </c>
      <c r="AK13" s="134">
        <v>3</v>
      </c>
      <c r="AL13" s="134">
        <v>3</v>
      </c>
      <c r="AM13" s="134">
        <v>1</v>
      </c>
      <c r="AN13" s="134">
        <v>111</v>
      </c>
      <c r="AO13" s="134">
        <v>112</v>
      </c>
      <c r="AP13" s="134">
        <v>346</v>
      </c>
      <c r="AQ13" s="134">
        <v>2061</v>
      </c>
      <c r="AR13" s="134">
        <v>2407</v>
      </c>
      <c r="AS13" s="134">
        <v>346</v>
      </c>
      <c r="AT13" s="134">
        <v>2061</v>
      </c>
      <c r="AU13" s="134">
        <v>2407</v>
      </c>
      <c r="AV13" s="134">
        <v>0</v>
      </c>
      <c r="AW13" s="134">
        <v>0</v>
      </c>
      <c r="AX13" s="134">
        <v>0</v>
      </c>
      <c r="AY13" s="134">
        <v>10</v>
      </c>
      <c r="AZ13" s="134">
        <v>205</v>
      </c>
      <c r="BA13" s="134">
        <v>215</v>
      </c>
      <c r="BB13" s="134">
        <v>4</v>
      </c>
      <c r="BC13" s="134">
        <v>0</v>
      </c>
      <c r="BD13" s="134">
        <v>0</v>
      </c>
      <c r="BE13" s="134">
        <v>102</v>
      </c>
      <c r="BF13" s="134">
        <v>0</v>
      </c>
      <c r="BG13" s="134">
        <v>0</v>
      </c>
      <c r="BH13" s="134">
        <v>4</v>
      </c>
      <c r="BI13" s="134">
        <v>102</v>
      </c>
      <c r="BJ13" s="134">
        <v>106</v>
      </c>
      <c r="BK13" s="134">
        <v>-4</v>
      </c>
      <c r="BL13" s="134">
        <v>4</v>
      </c>
      <c r="BM13" s="134">
        <v>0</v>
      </c>
      <c r="BN13" s="134">
        <v>4</v>
      </c>
      <c r="BO13" s="134">
        <v>8</v>
      </c>
      <c r="BP13" s="134">
        <v>12</v>
      </c>
      <c r="BQ13" s="134">
        <v>1</v>
      </c>
      <c r="BR13" s="134">
        <v>17</v>
      </c>
      <c r="BS13" s="134">
        <v>18</v>
      </c>
      <c r="BT13" s="134">
        <v>5</v>
      </c>
      <c r="BU13" s="134">
        <v>74</v>
      </c>
      <c r="BV13" s="134">
        <v>79</v>
      </c>
      <c r="BW13" s="134">
        <v>356</v>
      </c>
      <c r="BX13" s="134">
        <v>2266</v>
      </c>
      <c r="BY13" s="134">
        <v>2622</v>
      </c>
      <c r="BZ13" s="134">
        <v>356</v>
      </c>
      <c r="CA13" s="134">
        <v>2264</v>
      </c>
      <c r="CB13" s="134">
        <v>2620</v>
      </c>
      <c r="CC13" s="134">
        <v>5313</v>
      </c>
      <c r="CD13" s="134">
        <v>0</v>
      </c>
      <c r="CE13" s="134">
        <v>1</v>
      </c>
      <c r="CF13" s="134">
        <v>0</v>
      </c>
      <c r="CG13" s="134">
        <v>1</v>
      </c>
      <c r="CH13" s="134">
        <v>1</v>
      </c>
      <c r="CI13" s="134">
        <v>0</v>
      </c>
      <c r="CJ13" s="134">
        <v>3</v>
      </c>
      <c r="CK13" s="134">
        <v>0</v>
      </c>
      <c r="CL13" s="134">
        <v>1</v>
      </c>
      <c r="CM13" s="134">
        <v>1</v>
      </c>
      <c r="CN13" s="134">
        <v>25</v>
      </c>
      <c r="CO13" s="134">
        <v>192</v>
      </c>
      <c r="CP13" s="134">
        <v>217</v>
      </c>
      <c r="CQ13" s="134">
        <v>0</v>
      </c>
      <c r="CR13" s="134">
        <v>1</v>
      </c>
      <c r="CS13" s="134">
        <v>1</v>
      </c>
      <c r="CT13" s="134">
        <v>331</v>
      </c>
      <c r="CU13" s="134">
        <v>2074</v>
      </c>
      <c r="CV13" s="134">
        <v>2405</v>
      </c>
      <c r="CW13" s="134">
        <v>25</v>
      </c>
      <c r="CX13" s="134">
        <v>85</v>
      </c>
      <c r="CY13" s="134">
        <v>110</v>
      </c>
      <c r="CZ13" s="134">
        <v>25</v>
      </c>
      <c r="DA13" s="134">
        <v>0</v>
      </c>
      <c r="DB13" s="134">
        <v>0</v>
      </c>
      <c r="DC13" s="134">
        <v>85</v>
      </c>
      <c r="DD13" s="134">
        <v>0</v>
      </c>
      <c r="DE13" s="134">
        <v>0</v>
      </c>
      <c r="DF13" s="134">
        <v>25</v>
      </c>
      <c r="DG13" s="134">
        <v>85</v>
      </c>
      <c r="DH13" s="134">
        <v>110</v>
      </c>
      <c r="DI13" s="134">
        <v>0</v>
      </c>
      <c r="DJ13" s="134">
        <v>0</v>
      </c>
      <c r="DK13" s="134">
        <v>0</v>
      </c>
      <c r="DL13" s="134">
        <v>0</v>
      </c>
      <c r="DM13" s="134">
        <v>0</v>
      </c>
      <c r="DN13" s="134">
        <v>0</v>
      </c>
      <c r="DO13" s="134">
        <v>0</v>
      </c>
      <c r="DP13" s="134">
        <v>0</v>
      </c>
      <c r="DQ13" s="134">
        <v>0</v>
      </c>
      <c r="DR13" s="134">
        <v>0</v>
      </c>
      <c r="DS13" s="134">
        <v>0</v>
      </c>
      <c r="DT13" s="135">
        <v>0</v>
      </c>
    </row>
    <row r="14" spans="1:129">
      <c r="A14" s="133" t="s">
        <v>283</v>
      </c>
      <c r="B14" s="134">
        <v>523</v>
      </c>
      <c r="C14" s="134">
        <v>91</v>
      </c>
      <c r="D14" s="134">
        <v>507</v>
      </c>
      <c r="E14" s="134">
        <v>301</v>
      </c>
      <c r="F14" s="134">
        <v>0</v>
      </c>
      <c r="G14" s="134">
        <v>3</v>
      </c>
      <c r="H14" s="134">
        <v>3</v>
      </c>
      <c r="I14" s="134">
        <v>0</v>
      </c>
      <c r="J14" s="134">
        <v>193</v>
      </c>
      <c r="K14" s="134">
        <v>193</v>
      </c>
      <c r="L14" s="134">
        <v>0</v>
      </c>
      <c r="M14" s="134">
        <v>53</v>
      </c>
      <c r="N14" s="134">
        <v>53</v>
      </c>
      <c r="O14" s="134">
        <v>0</v>
      </c>
      <c r="P14" s="134">
        <v>140</v>
      </c>
      <c r="Q14" s="134">
        <v>140</v>
      </c>
      <c r="R14" s="134">
        <v>0</v>
      </c>
      <c r="S14" s="134">
        <v>3</v>
      </c>
      <c r="T14" s="134">
        <v>3</v>
      </c>
      <c r="U14" s="134">
        <v>0</v>
      </c>
      <c r="V14" s="134">
        <v>13</v>
      </c>
      <c r="W14" s="134">
        <v>13</v>
      </c>
      <c r="X14" s="134">
        <v>20</v>
      </c>
      <c r="Y14" s="134">
        <v>487</v>
      </c>
      <c r="Z14" s="134">
        <v>507</v>
      </c>
      <c r="AA14" s="134">
        <v>9</v>
      </c>
      <c r="AB14" s="134">
        <v>228</v>
      </c>
      <c r="AC14" s="134">
        <v>237</v>
      </c>
      <c r="AD14" s="134">
        <v>8</v>
      </c>
      <c r="AE14" s="134">
        <v>226</v>
      </c>
      <c r="AF14" s="134">
        <v>234</v>
      </c>
      <c r="AG14" s="134">
        <v>1</v>
      </c>
      <c r="AH14" s="134">
        <v>1</v>
      </c>
      <c r="AI14" s="134">
        <v>2</v>
      </c>
      <c r="AJ14" s="134">
        <v>0</v>
      </c>
      <c r="AK14" s="134">
        <v>1</v>
      </c>
      <c r="AL14" s="134">
        <v>1</v>
      </c>
      <c r="AM14" s="134">
        <v>11</v>
      </c>
      <c r="AN14" s="134">
        <v>259</v>
      </c>
      <c r="AO14" s="134">
        <v>270</v>
      </c>
      <c r="AP14" s="134">
        <v>471</v>
      </c>
      <c r="AQ14" s="134">
        <v>5871</v>
      </c>
      <c r="AR14" s="134">
        <v>6342</v>
      </c>
      <c r="AS14" s="134">
        <v>471</v>
      </c>
      <c r="AT14" s="134">
        <v>5871</v>
      </c>
      <c r="AU14" s="134">
        <v>6342</v>
      </c>
      <c r="AV14" s="134">
        <v>0</v>
      </c>
      <c r="AW14" s="134">
        <v>0</v>
      </c>
      <c r="AX14" s="134">
        <v>0</v>
      </c>
      <c r="AY14" s="134">
        <v>36</v>
      </c>
      <c r="AZ14" s="134">
        <v>504</v>
      </c>
      <c r="BA14" s="134">
        <v>540</v>
      </c>
      <c r="BB14" s="134">
        <v>23</v>
      </c>
      <c r="BC14" s="134">
        <v>0</v>
      </c>
      <c r="BD14" s="134">
        <v>0</v>
      </c>
      <c r="BE14" s="134">
        <v>276</v>
      </c>
      <c r="BF14" s="134">
        <v>2</v>
      </c>
      <c r="BG14" s="134">
        <v>0</v>
      </c>
      <c r="BH14" s="134">
        <v>23</v>
      </c>
      <c r="BI14" s="134">
        <v>278</v>
      </c>
      <c r="BJ14" s="134">
        <v>301</v>
      </c>
      <c r="BK14" s="134">
        <v>0</v>
      </c>
      <c r="BL14" s="134">
        <v>0</v>
      </c>
      <c r="BM14" s="134">
        <v>0</v>
      </c>
      <c r="BN14" s="134">
        <v>1</v>
      </c>
      <c r="BO14" s="134">
        <v>27</v>
      </c>
      <c r="BP14" s="134">
        <v>28</v>
      </c>
      <c r="BQ14" s="134">
        <v>1</v>
      </c>
      <c r="BR14" s="134">
        <v>64</v>
      </c>
      <c r="BS14" s="134">
        <v>65</v>
      </c>
      <c r="BT14" s="134">
        <v>11</v>
      </c>
      <c r="BU14" s="134">
        <v>135</v>
      </c>
      <c r="BV14" s="134">
        <v>146</v>
      </c>
      <c r="BW14" s="134">
        <v>507</v>
      </c>
      <c r="BX14" s="134">
        <v>6375</v>
      </c>
      <c r="BY14" s="134">
        <v>6882</v>
      </c>
      <c r="BZ14" s="134">
        <v>505</v>
      </c>
      <c r="CA14" s="134">
        <v>6343</v>
      </c>
      <c r="CB14" s="134">
        <v>6848</v>
      </c>
      <c r="CC14" s="134">
        <v>12043</v>
      </c>
      <c r="CD14" s="134">
        <v>3</v>
      </c>
      <c r="CE14" s="134">
        <v>32</v>
      </c>
      <c r="CF14" s="134">
        <v>2</v>
      </c>
      <c r="CG14" s="134">
        <v>26</v>
      </c>
      <c r="CH14" s="134">
        <v>28</v>
      </c>
      <c r="CI14" s="134">
        <v>6</v>
      </c>
      <c r="CJ14" s="134">
        <v>0</v>
      </c>
      <c r="CK14" s="134">
        <v>0</v>
      </c>
      <c r="CL14" s="134">
        <v>6</v>
      </c>
      <c r="CM14" s="134">
        <v>6</v>
      </c>
      <c r="CN14" s="134">
        <v>31</v>
      </c>
      <c r="CO14" s="134">
        <v>616</v>
      </c>
      <c r="CP14" s="134">
        <v>647</v>
      </c>
      <c r="CQ14" s="134">
        <v>0</v>
      </c>
      <c r="CR14" s="134">
        <v>1</v>
      </c>
      <c r="CS14" s="134">
        <v>1</v>
      </c>
      <c r="CT14" s="134">
        <v>476</v>
      </c>
      <c r="CU14" s="134">
        <v>5759</v>
      </c>
      <c r="CV14" s="134">
        <v>6235</v>
      </c>
      <c r="CW14" s="134">
        <v>21</v>
      </c>
      <c r="CX14" s="134">
        <v>187</v>
      </c>
      <c r="CY14" s="134">
        <v>208</v>
      </c>
      <c r="CZ14" s="134">
        <v>21</v>
      </c>
      <c r="DA14" s="134">
        <v>0</v>
      </c>
      <c r="DB14" s="134">
        <v>0</v>
      </c>
      <c r="DC14" s="134">
        <v>184</v>
      </c>
      <c r="DD14" s="134">
        <v>1</v>
      </c>
      <c r="DE14" s="134">
        <v>0</v>
      </c>
      <c r="DF14" s="134">
        <v>21</v>
      </c>
      <c r="DG14" s="134">
        <v>185</v>
      </c>
      <c r="DH14" s="134">
        <v>206</v>
      </c>
      <c r="DI14" s="134">
        <v>0</v>
      </c>
      <c r="DJ14" s="134">
        <v>0</v>
      </c>
      <c r="DK14" s="134">
        <v>0</v>
      </c>
      <c r="DL14" s="134">
        <v>2</v>
      </c>
      <c r="DM14" s="134">
        <v>0</v>
      </c>
      <c r="DN14" s="134">
        <v>0</v>
      </c>
      <c r="DO14" s="134">
        <v>0</v>
      </c>
      <c r="DP14" s="134">
        <v>2</v>
      </c>
      <c r="DQ14" s="134">
        <v>2</v>
      </c>
      <c r="DR14" s="134">
        <v>0</v>
      </c>
      <c r="DS14" s="134">
        <v>0</v>
      </c>
      <c r="DT14" s="135">
        <v>0</v>
      </c>
    </row>
    <row r="15" spans="1:129">
      <c r="A15" s="133" t="s">
        <v>284</v>
      </c>
      <c r="B15" s="134">
        <v>4698</v>
      </c>
      <c r="C15" s="134">
        <v>1582</v>
      </c>
      <c r="D15" s="134">
        <v>4606</v>
      </c>
      <c r="E15" s="134">
        <v>3166</v>
      </c>
      <c r="F15" s="134">
        <v>14</v>
      </c>
      <c r="G15" s="134">
        <v>137</v>
      </c>
      <c r="H15" s="134">
        <v>151</v>
      </c>
      <c r="I15" s="134">
        <v>2</v>
      </c>
      <c r="J15" s="134">
        <v>1364</v>
      </c>
      <c r="K15" s="134">
        <v>1366</v>
      </c>
      <c r="L15" s="134">
        <v>2</v>
      </c>
      <c r="M15" s="134">
        <v>1364</v>
      </c>
      <c r="N15" s="134">
        <v>1366</v>
      </c>
      <c r="O15" s="134">
        <v>0</v>
      </c>
      <c r="P15" s="134">
        <v>0</v>
      </c>
      <c r="Q15" s="134">
        <v>0</v>
      </c>
      <c r="R15" s="134">
        <v>0</v>
      </c>
      <c r="S15" s="134">
        <v>254</v>
      </c>
      <c r="T15" s="134">
        <v>254</v>
      </c>
      <c r="U15" s="134">
        <v>0</v>
      </c>
      <c r="V15" s="134">
        <v>74</v>
      </c>
      <c r="W15" s="134">
        <v>74</v>
      </c>
      <c r="X15" s="134">
        <v>53</v>
      </c>
      <c r="Y15" s="134">
        <v>3563</v>
      </c>
      <c r="Z15" s="134">
        <v>3616</v>
      </c>
      <c r="AA15" s="134">
        <v>25</v>
      </c>
      <c r="AB15" s="134">
        <v>1604</v>
      </c>
      <c r="AC15" s="134">
        <v>1629</v>
      </c>
      <c r="AD15" s="134">
        <v>24</v>
      </c>
      <c r="AE15" s="134">
        <v>1498</v>
      </c>
      <c r="AF15" s="134">
        <v>1522</v>
      </c>
      <c r="AG15" s="134">
        <v>1</v>
      </c>
      <c r="AH15" s="134">
        <v>79</v>
      </c>
      <c r="AI15" s="134">
        <v>80</v>
      </c>
      <c r="AJ15" s="134">
        <v>0</v>
      </c>
      <c r="AK15" s="134">
        <v>27</v>
      </c>
      <c r="AL15" s="134">
        <v>27</v>
      </c>
      <c r="AM15" s="134">
        <v>28</v>
      </c>
      <c r="AN15" s="134">
        <v>1959</v>
      </c>
      <c r="AO15" s="134">
        <v>1987</v>
      </c>
      <c r="AP15" s="134">
        <v>11168</v>
      </c>
      <c r="AQ15" s="134">
        <v>74107</v>
      </c>
      <c r="AR15" s="134">
        <v>85275</v>
      </c>
      <c r="AS15" s="134">
        <v>10777</v>
      </c>
      <c r="AT15" s="134">
        <v>71144</v>
      </c>
      <c r="AU15" s="134">
        <v>81921</v>
      </c>
      <c r="AV15" s="134">
        <v>391</v>
      </c>
      <c r="AW15" s="134">
        <v>2963</v>
      </c>
      <c r="AX15" s="134">
        <v>3354</v>
      </c>
      <c r="AY15" s="134">
        <v>103</v>
      </c>
      <c r="AZ15" s="134">
        <v>3190</v>
      </c>
      <c r="BA15" s="134">
        <v>3293</v>
      </c>
      <c r="BB15" s="134">
        <v>246</v>
      </c>
      <c r="BC15" s="134">
        <v>0</v>
      </c>
      <c r="BD15" s="134">
        <v>0</v>
      </c>
      <c r="BE15" s="134">
        <v>2879</v>
      </c>
      <c r="BF15" s="134">
        <v>21</v>
      </c>
      <c r="BG15" s="134">
        <v>20</v>
      </c>
      <c r="BH15" s="134">
        <v>246</v>
      </c>
      <c r="BI15" s="134">
        <v>2920</v>
      </c>
      <c r="BJ15" s="134">
        <v>3166</v>
      </c>
      <c r="BK15" s="134">
        <v>-165</v>
      </c>
      <c r="BL15" s="134">
        <v>165</v>
      </c>
      <c r="BM15" s="134">
        <v>0</v>
      </c>
      <c r="BN15" s="134">
        <v>14</v>
      </c>
      <c r="BO15" s="134">
        <v>62</v>
      </c>
      <c r="BP15" s="134">
        <v>76</v>
      </c>
      <c r="BQ15" s="134">
        <v>5</v>
      </c>
      <c r="BR15" s="134">
        <v>18</v>
      </c>
      <c r="BS15" s="134">
        <v>23</v>
      </c>
      <c r="BT15" s="134">
        <v>3</v>
      </c>
      <c r="BU15" s="134">
        <v>25</v>
      </c>
      <c r="BV15" s="134">
        <v>28</v>
      </c>
      <c r="BW15" s="134">
        <v>11271</v>
      </c>
      <c r="BX15" s="134">
        <v>77297</v>
      </c>
      <c r="BY15" s="134">
        <v>88568</v>
      </c>
      <c r="BZ15" s="134">
        <v>11106</v>
      </c>
      <c r="CA15" s="134">
        <v>76432</v>
      </c>
      <c r="CB15" s="134">
        <v>87538</v>
      </c>
      <c r="CC15" s="134">
        <v>203291</v>
      </c>
      <c r="CD15" s="134">
        <v>77</v>
      </c>
      <c r="CE15" s="134">
        <v>854</v>
      </c>
      <c r="CF15" s="134">
        <v>158</v>
      </c>
      <c r="CG15" s="134">
        <v>638</v>
      </c>
      <c r="CH15" s="134">
        <v>796</v>
      </c>
      <c r="CI15" s="134">
        <v>267</v>
      </c>
      <c r="CJ15" s="134">
        <v>31</v>
      </c>
      <c r="CK15" s="134">
        <v>7</v>
      </c>
      <c r="CL15" s="134">
        <v>227</v>
      </c>
      <c r="CM15" s="134">
        <v>234</v>
      </c>
      <c r="CN15" s="134">
        <v>656</v>
      </c>
      <c r="CO15" s="134">
        <v>6693</v>
      </c>
      <c r="CP15" s="134">
        <v>7349</v>
      </c>
      <c r="CQ15" s="134">
        <v>0</v>
      </c>
      <c r="CR15" s="134">
        <v>0</v>
      </c>
      <c r="CS15" s="134">
        <v>0</v>
      </c>
      <c r="CT15" s="134">
        <v>10615</v>
      </c>
      <c r="CU15" s="134">
        <v>70604</v>
      </c>
      <c r="CV15" s="134">
        <v>81219</v>
      </c>
      <c r="CW15" s="134">
        <v>955</v>
      </c>
      <c r="CX15" s="134">
        <v>4960</v>
      </c>
      <c r="CY15" s="134">
        <v>5915</v>
      </c>
      <c r="CZ15" s="134">
        <v>836</v>
      </c>
      <c r="DA15" s="134">
        <v>8</v>
      </c>
      <c r="DB15" s="134">
        <v>4</v>
      </c>
      <c r="DC15" s="134">
        <v>3892</v>
      </c>
      <c r="DD15" s="134">
        <v>38</v>
      </c>
      <c r="DE15" s="134">
        <v>20</v>
      </c>
      <c r="DF15" s="134">
        <v>848</v>
      </c>
      <c r="DG15" s="134">
        <v>3950</v>
      </c>
      <c r="DH15" s="134">
        <v>4798</v>
      </c>
      <c r="DI15" s="134">
        <v>107</v>
      </c>
      <c r="DJ15" s="134">
        <v>0</v>
      </c>
      <c r="DK15" s="134">
        <v>0</v>
      </c>
      <c r="DL15" s="134">
        <v>994</v>
      </c>
      <c r="DM15" s="134">
        <v>16</v>
      </c>
      <c r="DN15" s="134">
        <v>0</v>
      </c>
      <c r="DO15" s="134">
        <v>107</v>
      </c>
      <c r="DP15" s="134">
        <v>1010</v>
      </c>
      <c r="DQ15" s="134">
        <v>1117</v>
      </c>
      <c r="DR15" s="134">
        <v>5</v>
      </c>
      <c r="DS15" s="134">
        <v>41</v>
      </c>
      <c r="DT15" s="135">
        <v>46</v>
      </c>
    </row>
    <row r="16" spans="1:129" s="116" customFormat="1">
      <c r="A16" s="133" t="s">
        <v>285</v>
      </c>
      <c r="B16" s="134">
        <v>109</v>
      </c>
      <c r="C16" s="134">
        <v>14</v>
      </c>
      <c r="D16" s="134">
        <v>103</v>
      </c>
      <c r="E16" s="134">
        <v>57</v>
      </c>
      <c r="F16" s="134">
        <v>0</v>
      </c>
      <c r="G16" s="134">
        <v>2</v>
      </c>
      <c r="H16" s="134">
        <v>2</v>
      </c>
      <c r="I16" s="134">
        <v>0</v>
      </c>
      <c r="J16" s="134">
        <v>36</v>
      </c>
      <c r="K16" s="134">
        <v>36</v>
      </c>
      <c r="L16" s="134">
        <v>0</v>
      </c>
      <c r="M16" s="134">
        <v>14</v>
      </c>
      <c r="N16" s="134">
        <v>14</v>
      </c>
      <c r="O16" s="134">
        <v>0</v>
      </c>
      <c r="P16" s="134">
        <v>22</v>
      </c>
      <c r="Q16" s="134">
        <v>22</v>
      </c>
      <c r="R16" s="134">
        <v>0</v>
      </c>
      <c r="S16" s="134">
        <v>0</v>
      </c>
      <c r="T16" s="134">
        <v>0</v>
      </c>
      <c r="U16" s="134">
        <v>0</v>
      </c>
      <c r="V16" s="134">
        <v>10</v>
      </c>
      <c r="W16" s="134">
        <v>10</v>
      </c>
      <c r="X16" s="134">
        <v>2</v>
      </c>
      <c r="Y16" s="134">
        <v>101</v>
      </c>
      <c r="Z16" s="134">
        <v>103</v>
      </c>
      <c r="AA16" s="134">
        <v>2</v>
      </c>
      <c r="AB16" s="134">
        <v>31</v>
      </c>
      <c r="AC16" s="134">
        <v>33</v>
      </c>
      <c r="AD16" s="134">
        <v>2</v>
      </c>
      <c r="AE16" s="134">
        <v>30</v>
      </c>
      <c r="AF16" s="134">
        <v>32</v>
      </c>
      <c r="AG16" s="134">
        <v>0</v>
      </c>
      <c r="AH16" s="134">
        <v>0</v>
      </c>
      <c r="AI16" s="134">
        <v>0</v>
      </c>
      <c r="AJ16" s="134">
        <v>0</v>
      </c>
      <c r="AK16" s="134">
        <v>1</v>
      </c>
      <c r="AL16" s="134">
        <v>1</v>
      </c>
      <c r="AM16" s="134">
        <v>0</v>
      </c>
      <c r="AN16" s="134">
        <v>70</v>
      </c>
      <c r="AO16" s="134">
        <v>70</v>
      </c>
      <c r="AP16" s="134">
        <v>176</v>
      </c>
      <c r="AQ16" s="134">
        <v>1244</v>
      </c>
      <c r="AR16" s="134">
        <v>1420</v>
      </c>
      <c r="AS16" s="134">
        <v>176</v>
      </c>
      <c r="AT16" s="134">
        <v>1244</v>
      </c>
      <c r="AU16" s="134">
        <v>1420</v>
      </c>
      <c r="AV16" s="134">
        <v>0</v>
      </c>
      <c r="AW16" s="134">
        <v>0</v>
      </c>
      <c r="AX16" s="134">
        <v>0</v>
      </c>
      <c r="AY16" s="134">
        <v>5</v>
      </c>
      <c r="AZ16" s="134">
        <v>104</v>
      </c>
      <c r="BA16" s="134">
        <v>109</v>
      </c>
      <c r="BB16" s="134">
        <v>2</v>
      </c>
      <c r="BC16" s="134">
        <v>0</v>
      </c>
      <c r="BD16" s="134">
        <v>0</v>
      </c>
      <c r="BE16" s="134">
        <v>55</v>
      </c>
      <c r="BF16" s="134">
        <v>0</v>
      </c>
      <c r="BG16" s="134">
        <v>0</v>
      </c>
      <c r="BH16" s="134">
        <v>2</v>
      </c>
      <c r="BI16" s="134">
        <v>55</v>
      </c>
      <c r="BJ16" s="134">
        <v>57</v>
      </c>
      <c r="BK16" s="134">
        <v>-3</v>
      </c>
      <c r="BL16" s="134">
        <v>3</v>
      </c>
      <c r="BM16" s="134">
        <v>0</v>
      </c>
      <c r="BN16" s="134">
        <v>2</v>
      </c>
      <c r="BO16" s="134">
        <v>8</v>
      </c>
      <c r="BP16" s="134">
        <v>10</v>
      </c>
      <c r="BQ16" s="134">
        <v>1</v>
      </c>
      <c r="BR16" s="134">
        <v>7</v>
      </c>
      <c r="BS16" s="134">
        <v>8</v>
      </c>
      <c r="BT16" s="134">
        <v>3</v>
      </c>
      <c r="BU16" s="134">
        <v>31</v>
      </c>
      <c r="BV16" s="134">
        <v>34</v>
      </c>
      <c r="BW16" s="134">
        <v>181</v>
      </c>
      <c r="BX16" s="134">
        <v>1348</v>
      </c>
      <c r="BY16" s="134">
        <v>1529</v>
      </c>
      <c r="BZ16" s="134">
        <v>181</v>
      </c>
      <c r="CA16" s="134">
        <v>1340</v>
      </c>
      <c r="CB16" s="134">
        <v>1521</v>
      </c>
      <c r="CC16" s="134">
        <v>3512</v>
      </c>
      <c r="CD16" s="134">
        <v>0</v>
      </c>
      <c r="CE16" s="134">
        <v>9</v>
      </c>
      <c r="CF16" s="134">
        <v>0</v>
      </c>
      <c r="CG16" s="134">
        <v>8</v>
      </c>
      <c r="CH16" s="134">
        <v>8</v>
      </c>
      <c r="CI16" s="134">
        <v>0</v>
      </c>
      <c r="CJ16" s="134">
        <v>0</v>
      </c>
      <c r="CK16" s="134">
        <v>0</v>
      </c>
      <c r="CL16" s="134">
        <v>0</v>
      </c>
      <c r="CM16" s="134">
        <v>0</v>
      </c>
      <c r="CN16" s="134">
        <v>11</v>
      </c>
      <c r="CO16" s="134">
        <v>129</v>
      </c>
      <c r="CP16" s="134">
        <v>140</v>
      </c>
      <c r="CQ16" s="134">
        <v>0</v>
      </c>
      <c r="CR16" s="134">
        <v>1</v>
      </c>
      <c r="CS16" s="134">
        <v>1</v>
      </c>
      <c r="CT16" s="134">
        <v>170</v>
      </c>
      <c r="CU16" s="134">
        <v>1219</v>
      </c>
      <c r="CV16" s="134">
        <v>1389</v>
      </c>
      <c r="CW16" s="134">
        <v>14</v>
      </c>
      <c r="CX16" s="134">
        <v>42</v>
      </c>
      <c r="CY16" s="134">
        <v>56</v>
      </c>
      <c r="CZ16" s="134">
        <v>14</v>
      </c>
      <c r="DA16" s="134">
        <v>0</v>
      </c>
      <c r="DB16" s="134">
        <v>0</v>
      </c>
      <c r="DC16" s="134">
        <v>41</v>
      </c>
      <c r="DD16" s="134">
        <v>0</v>
      </c>
      <c r="DE16" s="134">
        <v>0</v>
      </c>
      <c r="DF16" s="134">
        <v>14</v>
      </c>
      <c r="DG16" s="134">
        <v>41</v>
      </c>
      <c r="DH16" s="134">
        <v>55</v>
      </c>
      <c r="DI16" s="134">
        <v>0</v>
      </c>
      <c r="DJ16" s="134">
        <v>0</v>
      </c>
      <c r="DK16" s="134">
        <v>0</v>
      </c>
      <c r="DL16" s="134">
        <v>0</v>
      </c>
      <c r="DM16" s="134">
        <v>1</v>
      </c>
      <c r="DN16" s="134">
        <v>0</v>
      </c>
      <c r="DO16" s="134">
        <v>0</v>
      </c>
      <c r="DP16" s="134">
        <v>1</v>
      </c>
      <c r="DQ16" s="134">
        <v>1</v>
      </c>
      <c r="DR16" s="134">
        <v>0</v>
      </c>
      <c r="DS16" s="134">
        <v>0</v>
      </c>
      <c r="DT16" s="135">
        <v>0</v>
      </c>
      <c r="DV16" s="136"/>
      <c r="DW16" s="137"/>
      <c r="DX16" s="136"/>
      <c r="DY16" s="136"/>
    </row>
    <row r="17" spans="1:129" s="116" customFormat="1">
      <c r="A17" s="133" t="s">
        <v>286</v>
      </c>
      <c r="B17" s="134">
        <v>1409</v>
      </c>
      <c r="C17" s="134">
        <v>340</v>
      </c>
      <c r="D17" s="134">
        <v>1316</v>
      </c>
      <c r="E17" s="134">
        <v>639</v>
      </c>
      <c r="F17" s="134">
        <v>0</v>
      </c>
      <c r="G17" s="134">
        <v>3</v>
      </c>
      <c r="H17" s="134">
        <v>3</v>
      </c>
      <c r="I17" s="134">
        <v>0</v>
      </c>
      <c r="J17" s="134">
        <v>625</v>
      </c>
      <c r="K17" s="134">
        <v>625</v>
      </c>
      <c r="L17" s="134">
        <v>0</v>
      </c>
      <c r="M17" s="134">
        <v>161</v>
      </c>
      <c r="N17" s="134">
        <v>161</v>
      </c>
      <c r="O17" s="134">
        <v>0</v>
      </c>
      <c r="P17" s="134">
        <v>464</v>
      </c>
      <c r="Q17" s="134">
        <v>464</v>
      </c>
      <c r="R17" s="134">
        <v>0</v>
      </c>
      <c r="S17" s="134">
        <v>7</v>
      </c>
      <c r="T17" s="134">
        <v>7</v>
      </c>
      <c r="U17" s="134">
        <v>0</v>
      </c>
      <c r="V17" s="134">
        <v>52</v>
      </c>
      <c r="W17" s="134">
        <v>52</v>
      </c>
      <c r="X17" s="134">
        <v>13</v>
      </c>
      <c r="Y17" s="134">
        <v>1303</v>
      </c>
      <c r="Z17" s="134">
        <v>1316</v>
      </c>
      <c r="AA17" s="134">
        <v>8</v>
      </c>
      <c r="AB17" s="134">
        <v>432</v>
      </c>
      <c r="AC17" s="134">
        <v>440</v>
      </c>
      <c r="AD17" s="134">
        <v>8</v>
      </c>
      <c r="AE17" s="134">
        <v>424</v>
      </c>
      <c r="AF17" s="134">
        <v>432</v>
      </c>
      <c r="AG17" s="134">
        <v>0</v>
      </c>
      <c r="AH17" s="134">
        <v>4</v>
      </c>
      <c r="AI17" s="134">
        <v>4</v>
      </c>
      <c r="AJ17" s="134">
        <v>0</v>
      </c>
      <c r="AK17" s="134">
        <v>4</v>
      </c>
      <c r="AL17" s="134">
        <v>4</v>
      </c>
      <c r="AM17" s="134">
        <v>5</v>
      </c>
      <c r="AN17" s="134">
        <v>871</v>
      </c>
      <c r="AO17" s="134">
        <v>876</v>
      </c>
      <c r="AP17" s="134">
        <v>790</v>
      </c>
      <c r="AQ17" s="134">
        <v>10233</v>
      </c>
      <c r="AR17" s="134">
        <v>11023</v>
      </c>
      <c r="AS17" s="134">
        <v>790</v>
      </c>
      <c r="AT17" s="134">
        <v>10233</v>
      </c>
      <c r="AU17" s="134">
        <v>11023</v>
      </c>
      <c r="AV17" s="134">
        <v>0</v>
      </c>
      <c r="AW17" s="134">
        <v>0</v>
      </c>
      <c r="AX17" s="134">
        <v>0</v>
      </c>
      <c r="AY17" s="134">
        <v>57</v>
      </c>
      <c r="AZ17" s="134">
        <v>1116</v>
      </c>
      <c r="BA17" s="134">
        <v>1173</v>
      </c>
      <c r="BB17" s="134">
        <v>12</v>
      </c>
      <c r="BC17" s="134">
        <v>0</v>
      </c>
      <c r="BD17" s="134">
        <v>0</v>
      </c>
      <c r="BE17" s="134">
        <v>626</v>
      </c>
      <c r="BF17" s="134">
        <v>1</v>
      </c>
      <c r="BG17" s="134">
        <v>0</v>
      </c>
      <c r="BH17" s="134">
        <v>12</v>
      </c>
      <c r="BI17" s="134">
        <v>627</v>
      </c>
      <c r="BJ17" s="134">
        <v>639</v>
      </c>
      <c r="BK17" s="134">
        <v>18</v>
      </c>
      <c r="BL17" s="134">
        <v>-18</v>
      </c>
      <c r="BM17" s="134">
        <v>0</v>
      </c>
      <c r="BN17" s="134">
        <v>3</v>
      </c>
      <c r="BO17" s="134">
        <v>22</v>
      </c>
      <c r="BP17" s="134">
        <v>25</v>
      </c>
      <c r="BQ17" s="134">
        <v>1</v>
      </c>
      <c r="BR17" s="134">
        <v>139</v>
      </c>
      <c r="BS17" s="134">
        <v>140</v>
      </c>
      <c r="BT17" s="134">
        <v>23</v>
      </c>
      <c r="BU17" s="134">
        <v>346</v>
      </c>
      <c r="BV17" s="134">
        <v>369</v>
      </c>
      <c r="BW17" s="134">
        <v>847</v>
      </c>
      <c r="BX17" s="134">
        <v>11349</v>
      </c>
      <c r="BY17" s="134">
        <v>12196</v>
      </c>
      <c r="BZ17" s="134">
        <v>847</v>
      </c>
      <c r="CA17" s="134">
        <v>11308</v>
      </c>
      <c r="CB17" s="134">
        <v>12155</v>
      </c>
      <c r="CC17" s="134">
        <v>20554</v>
      </c>
      <c r="CD17" s="134">
        <v>10</v>
      </c>
      <c r="CE17" s="134">
        <v>30</v>
      </c>
      <c r="CF17" s="134">
        <v>0</v>
      </c>
      <c r="CG17" s="134">
        <v>35</v>
      </c>
      <c r="CH17" s="134">
        <v>35</v>
      </c>
      <c r="CI17" s="134">
        <v>7</v>
      </c>
      <c r="CJ17" s="134">
        <v>0</v>
      </c>
      <c r="CK17" s="134">
        <v>0</v>
      </c>
      <c r="CL17" s="134">
        <v>6</v>
      </c>
      <c r="CM17" s="134">
        <v>6</v>
      </c>
      <c r="CN17" s="134">
        <v>49</v>
      </c>
      <c r="CO17" s="134">
        <v>1138</v>
      </c>
      <c r="CP17" s="134">
        <v>1187</v>
      </c>
      <c r="CQ17" s="134">
        <v>1</v>
      </c>
      <c r="CR17" s="134">
        <v>15</v>
      </c>
      <c r="CS17" s="134">
        <v>16</v>
      </c>
      <c r="CT17" s="134">
        <v>798</v>
      </c>
      <c r="CU17" s="134">
        <v>10211</v>
      </c>
      <c r="CV17" s="134">
        <v>11009</v>
      </c>
      <c r="CW17" s="134">
        <v>42</v>
      </c>
      <c r="CX17" s="134">
        <v>416</v>
      </c>
      <c r="CY17" s="134">
        <v>458</v>
      </c>
      <c r="CZ17" s="134">
        <v>42</v>
      </c>
      <c r="DA17" s="134">
        <v>0</v>
      </c>
      <c r="DB17" s="134">
        <v>0</v>
      </c>
      <c r="DC17" s="134">
        <v>415</v>
      </c>
      <c r="DD17" s="134">
        <v>0</v>
      </c>
      <c r="DE17" s="134">
        <v>0</v>
      </c>
      <c r="DF17" s="134">
        <v>42</v>
      </c>
      <c r="DG17" s="134">
        <v>415</v>
      </c>
      <c r="DH17" s="134">
        <v>457</v>
      </c>
      <c r="DI17" s="134">
        <v>0</v>
      </c>
      <c r="DJ17" s="134">
        <v>0</v>
      </c>
      <c r="DK17" s="134">
        <v>0</v>
      </c>
      <c r="DL17" s="134">
        <v>1</v>
      </c>
      <c r="DM17" s="134">
        <v>0</v>
      </c>
      <c r="DN17" s="134">
        <v>0</v>
      </c>
      <c r="DO17" s="134">
        <v>0</v>
      </c>
      <c r="DP17" s="134">
        <v>1</v>
      </c>
      <c r="DQ17" s="134">
        <v>1</v>
      </c>
      <c r="DR17" s="134">
        <v>0</v>
      </c>
      <c r="DS17" s="134">
        <v>0</v>
      </c>
      <c r="DT17" s="135">
        <v>0</v>
      </c>
      <c r="DV17" s="136"/>
      <c r="DW17" s="137"/>
      <c r="DX17" s="136"/>
      <c r="DY17" s="136"/>
    </row>
    <row r="18" spans="1:129" s="116" customFormat="1">
      <c r="A18" s="133" t="s">
        <v>287</v>
      </c>
      <c r="B18" s="134">
        <v>1083</v>
      </c>
      <c r="C18" s="134">
        <v>159</v>
      </c>
      <c r="D18" s="134">
        <v>1146</v>
      </c>
      <c r="E18" s="134">
        <v>758</v>
      </c>
      <c r="F18" s="134">
        <v>1</v>
      </c>
      <c r="G18" s="134">
        <v>29</v>
      </c>
      <c r="H18" s="134">
        <v>30</v>
      </c>
      <c r="I18" s="134">
        <v>0</v>
      </c>
      <c r="J18" s="134">
        <v>319</v>
      </c>
      <c r="K18" s="134">
        <v>319</v>
      </c>
      <c r="L18" s="134">
        <v>0</v>
      </c>
      <c r="M18" s="134">
        <v>126</v>
      </c>
      <c r="N18" s="134">
        <v>126</v>
      </c>
      <c r="O18" s="134">
        <v>0</v>
      </c>
      <c r="P18" s="134">
        <v>193</v>
      </c>
      <c r="Q18" s="134">
        <v>193</v>
      </c>
      <c r="R18" s="134">
        <v>0</v>
      </c>
      <c r="S18" s="134">
        <v>7</v>
      </c>
      <c r="T18" s="134">
        <v>7</v>
      </c>
      <c r="U18" s="134">
        <v>0</v>
      </c>
      <c r="V18" s="134">
        <v>69</v>
      </c>
      <c r="W18" s="134">
        <v>69</v>
      </c>
      <c r="X18" s="134">
        <v>35</v>
      </c>
      <c r="Y18" s="134">
        <v>1111</v>
      </c>
      <c r="Z18" s="134">
        <v>1146</v>
      </c>
      <c r="AA18" s="134">
        <v>18</v>
      </c>
      <c r="AB18" s="134">
        <v>414</v>
      </c>
      <c r="AC18" s="134">
        <v>432</v>
      </c>
      <c r="AD18" s="134">
        <v>15</v>
      </c>
      <c r="AE18" s="134">
        <v>383</v>
      </c>
      <c r="AF18" s="134">
        <v>398</v>
      </c>
      <c r="AG18" s="134">
        <v>3</v>
      </c>
      <c r="AH18" s="134">
        <v>14</v>
      </c>
      <c r="AI18" s="134">
        <v>17</v>
      </c>
      <c r="AJ18" s="134">
        <v>0</v>
      </c>
      <c r="AK18" s="134">
        <v>17</v>
      </c>
      <c r="AL18" s="134">
        <v>17</v>
      </c>
      <c r="AM18" s="134">
        <v>17</v>
      </c>
      <c r="AN18" s="134">
        <v>697</v>
      </c>
      <c r="AO18" s="134">
        <v>714</v>
      </c>
      <c r="AP18" s="134">
        <v>2143</v>
      </c>
      <c r="AQ18" s="134">
        <v>14376</v>
      </c>
      <c r="AR18" s="134">
        <v>16519</v>
      </c>
      <c r="AS18" s="134">
        <v>2143</v>
      </c>
      <c r="AT18" s="134">
        <v>14376</v>
      </c>
      <c r="AU18" s="134">
        <v>16519</v>
      </c>
      <c r="AV18" s="134">
        <v>0</v>
      </c>
      <c r="AW18" s="134">
        <v>0</v>
      </c>
      <c r="AX18" s="134">
        <v>0</v>
      </c>
      <c r="AY18" s="134">
        <v>99</v>
      </c>
      <c r="AZ18" s="134">
        <v>1019</v>
      </c>
      <c r="BA18" s="134">
        <v>1118</v>
      </c>
      <c r="BB18" s="134">
        <v>48</v>
      </c>
      <c r="BC18" s="134">
        <v>1</v>
      </c>
      <c r="BD18" s="134">
        <v>0</v>
      </c>
      <c r="BE18" s="134">
        <v>683</v>
      </c>
      <c r="BF18" s="134">
        <v>22</v>
      </c>
      <c r="BG18" s="134">
        <v>4</v>
      </c>
      <c r="BH18" s="134">
        <v>49</v>
      </c>
      <c r="BI18" s="134">
        <v>709</v>
      </c>
      <c r="BJ18" s="134">
        <v>758</v>
      </c>
      <c r="BK18" s="134">
        <v>6</v>
      </c>
      <c r="BL18" s="134">
        <v>-6</v>
      </c>
      <c r="BM18" s="134">
        <v>0</v>
      </c>
      <c r="BN18" s="134">
        <v>3</v>
      </c>
      <c r="BO18" s="134">
        <v>27</v>
      </c>
      <c r="BP18" s="134">
        <v>30</v>
      </c>
      <c r="BQ18" s="134">
        <v>8</v>
      </c>
      <c r="BR18" s="134">
        <v>113</v>
      </c>
      <c r="BS18" s="134">
        <v>121</v>
      </c>
      <c r="BT18" s="134">
        <v>33</v>
      </c>
      <c r="BU18" s="134">
        <v>176</v>
      </c>
      <c r="BV18" s="134">
        <v>209</v>
      </c>
      <c r="BW18" s="134">
        <v>2242</v>
      </c>
      <c r="BX18" s="134">
        <v>15395</v>
      </c>
      <c r="BY18" s="134">
        <v>17637</v>
      </c>
      <c r="BZ18" s="134">
        <v>2220</v>
      </c>
      <c r="CA18" s="134">
        <v>15020</v>
      </c>
      <c r="CB18" s="134">
        <v>17240</v>
      </c>
      <c r="CC18" s="134">
        <v>42243</v>
      </c>
      <c r="CD18" s="134">
        <v>22</v>
      </c>
      <c r="CE18" s="134">
        <v>336</v>
      </c>
      <c r="CF18" s="134">
        <v>22</v>
      </c>
      <c r="CG18" s="134">
        <v>310</v>
      </c>
      <c r="CH18" s="134">
        <v>332</v>
      </c>
      <c r="CI18" s="134">
        <v>66</v>
      </c>
      <c r="CJ18" s="134">
        <v>3</v>
      </c>
      <c r="CK18" s="134">
        <v>0</v>
      </c>
      <c r="CL18" s="134">
        <v>65</v>
      </c>
      <c r="CM18" s="134">
        <v>65</v>
      </c>
      <c r="CN18" s="134">
        <v>89</v>
      </c>
      <c r="CO18" s="134">
        <v>1151</v>
      </c>
      <c r="CP18" s="134">
        <v>1240</v>
      </c>
      <c r="CQ18" s="134">
        <v>0</v>
      </c>
      <c r="CR18" s="134">
        <v>4</v>
      </c>
      <c r="CS18" s="134">
        <v>4</v>
      </c>
      <c r="CT18" s="134">
        <v>2153</v>
      </c>
      <c r="CU18" s="134">
        <v>14244</v>
      </c>
      <c r="CV18" s="134">
        <v>16397</v>
      </c>
      <c r="CW18" s="134">
        <v>130</v>
      </c>
      <c r="CX18" s="134">
        <v>555</v>
      </c>
      <c r="CY18" s="134">
        <v>685</v>
      </c>
      <c r="CZ18" s="134">
        <v>127</v>
      </c>
      <c r="DA18" s="134">
        <v>2</v>
      </c>
      <c r="DB18" s="134">
        <v>0</v>
      </c>
      <c r="DC18" s="134">
        <v>531</v>
      </c>
      <c r="DD18" s="134">
        <v>13</v>
      </c>
      <c r="DE18" s="134">
        <v>0</v>
      </c>
      <c r="DF18" s="134">
        <v>129</v>
      </c>
      <c r="DG18" s="134">
        <v>544</v>
      </c>
      <c r="DH18" s="134">
        <v>673</v>
      </c>
      <c r="DI18" s="134">
        <v>1</v>
      </c>
      <c r="DJ18" s="134">
        <v>0</v>
      </c>
      <c r="DK18" s="134">
        <v>0</v>
      </c>
      <c r="DL18" s="134">
        <v>10</v>
      </c>
      <c r="DM18" s="134">
        <v>0</v>
      </c>
      <c r="DN18" s="134">
        <v>1</v>
      </c>
      <c r="DO18" s="134">
        <v>1</v>
      </c>
      <c r="DP18" s="134">
        <v>11</v>
      </c>
      <c r="DQ18" s="134">
        <v>12</v>
      </c>
      <c r="DR18" s="134">
        <v>0</v>
      </c>
      <c r="DS18" s="134">
        <v>0</v>
      </c>
      <c r="DT18" s="135">
        <v>0</v>
      </c>
      <c r="DV18" s="136"/>
      <c r="DW18" s="137"/>
      <c r="DX18" s="136"/>
      <c r="DY18" s="136"/>
    </row>
    <row r="19" spans="1:129" s="116" customFormat="1">
      <c r="A19" s="133" t="s">
        <v>288</v>
      </c>
      <c r="B19" s="134">
        <v>78</v>
      </c>
      <c r="C19" s="134">
        <v>5</v>
      </c>
      <c r="D19" s="134">
        <v>78</v>
      </c>
      <c r="E19" s="134">
        <v>59</v>
      </c>
      <c r="F19" s="134">
        <v>0</v>
      </c>
      <c r="G19" s="134">
        <v>0</v>
      </c>
      <c r="H19" s="134">
        <v>0</v>
      </c>
      <c r="I19" s="134">
        <v>0</v>
      </c>
      <c r="J19" s="134">
        <v>16</v>
      </c>
      <c r="K19" s="134">
        <v>16</v>
      </c>
      <c r="L19" s="134">
        <v>0</v>
      </c>
      <c r="M19" s="134">
        <v>12</v>
      </c>
      <c r="N19" s="134">
        <v>12</v>
      </c>
      <c r="O19" s="134">
        <v>0</v>
      </c>
      <c r="P19" s="134">
        <v>4</v>
      </c>
      <c r="Q19" s="134">
        <v>4</v>
      </c>
      <c r="R19" s="134">
        <v>0</v>
      </c>
      <c r="S19" s="134">
        <v>0</v>
      </c>
      <c r="T19" s="134">
        <v>0</v>
      </c>
      <c r="U19" s="134">
        <v>0</v>
      </c>
      <c r="V19" s="134">
        <v>3</v>
      </c>
      <c r="W19" s="134">
        <v>3</v>
      </c>
      <c r="X19" s="134">
        <v>1</v>
      </c>
      <c r="Y19" s="134">
        <v>73</v>
      </c>
      <c r="Z19" s="134">
        <v>74</v>
      </c>
      <c r="AA19" s="134">
        <v>1</v>
      </c>
      <c r="AB19" s="134">
        <v>39</v>
      </c>
      <c r="AC19" s="134">
        <v>40</v>
      </c>
      <c r="AD19" s="134">
        <v>1</v>
      </c>
      <c r="AE19" s="134">
        <v>38</v>
      </c>
      <c r="AF19" s="134">
        <v>39</v>
      </c>
      <c r="AG19" s="134">
        <v>0</v>
      </c>
      <c r="AH19" s="134">
        <v>1</v>
      </c>
      <c r="AI19" s="134">
        <v>1</v>
      </c>
      <c r="AJ19" s="134">
        <v>0</v>
      </c>
      <c r="AK19" s="134">
        <v>0</v>
      </c>
      <c r="AL19" s="134">
        <v>0</v>
      </c>
      <c r="AM19" s="134">
        <v>0</v>
      </c>
      <c r="AN19" s="134">
        <v>34</v>
      </c>
      <c r="AO19" s="134">
        <v>34</v>
      </c>
      <c r="AP19" s="134">
        <v>76</v>
      </c>
      <c r="AQ19" s="134">
        <v>861</v>
      </c>
      <c r="AR19" s="134">
        <v>937</v>
      </c>
      <c r="AS19" s="134">
        <v>76</v>
      </c>
      <c r="AT19" s="134">
        <v>861</v>
      </c>
      <c r="AU19" s="134">
        <v>937</v>
      </c>
      <c r="AV19" s="134">
        <v>0</v>
      </c>
      <c r="AW19" s="134">
        <v>0</v>
      </c>
      <c r="AX19" s="134">
        <v>0</v>
      </c>
      <c r="AY19" s="134">
        <v>5</v>
      </c>
      <c r="AZ19" s="134">
        <v>84</v>
      </c>
      <c r="BA19" s="134">
        <v>89</v>
      </c>
      <c r="BB19" s="134">
        <v>2</v>
      </c>
      <c r="BC19" s="134">
        <v>0</v>
      </c>
      <c r="BD19" s="134">
        <v>0</v>
      </c>
      <c r="BE19" s="134">
        <v>57</v>
      </c>
      <c r="BF19" s="134">
        <v>0</v>
      </c>
      <c r="BG19" s="134">
        <v>0</v>
      </c>
      <c r="BH19" s="134">
        <v>2</v>
      </c>
      <c r="BI19" s="134">
        <v>57</v>
      </c>
      <c r="BJ19" s="134">
        <v>59</v>
      </c>
      <c r="BK19" s="134">
        <v>-1</v>
      </c>
      <c r="BL19" s="134">
        <v>1</v>
      </c>
      <c r="BM19" s="134">
        <v>0</v>
      </c>
      <c r="BN19" s="134">
        <v>0</v>
      </c>
      <c r="BO19" s="134">
        <v>2</v>
      </c>
      <c r="BP19" s="134">
        <v>2</v>
      </c>
      <c r="BQ19" s="134">
        <v>0</v>
      </c>
      <c r="BR19" s="134">
        <v>9</v>
      </c>
      <c r="BS19" s="134">
        <v>9</v>
      </c>
      <c r="BT19" s="134">
        <v>4</v>
      </c>
      <c r="BU19" s="134">
        <v>15</v>
      </c>
      <c r="BV19" s="134">
        <v>19</v>
      </c>
      <c r="BW19" s="134">
        <v>81</v>
      </c>
      <c r="BX19" s="134">
        <v>945</v>
      </c>
      <c r="BY19" s="134">
        <v>1026</v>
      </c>
      <c r="BZ19" s="134">
        <v>81</v>
      </c>
      <c r="CA19" s="134">
        <v>938</v>
      </c>
      <c r="CB19" s="134">
        <v>1019</v>
      </c>
      <c r="CC19" s="134">
        <v>1960</v>
      </c>
      <c r="CD19" s="134">
        <v>0</v>
      </c>
      <c r="CE19" s="134">
        <v>5</v>
      </c>
      <c r="CF19" s="134">
        <v>0</v>
      </c>
      <c r="CG19" s="134">
        <v>5</v>
      </c>
      <c r="CH19" s="134">
        <v>5</v>
      </c>
      <c r="CI19" s="134">
        <v>2</v>
      </c>
      <c r="CJ19" s="134">
        <v>0</v>
      </c>
      <c r="CK19" s="134">
        <v>0</v>
      </c>
      <c r="CL19" s="134">
        <v>2</v>
      </c>
      <c r="CM19" s="134">
        <v>2</v>
      </c>
      <c r="CN19" s="134">
        <v>6</v>
      </c>
      <c r="CO19" s="134">
        <v>82</v>
      </c>
      <c r="CP19" s="134">
        <v>88</v>
      </c>
      <c r="CQ19" s="134">
        <v>0</v>
      </c>
      <c r="CR19" s="134">
        <v>0</v>
      </c>
      <c r="CS19" s="134">
        <v>0</v>
      </c>
      <c r="CT19" s="134">
        <v>75</v>
      </c>
      <c r="CU19" s="134">
        <v>863</v>
      </c>
      <c r="CV19" s="134">
        <v>938</v>
      </c>
      <c r="CW19" s="134">
        <v>2</v>
      </c>
      <c r="CX19" s="134">
        <v>16</v>
      </c>
      <c r="CY19" s="134">
        <v>18</v>
      </c>
      <c r="CZ19" s="134">
        <v>2</v>
      </c>
      <c r="DA19" s="134">
        <v>0</v>
      </c>
      <c r="DB19" s="134">
        <v>0</v>
      </c>
      <c r="DC19" s="134">
        <v>16</v>
      </c>
      <c r="DD19" s="134">
        <v>0</v>
      </c>
      <c r="DE19" s="134">
        <v>0</v>
      </c>
      <c r="DF19" s="134">
        <v>2</v>
      </c>
      <c r="DG19" s="134">
        <v>16</v>
      </c>
      <c r="DH19" s="134">
        <v>18</v>
      </c>
      <c r="DI19" s="134">
        <v>0</v>
      </c>
      <c r="DJ19" s="134">
        <v>0</v>
      </c>
      <c r="DK19" s="134">
        <v>0</v>
      </c>
      <c r="DL19" s="134">
        <v>0</v>
      </c>
      <c r="DM19" s="134">
        <v>0</v>
      </c>
      <c r="DN19" s="134">
        <v>0</v>
      </c>
      <c r="DO19" s="134">
        <v>0</v>
      </c>
      <c r="DP19" s="134">
        <v>0</v>
      </c>
      <c r="DQ19" s="134">
        <v>0</v>
      </c>
      <c r="DR19" s="134">
        <v>0</v>
      </c>
      <c r="DS19" s="134">
        <v>0</v>
      </c>
      <c r="DT19" s="135">
        <v>0</v>
      </c>
      <c r="DV19" s="136"/>
      <c r="DW19" s="137"/>
      <c r="DX19" s="136"/>
      <c r="DY19" s="136"/>
    </row>
    <row r="20" spans="1:129" s="116" customFormat="1">
      <c r="A20" s="133" t="s">
        <v>289</v>
      </c>
      <c r="B20" s="134">
        <v>5191</v>
      </c>
      <c r="C20" s="134">
        <v>1617</v>
      </c>
      <c r="D20" s="134">
        <v>5559</v>
      </c>
      <c r="E20" s="134">
        <v>3273</v>
      </c>
      <c r="F20" s="134">
        <v>4</v>
      </c>
      <c r="G20" s="134">
        <v>48</v>
      </c>
      <c r="H20" s="134">
        <v>52</v>
      </c>
      <c r="I20" s="134">
        <v>1</v>
      </c>
      <c r="J20" s="134">
        <v>2006</v>
      </c>
      <c r="K20" s="134">
        <v>2007</v>
      </c>
      <c r="L20" s="134">
        <v>1</v>
      </c>
      <c r="M20" s="134">
        <v>539</v>
      </c>
      <c r="N20" s="134">
        <v>540</v>
      </c>
      <c r="O20" s="134">
        <v>0</v>
      </c>
      <c r="P20" s="134">
        <v>1467</v>
      </c>
      <c r="Q20" s="134">
        <v>1467</v>
      </c>
      <c r="R20" s="134">
        <v>0</v>
      </c>
      <c r="S20" s="134">
        <v>30</v>
      </c>
      <c r="T20" s="134">
        <v>30</v>
      </c>
      <c r="U20" s="134">
        <v>0</v>
      </c>
      <c r="V20" s="134">
        <v>279</v>
      </c>
      <c r="W20" s="134">
        <v>279</v>
      </c>
      <c r="X20" s="134">
        <v>145</v>
      </c>
      <c r="Y20" s="134">
        <v>5413</v>
      </c>
      <c r="Z20" s="134">
        <v>5558</v>
      </c>
      <c r="AA20" s="134">
        <v>90</v>
      </c>
      <c r="AB20" s="134">
        <v>1961</v>
      </c>
      <c r="AC20" s="134">
        <v>2051</v>
      </c>
      <c r="AD20" s="134">
        <v>83</v>
      </c>
      <c r="AE20" s="134">
        <v>1829</v>
      </c>
      <c r="AF20" s="134">
        <v>1912</v>
      </c>
      <c r="AG20" s="134">
        <v>6</v>
      </c>
      <c r="AH20" s="134">
        <v>88</v>
      </c>
      <c r="AI20" s="134">
        <v>94</v>
      </c>
      <c r="AJ20" s="134">
        <v>1</v>
      </c>
      <c r="AK20" s="134">
        <v>44</v>
      </c>
      <c r="AL20" s="134">
        <v>45</v>
      </c>
      <c r="AM20" s="134">
        <v>55</v>
      </c>
      <c r="AN20" s="134">
        <v>3452</v>
      </c>
      <c r="AO20" s="134">
        <v>3507</v>
      </c>
      <c r="AP20" s="134">
        <v>9163</v>
      </c>
      <c r="AQ20" s="134">
        <v>55510</v>
      </c>
      <c r="AR20" s="134">
        <v>64673</v>
      </c>
      <c r="AS20" s="134">
        <v>9164</v>
      </c>
      <c r="AT20" s="134">
        <v>55513</v>
      </c>
      <c r="AU20" s="134">
        <v>64677</v>
      </c>
      <c r="AV20" s="134">
        <v>-1</v>
      </c>
      <c r="AW20" s="134">
        <v>-3</v>
      </c>
      <c r="AX20" s="134">
        <v>-4</v>
      </c>
      <c r="AY20" s="134">
        <v>371</v>
      </c>
      <c r="AZ20" s="134">
        <v>4597</v>
      </c>
      <c r="BA20" s="134">
        <v>4968</v>
      </c>
      <c r="BB20" s="134">
        <v>192</v>
      </c>
      <c r="BC20" s="134">
        <v>1</v>
      </c>
      <c r="BD20" s="134">
        <v>0</v>
      </c>
      <c r="BE20" s="134">
        <v>3030</v>
      </c>
      <c r="BF20" s="134">
        <v>38</v>
      </c>
      <c r="BG20" s="134">
        <v>12</v>
      </c>
      <c r="BH20" s="134">
        <v>193</v>
      </c>
      <c r="BI20" s="134">
        <v>3080</v>
      </c>
      <c r="BJ20" s="134">
        <v>3273</v>
      </c>
      <c r="BK20" s="134">
        <v>-8</v>
      </c>
      <c r="BL20" s="134">
        <v>8</v>
      </c>
      <c r="BM20" s="134">
        <v>0</v>
      </c>
      <c r="BN20" s="134">
        <v>20</v>
      </c>
      <c r="BO20" s="134">
        <v>116</v>
      </c>
      <c r="BP20" s="134">
        <v>136</v>
      </c>
      <c r="BQ20" s="134">
        <v>54</v>
      </c>
      <c r="BR20" s="134">
        <v>574</v>
      </c>
      <c r="BS20" s="134">
        <v>628</v>
      </c>
      <c r="BT20" s="134">
        <v>112</v>
      </c>
      <c r="BU20" s="134">
        <v>819</v>
      </c>
      <c r="BV20" s="134">
        <v>931</v>
      </c>
      <c r="BW20" s="134">
        <v>9534</v>
      </c>
      <c r="BX20" s="134">
        <v>60107</v>
      </c>
      <c r="BY20" s="134">
        <v>69641</v>
      </c>
      <c r="BZ20" s="134">
        <v>9479</v>
      </c>
      <c r="CA20" s="134">
        <v>59152</v>
      </c>
      <c r="CB20" s="134">
        <v>68631</v>
      </c>
      <c r="CC20" s="134">
        <v>159456</v>
      </c>
      <c r="CD20" s="134">
        <v>51</v>
      </c>
      <c r="CE20" s="134">
        <v>777</v>
      </c>
      <c r="CF20" s="134">
        <v>52</v>
      </c>
      <c r="CG20" s="134">
        <v>704</v>
      </c>
      <c r="CH20" s="134">
        <v>756</v>
      </c>
      <c r="CI20" s="134">
        <v>328</v>
      </c>
      <c r="CJ20" s="134">
        <v>13</v>
      </c>
      <c r="CK20" s="134">
        <v>3</v>
      </c>
      <c r="CL20" s="134">
        <v>251</v>
      </c>
      <c r="CM20" s="134">
        <v>254</v>
      </c>
      <c r="CN20" s="134">
        <v>434</v>
      </c>
      <c r="CO20" s="134">
        <v>5371</v>
      </c>
      <c r="CP20" s="134">
        <v>5805</v>
      </c>
      <c r="CQ20" s="134">
        <v>0</v>
      </c>
      <c r="CR20" s="134">
        <v>11</v>
      </c>
      <c r="CS20" s="134">
        <v>11</v>
      </c>
      <c r="CT20" s="134">
        <v>9100</v>
      </c>
      <c r="CU20" s="134">
        <v>54736</v>
      </c>
      <c r="CV20" s="134">
        <v>63836</v>
      </c>
      <c r="CW20" s="134">
        <v>576</v>
      </c>
      <c r="CX20" s="134">
        <v>2029</v>
      </c>
      <c r="CY20" s="134">
        <v>2605</v>
      </c>
      <c r="CZ20" s="134">
        <v>569</v>
      </c>
      <c r="DA20" s="134">
        <v>6</v>
      </c>
      <c r="DB20" s="134">
        <v>0</v>
      </c>
      <c r="DC20" s="134">
        <v>1902</v>
      </c>
      <c r="DD20" s="134">
        <v>34</v>
      </c>
      <c r="DE20" s="134">
        <v>4</v>
      </c>
      <c r="DF20" s="134">
        <v>575</v>
      </c>
      <c r="DG20" s="134">
        <v>1940</v>
      </c>
      <c r="DH20" s="134">
        <v>2515</v>
      </c>
      <c r="DI20" s="134">
        <v>1</v>
      </c>
      <c r="DJ20" s="134">
        <v>0</v>
      </c>
      <c r="DK20" s="134">
        <v>0</v>
      </c>
      <c r="DL20" s="134">
        <v>86</v>
      </c>
      <c r="DM20" s="134">
        <v>3</v>
      </c>
      <c r="DN20" s="134">
        <v>0</v>
      </c>
      <c r="DO20" s="134">
        <v>1</v>
      </c>
      <c r="DP20" s="134">
        <v>89</v>
      </c>
      <c r="DQ20" s="134">
        <v>90</v>
      </c>
      <c r="DR20" s="134">
        <v>0</v>
      </c>
      <c r="DS20" s="134">
        <v>0</v>
      </c>
      <c r="DT20" s="135">
        <v>0</v>
      </c>
      <c r="DV20" s="136"/>
      <c r="DW20" s="137"/>
      <c r="DX20" s="136"/>
      <c r="DY20" s="136"/>
    </row>
    <row r="21" spans="1:129" s="116" customFormat="1">
      <c r="A21" s="133" t="s">
        <v>290</v>
      </c>
      <c r="B21" s="134">
        <v>822</v>
      </c>
      <c r="C21" s="134">
        <v>126</v>
      </c>
      <c r="D21" s="134">
        <v>818</v>
      </c>
      <c r="E21" s="134">
        <v>534</v>
      </c>
      <c r="F21" s="134">
        <v>0</v>
      </c>
      <c r="G21" s="134">
        <v>2</v>
      </c>
      <c r="H21" s="134">
        <v>2</v>
      </c>
      <c r="I21" s="134">
        <v>0</v>
      </c>
      <c r="J21" s="134">
        <v>247</v>
      </c>
      <c r="K21" s="134">
        <v>247</v>
      </c>
      <c r="L21" s="134">
        <v>0</v>
      </c>
      <c r="M21" s="134">
        <v>104</v>
      </c>
      <c r="N21" s="134">
        <v>104</v>
      </c>
      <c r="O21" s="134">
        <v>0</v>
      </c>
      <c r="P21" s="134">
        <v>143</v>
      </c>
      <c r="Q21" s="134">
        <v>143</v>
      </c>
      <c r="R21" s="134">
        <v>0</v>
      </c>
      <c r="S21" s="134">
        <v>6</v>
      </c>
      <c r="T21" s="134">
        <v>6</v>
      </c>
      <c r="U21" s="134">
        <v>0</v>
      </c>
      <c r="V21" s="134">
        <v>37</v>
      </c>
      <c r="W21" s="134">
        <v>37</v>
      </c>
      <c r="X21" s="134">
        <v>33</v>
      </c>
      <c r="Y21" s="134">
        <v>785</v>
      </c>
      <c r="Z21" s="134">
        <v>818</v>
      </c>
      <c r="AA21" s="134">
        <v>22</v>
      </c>
      <c r="AB21" s="134">
        <v>317</v>
      </c>
      <c r="AC21" s="134">
        <v>339</v>
      </c>
      <c r="AD21" s="134">
        <v>21</v>
      </c>
      <c r="AE21" s="134">
        <v>298</v>
      </c>
      <c r="AF21" s="134">
        <v>319</v>
      </c>
      <c r="AG21" s="134">
        <v>1</v>
      </c>
      <c r="AH21" s="134">
        <v>13</v>
      </c>
      <c r="AI21" s="134">
        <v>14</v>
      </c>
      <c r="AJ21" s="134">
        <v>0</v>
      </c>
      <c r="AK21" s="134">
        <v>6</v>
      </c>
      <c r="AL21" s="134">
        <v>6</v>
      </c>
      <c r="AM21" s="134">
        <v>11</v>
      </c>
      <c r="AN21" s="134">
        <v>468</v>
      </c>
      <c r="AO21" s="134">
        <v>479</v>
      </c>
      <c r="AP21" s="134">
        <v>1366</v>
      </c>
      <c r="AQ21" s="134">
        <v>8589</v>
      </c>
      <c r="AR21" s="134">
        <v>9955</v>
      </c>
      <c r="AS21" s="134">
        <v>1366</v>
      </c>
      <c r="AT21" s="134">
        <v>8589</v>
      </c>
      <c r="AU21" s="134">
        <v>9955</v>
      </c>
      <c r="AV21" s="134">
        <v>0</v>
      </c>
      <c r="AW21" s="134">
        <v>0</v>
      </c>
      <c r="AX21" s="134">
        <v>0</v>
      </c>
      <c r="AY21" s="134">
        <v>64</v>
      </c>
      <c r="AZ21" s="134">
        <v>733</v>
      </c>
      <c r="BA21" s="134">
        <v>797</v>
      </c>
      <c r="BB21" s="134">
        <v>39</v>
      </c>
      <c r="BC21" s="134">
        <v>0</v>
      </c>
      <c r="BD21" s="134">
        <v>0</v>
      </c>
      <c r="BE21" s="134">
        <v>485</v>
      </c>
      <c r="BF21" s="134">
        <v>9</v>
      </c>
      <c r="BG21" s="134">
        <v>1</v>
      </c>
      <c r="BH21" s="134">
        <v>39</v>
      </c>
      <c r="BI21" s="134">
        <v>495</v>
      </c>
      <c r="BJ21" s="134">
        <v>534</v>
      </c>
      <c r="BK21" s="134">
        <v>0</v>
      </c>
      <c r="BL21" s="134">
        <v>0</v>
      </c>
      <c r="BM21" s="134">
        <v>0</v>
      </c>
      <c r="BN21" s="134">
        <v>8</v>
      </c>
      <c r="BO21" s="134">
        <v>23</v>
      </c>
      <c r="BP21" s="134">
        <v>31</v>
      </c>
      <c r="BQ21" s="134">
        <v>3</v>
      </c>
      <c r="BR21" s="134">
        <v>88</v>
      </c>
      <c r="BS21" s="134">
        <v>91</v>
      </c>
      <c r="BT21" s="134">
        <v>14</v>
      </c>
      <c r="BU21" s="134">
        <v>127</v>
      </c>
      <c r="BV21" s="134">
        <v>141</v>
      </c>
      <c r="BW21" s="134">
        <v>1430</v>
      </c>
      <c r="BX21" s="134">
        <v>9322</v>
      </c>
      <c r="BY21" s="134">
        <v>10752</v>
      </c>
      <c r="BZ21" s="134">
        <v>1415</v>
      </c>
      <c r="CA21" s="134">
        <v>9180</v>
      </c>
      <c r="CB21" s="134">
        <v>10595</v>
      </c>
      <c r="CC21" s="134">
        <v>23778</v>
      </c>
      <c r="CD21" s="134">
        <v>15</v>
      </c>
      <c r="CE21" s="134">
        <v>118</v>
      </c>
      <c r="CF21" s="134">
        <v>15</v>
      </c>
      <c r="CG21" s="134">
        <v>109</v>
      </c>
      <c r="CH21" s="134">
        <v>124</v>
      </c>
      <c r="CI21" s="134">
        <v>41</v>
      </c>
      <c r="CJ21" s="134">
        <v>1</v>
      </c>
      <c r="CK21" s="134">
        <v>0</v>
      </c>
      <c r="CL21" s="134">
        <v>33</v>
      </c>
      <c r="CM21" s="134">
        <v>33</v>
      </c>
      <c r="CN21" s="134">
        <v>75</v>
      </c>
      <c r="CO21" s="134">
        <v>887</v>
      </c>
      <c r="CP21" s="134">
        <v>962</v>
      </c>
      <c r="CQ21" s="134">
        <v>0</v>
      </c>
      <c r="CR21" s="134">
        <v>3</v>
      </c>
      <c r="CS21" s="134">
        <v>3</v>
      </c>
      <c r="CT21" s="134">
        <v>1355</v>
      </c>
      <c r="CU21" s="134">
        <v>8435</v>
      </c>
      <c r="CV21" s="134">
        <v>9790</v>
      </c>
      <c r="CW21" s="134">
        <v>92</v>
      </c>
      <c r="CX21" s="134">
        <v>298</v>
      </c>
      <c r="CY21" s="134">
        <v>390</v>
      </c>
      <c r="CZ21" s="134">
        <v>92</v>
      </c>
      <c r="DA21" s="134">
        <v>0</v>
      </c>
      <c r="DB21" s="134">
        <v>0</v>
      </c>
      <c r="DC21" s="134">
        <v>288</v>
      </c>
      <c r="DD21" s="134">
        <v>2</v>
      </c>
      <c r="DE21" s="134">
        <v>1</v>
      </c>
      <c r="DF21" s="134">
        <v>92</v>
      </c>
      <c r="DG21" s="134">
        <v>291</v>
      </c>
      <c r="DH21" s="134">
        <v>383</v>
      </c>
      <c r="DI21" s="134">
        <v>0</v>
      </c>
      <c r="DJ21" s="134">
        <v>0</v>
      </c>
      <c r="DK21" s="134">
        <v>0</v>
      </c>
      <c r="DL21" s="134">
        <v>7</v>
      </c>
      <c r="DM21" s="134">
        <v>0</v>
      </c>
      <c r="DN21" s="134">
        <v>0</v>
      </c>
      <c r="DO21" s="134">
        <v>0</v>
      </c>
      <c r="DP21" s="134">
        <v>7</v>
      </c>
      <c r="DQ21" s="134">
        <v>7</v>
      </c>
      <c r="DR21" s="134">
        <v>0</v>
      </c>
      <c r="DS21" s="134">
        <v>0</v>
      </c>
      <c r="DT21" s="135">
        <v>0</v>
      </c>
      <c r="DV21" s="136"/>
      <c r="DW21" s="137"/>
      <c r="DX21" s="136"/>
      <c r="DY21" s="136"/>
    </row>
    <row r="22" spans="1:129" s="116" customFormat="1">
      <c r="A22" s="133" t="s">
        <v>291</v>
      </c>
      <c r="B22" s="134">
        <v>392</v>
      </c>
      <c r="C22" s="134">
        <v>52</v>
      </c>
      <c r="D22" s="134">
        <v>424</v>
      </c>
      <c r="E22" s="134">
        <v>293</v>
      </c>
      <c r="F22" s="134">
        <v>0</v>
      </c>
      <c r="G22" s="134">
        <v>20</v>
      </c>
      <c r="H22" s="134">
        <v>20</v>
      </c>
      <c r="I22" s="134">
        <v>0</v>
      </c>
      <c r="J22" s="134">
        <v>112</v>
      </c>
      <c r="K22" s="134">
        <v>112</v>
      </c>
      <c r="L22" s="134">
        <v>0</v>
      </c>
      <c r="M22" s="134">
        <v>36</v>
      </c>
      <c r="N22" s="134">
        <v>36</v>
      </c>
      <c r="O22" s="134">
        <v>0</v>
      </c>
      <c r="P22" s="134">
        <v>76</v>
      </c>
      <c r="Q22" s="134">
        <v>76</v>
      </c>
      <c r="R22" s="134">
        <v>0</v>
      </c>
      <c r="S22" s="134">
        <v>8</v>
      </c>
      <c r="T22" s="134">
        <v>8</v>
      </c>
      <c r="U22" s="134">
        <v>0</v>
      </c>
      <c r="V22" s="134">
        <v>19</v>
      </c>
      <c r="W22" s="134">
        <v>19</v>
      </c>
      <c r="X22" s="134">
        <v>8</v>
      </c>
      <c r="Y22" s="134">
        <v>416</v>
      </c>
      <c r="Z22" s="134">
        <v>424</v>
      </c>
      <c r="AA22" s="134">
        <v>4</v>
      </c>
      <c r="AB22" s="134">
        <v>169</v>
      </c>
      <c r="AC22" s="134">
        <v>173</v>
      </c>
      <c r="AD22" s="134">
        <v>4</v>
      </c>
      <c r="AE22" s="134">
        <v>152</v>
      </c>
      <c r="AF22" s="134">
        <v>156</v>
      </c>
      <c r="AG22" s="134">
        <v>0</v>
      </c>
      <c r="AH22" s="134">
        <v>8</v>
      </c>
      <c r="AI22" s="134">
        <v>8</v>
      </c>
      <c r="AJ22" s="134">
        <v>0</v>
      </c>
      <c r="AK22" s="134">
        <v>9</v>
      </c>
      <c r="AL22" s="134">
        <v>9</v>
      </c>
      <c r="AM22" s="134">
        <v>4</v>
      </c>
      <c r="AN22" s="134">
        <v>247</v>
      </c>
      <c r="AO22" s="134">
        <v>251</v>
      </c>
      <c r="AP22" s="134">
        <v>528</v>
      </c>
      <c r="AQ22" s="134">
        <v>5475</v>
      </c>
      <c r="AR22" s="134">
        <v>6003</v>
      </c>
      <c r="AS22" s="134">
        <v>528</v>
      </c>
      <c r="AT22" s="134">
        <v>5475</v>
      </c>
      <c r="AU22" s="134">
        <v>6003</v>
      </c>
      <c r="AV22" s="134">
        <v>0</v>
      </c>
      <c r="AW22" s="134">
        <v>0</v>
      </c>
      <c r="AX22" s="134">
        <v>0</v>
      </c>
      <c r="AY22" s="134">
        <v>17</v>
      </c>
      <c r="AZ22" s="134">
        <v>487</v>
      </c>
      <c r="BA22" s="134">
        <v>504</v>
      </c>
      <c r="BB22" s="134">
        <v>13</v>
      </c>
      <c r="BC22" s="134">
        <v>0</v>
      </c>
      <c r="BD22" s="134">
        <v>0</v>
      </c>
      <c r="BE22" s="134">
        <v>280</v>
      </c>
      <c r="BF22" s="134">
        <v>0</v>
      </c>
      <c r="BG22" s="134">
        <v>0</v>
      </c>
      <c r="BH22" s="134">
        <v>13</v>
      </c>
      <c r="BI22" s="134">
        <v>280</v>
      </c>
      <c r="BJ22" s="134">
        <v>293</v>
      </c>
      <c r="BK22" s="134">
        <v>-12</v>
      </c>
      <c r="BL22" s="134">
        <v>12</v>
      </c>
      <c r="BM22" s="134">
        <v>0</v>
      </c>
      <c r="BN22" s="134">
        <v>4</v>
      </c>
      <c r="BO22" s="134">
        <v>6</v>
      </c>
      <c r="BP22" s="134">
        <v>10</v>
      </c>
      <c r="BQ22" s="134">
        <v>1</v>
      </c>
      <c r="BR22" s="134">
        <v>59</v>
      </c>
      <c r="BS22" s="134">
        <v>60</v>
      </c>
      <c r="BT22" s="134">
        <v>11</v>
      </c>
      <c r="BU22" s="134">
        <v>130</v>
      </c>
      <c r="BV22" s="134">
        <v>141</v>
      </c>
      <c r="BW22" s="134">
        <v>545</v>
      </c>
      <c r="BX22" s="134">
        <v>5962</v>
      </c>
      <c r="BY22" s="134">
        <v>6507</v>
      </c>
      <c r="BZ22" s="134">
        <v>541</v>
      </c>
      <c r="CA22" s="134">
        <v>5939</v>
      </c>
      <c r="CB22" s="134">
        <v>6480</v>
      </c>
      <c r="CC22" s="134">
        <v>11962</v>
      </c>
      <c r="CD22" s="134">
        <v>4</v>
      </c>
      <c r="CE22" s="134">
        <v>25</v>
      </c>
      <c r="CF22" s="134">
        <v>4</v>
      </c>
      <c r="CG22" s="134">
        <v>21</v>
      </c>
      <c r="CH22" s="134">
        <v>25</v>
      </c>
      <c r="CI22" s="134">
        <v>4</v>
      </c>
      <c r="CJ22" s="134">
        <v>0</v>
      </c>
      <c r="CK22" s="134">
        <v>0</v>
      </c>
      <c r="CL22" s="134">
        <v>2</v>
      </c>
      <c r="CM22" s="134">
        <v>2</v>
      </c>
      <c r="CN22" s="134">
        <v>35</v>
      </c>
      <c r="CO22" s="134">
        <v>500</v>
      </c>
      <c r="CP22" s="134">
        <v>535</v>
      </c>
      <c r="CQ22" s="134">
        <v>0</v>
      </c>
      <c r="CR22" s="134">
        <v>0</v>
      </c>
      <c r="CS22" s="134">
        <v>0</v>
      </c>
      <c r="CT22" s="134">
        <v>510</v>
      </c>
      <c r="CU22" s="134">
        <v>5462</v>
      </c>
      <c r="CV22" s="134">
        <v>5972</v>
      </c>
      <c r="CW22" s="134">
        <v>24</v>
      </c>
      <c r="CX22" s="134">
        <v>215</v>
      </c>
      <c r="CY22" s="134">
        <v>239</v>
      </c>
      <c r="CZ22" s="134">
        <v>24</v>
      </c>
      <c r="DA22" s="134">
        <v>0</v>
      </c>
      <c r="DB22" s="134">
        <v>0</v>
      </c>
      <c r="DC22" s="134">
        <v>211</v>
      </c>
      <c r="DD22" s="134">
        <v>3</v>
      </c>
      <c r="DE22" s="134">
        <v>0</v>
      </c>
      <c r="DF22" s="134">
        <v>24</v>
      </c>
      <c r="DG22" s="134">
        <v>214</v>
      </c>
      <c r="DH22" s="134">
        <v>238</v>
      </c>
      <c r="DI22" s="134">
        <v>0</v>
      </c>
      <c r="DJ22" s="134">
        <v>0</v>
      </c>
      <c r="DK22" s="134">
        <v>0</v>
      </c>
      <c r="DL22" s="134">
        <v>1</v>
      </c>
      <c r="DM22" s="134">
        <v>0</v>
      </c>
      <c r="DN22" s="134">
        <v>0</v>
      </c>
      <c r="DO22" s="134">
        <v>0</v>
      </c>
      <c r="DP22" s="134">
        <v>1</v>
      </c>
      <c r="DQ22" s="134">
        <v>1</v>
      </c>
      <c r="DR22" s="134">
        <v>0</v>
      </c>
      <c r="DS22" s="134">
        <v>0</v>
      </c>
      <c r="DT22" s="135">
        <v>0</v>
      </c>
      <c r="DV22" s="136"/>
      <c r="DW22" s="137"/>
      <c r="DX22" s="136"/>
      <c r="DY22" s="136"/>
    </row>
    <row r="23" spans="1:129" s="116" customFormat="1">
      <c r="A23" s="133" t="s">
        <v>292</v>
      </c>
      <c r="B23" s="134">
        <v>112</v>
      </c>
      <c r="C23" s="134">
        <v>11</v>
      </c>
      <c r="D23" s="134">
        <v>111</v>
      </c>
      <c r="E23" s="134">
        <v>81</v>
      </c>
      <c r="F23" s="134">
        <v>0</v>
      </c>
      <c r="G23" s="134">
        <v>3</v>
      </c>
      <c r="H23" s="134">
        <v>3</v>
      </c>
      <c r="I23" s="134">
        <v>0</v>
      </c>
      <c r="J23" s="134">
        <v>26</v>
      </c>
      <c r="K23" s="134">
        <v>26</v>
      </c>
      <c r="L23" s="134">
        <v>0</v>
      </c>
      <c r="M23" s="134">
        <v>9</v>
      </c>
      <c r="N23" s="134">
        <v>9</v>
      </c>
      <c r="O23" s="134">
        <v>0</v>
      </c>
      <c r="P23" s="134">
        <v>17</v>
      </c>
      <c r="Q23" s="134">
        <v>17</v>
      </c>
      <c r="R23" s="134">
        <v>0</v>
      </c>
      <c r="S23" s="134">
        <v>2</v>
      </c>
      <c r="T23" s="134">
        <v>2</v>
      </c>
      <c r="U23" s="134">
        <v>0</v>
      </c>
      <c r="V23" s="134">
        <v>4</v>
      </c>
      <c r="W23" s="134">
        <v>4</v>
      </c>
      <c r="X23" s="134">
        <v>0</v>
      </c>
      <c r="Y23" s="134">
        <v>111</v>
      </c>
      <c r="Z23" s="134">
        <v>111</v>
      </c>
      <c r="AA23" s="134">
        <v>0</v>
      </c>
      <c r="AB23" s="134">
        <v>56</v>
      </c>
      <c r="AC23" s="134">
        <v>56</v>
      </c>
      <c r="AD23" s="134">
        <v>0</v>
      </c>
      <c r="AE23" s="134">
        <v>50</v>
      </c>
      <c r="AF23" s="134">
        <v>50</v>
      </c>
      <c r="AG23" s="134">
        <v>0</v>
      </c>
      <c r="AH23" s="134">
        <v>4</v>
      </c>
      <c r="AI23" s="134">
        <v>4</v>
      </c>
      <c r="AJ23" s="134">
        <v>0</v>
      </c>
      <c r="AK23" s="134">
        <v>2</v>
      </c>
      <c r="AL23" s="134">
        <v>2</v>
      </c>
      <c r="AM23" s="134">
        <v>0</v>
      </c>
      <c r="AN23" s="134">
        <v>55</v>
      </c>
      <c r="AO23" s="134">
        <v>55</v>
      </c>
      <c r="AP23" s="134">
        <v>215</v>
      </c>
      <c r="AQ23" s="134">
        <v>1226</v>
      </c>
      <c r="AR23" s="134">
        <v>1441</v>
      </c>
      <c r="AS23" s="134">
        <v>215</v>
      </c>
      <c r="AT23" s="134">
        <v>1226</v>
      </c>
      <c r="AU23" s="134">
        <v>1441</v>
      </c>
      <c r="AV23" s="134">
        <v>0</v>
      </c>
      <c r="AW23" s="134">
        <v>0</v>
      </c>
      <c r="AX23" s="134">
        <v>0</v>
      </c>
      <c r="AY23" s="134">
        <v>11</v>
      </c>
      <c r="AZ23" s="134">
        <v>133</v>
      </c>
      <c r="BA23" s="134">
        <v>144</v>
      </c>
      <c r="BB23" s="134">
        <v>2</v>
      </c>
      <c r="BC23" s="134">
        <v>0</v>
      </c>
      <c r="BD23" s="134">
        <v>0</v>
      </c>
      <c r="BE23" s="134">
        <v>79</v>
      </c>
      <c r="BF23" s="134">
        <v>0</v>
      </c>
      <c r="BG23" s="134">
        <v>0</v>
      </c>
      <c r="BH23" s="134">
        <v>2</v>
      </c>
      <c r="BI23" s="134">
        <v>79</v>
      </c>
      <c r="BJ23" s="134">
        <v>81</v>
      </c>
      <c r="BK23" s="134">
        <v>2</v>
      </c>
      <c r="BL23" s="134">
        <v>-2</v>
      </c>
      <c r="BM23" s="134">
        <v>0</v>
      </c>
      <c r="BN23" s="134">
        <v>0</v>
      </c>
      <c r="BO23" s="134">
        <v>5</v>
      </c>
      <c r="BP23" s="134">
        <v>5</v>
      </c>
      <c r="BQ23" s="134">
        <v>4</v>
      </c>
      <c r="BR23" s="134">
        <v>24</v>
      </c>
      <c r="BS23" s="134">
        <v>28</v>
      </c>
      <c r="BT23" s="134">
        <v>3</v>
      </c>
      <c r="BU23" s="134">
        <v>27</v>
      </c>
      <c r="BV23" s="134">
        <v>30</v>
      </c>
      <c r="BW23" s="134">
        <v>226</v>
      </c>
      <c r="BX23" s="134">
        <v>1359</v>
      </c>
      <c r="BY23" s="134">
        <v>1585</v>
      </c>
      <c r="BZ23" s="134">
        <v>226</v>
      </c>
      <c r="CA23" s="134">
        <v>1358</v>
      </c>
      <c r="CB23" s="134">
        <v>1584</v>
      </c>
      <c r="CC23" s="134">
        <v>3164</v>
      </c>
      <c r="CD23" s="134">
        <v>0</v>
      </c>
      <c r="CE23" s="134">
        <v>1</v>
      </c>
      <c r="CF23" s="134">
        <v>0</v>
      </c>
      <c r="CG23" s="134">
        <v>1</v>
      </c>
      <c r="CH23" s="134">
        <v>1</v>
      </c>
      <c r="CI23" s="134">
        <v>0</v>
      </c>
      <c r="CJ23" s="134">
        <v>0</v>
      </c>
      <c r="CK23" s="134">
        <v>0</v>
      </c>
      <c r="CL23" s="134">
        <v>0</v>
      </c>
      <c r="CM23" s="134">
        <v>0</v>
      </c>
      <c r="CN23" s="134">
        <v>22</v>
      </c>
      <c r="CO23" s="134">
        <v>176</v>
      </c>
      <c r="CP23" s="134">
        <v>198</v>
      </c>
      <c r="CQ23" s="134">
        <v>0</v>
      </c>
      <c r="CR23" s="134">
        <v>0</v>
      </c>
      <c r="CS23" s="134">
        <v>0</v>
      </c>
      <c r="CT23" s="134">
        <v>204</v>
      </c>
      <c r="CU23" s="134">
        <v>1183</v>
      </c>
      <c r="CV23" s="134">
        <v>1387</v>
      </c>
      <c r="CW23" s="134">
        <v>14</v>
      </c>
      <c r="CX23" s="134">
        <v>64</v>
      </c>
      <c r="CY23" s="134">
        <v>78</v>
      </c>
      <c r="CZ23" s="134">
        <v>14</v>
      </c>
      <c r="DA23" s="134">
        <v>0</v>
      </c>
      <c r="DB23" s="134">
        <v>0</v>
      </c>
      <c r="DC23" s="134">
        <v>63</v>
      </c>
      <c r="DD23" s="134">
        <v>0</v>
      </c>
      <c r="DE23" s="134">
        <v>0</v>
      </c>
      <c r="DF23" s="134">
        <v>14</v>
      </c>
      <c r="DG23" s="134">
        <v>63</v>
      </c>
      <c r="DH23" s="134">
        <v>77</v>
      </c>
      <c r="DI23" s="134">
        <v>0</v>
      </c>
      <c r="DJ23" s="134">
        <v>0</v>
      </c>
      <c r="DK23" s="134">
        <v>0</v>
      </c>
      <c r="DL23" s="134">
        <v>1</v>
      </c>
      <c r="DM23" s="134">
        <v>0</v>
      </c>
      <c r="DN23" s="134">
        <v>0</v>
      </c>
      <c r="DO23" s="134">
        <v>0</v>
      </c>
      <c r="DP23" s="134">
        <v>1</v>
      </c>
      <c r="DQ23" s="134">
        <v>1</v>
      </c>
      <c r="DR23" s="134">
        <v>0</v>
      </c>
      <c r="DS23" s="134">
        <v>0</v>
      </c>
      <c r="DT23" s="135">
        <v>0</v>
      </c>
      <c r="DV23" s="136"/>
      <c r="DW23" s="137"/>
      <c r="DX23" s="136"/>
      <c r="DY23" s="136"/>
    </row>
    <row r="24" spans="1:129" s="116" customFormat="1">
      <c r="A24" s="133" t="s">
        <v>293</v>
      </c>
      <c r="B24" s="134">
        <v>48406</v>
      </c>
      <c r="C24" s="134">
        <v>16881</v>
      </c>
      <c r="D24" s="134">
        <v>49478</v>
      </c>
      <c r="E24" s="134">
        <v>31868</v>
      </c>
      <c r="F24" s="134">
        <v>67</v>
      </c>
      <c r="G24" s="134">
        <v>427</v>
      </c>
      <c r="H24" s="134">
        <v>494</v>
      </c>
      <c r="I24" s="134">
        <v>41</v>
      </c>
      <c r="J24" s="134">
        <v>15679</v>
      </c>
      <c r="K24" s="134">
        <v>15720</v>
      </c>
      <c r="L24" s="134">
        <v>22</v>
      </c>
      <c r="M24" s="134">
        <v>4302</v>
      </c>
      <c r="N24" s="134">
        <v>4324</v>
      </c>
      <c r="O24" s="134">
        <v>19</v>
      </c>
      <c r="P24" s="134">
        <v>11377</v>
      </c>
      <c r="Q24" s="134">
        <v>11396</v>
      </c>
      <c r="R24" s="134">
        <v>4</v>
      </c>
      <c r="S24" s="134">
        <v>262</v>
      </c>
      <c r="T24" s="134">
        <v>266</v>
      </c>
      <c r="U24" s="134">
        <v>0</v>
      </c>
      <c r="V24" s="134">
        <v>1890</v>
      </c>
      <c r="W24" s="134">
        <v>1890</v>
      </c>
      <c r="X24" s="134">
        <v>2144</v>
      </c>
      <c r="Y24" s="134">
        <v>47330</v>
      </c>
      <c r="Z24" s="134">
        <v>49474</v>
      </c>
      <c r="AA24" s="134">
        <v>1458</v>
      </c>
      <c r="AB24" s="134">
        <v>18848</v>
      </c>
      <c r="AC24" s="134">
        <v>20306</v>
      </c>
      <c r="AD24" s="134">
        <v>1205</v>
      </c>
      <c r="AE24" s="134">
        <v>17224</v>
      </c>
      <c r="AF24" s="134">
        <v>18429</v>
      </c>
      <c r="AG24" s="134">
        <v>76</v>
      </c>
      <c r="AH24" s="134">
        <v>675</v>
      </c>
      <c r="AI24" s="134">
        <v>751</v>
      </c>
      <c r="AJ24" s="134">
        <v>177</v>
      </c>
      <c r="AK24" s="134">
        <v>949</v>
      </c>
      <c r="AL24" s="134">
        <v>1126</v>
      </c>
      <c r="AM24" s="134">
        <v>686</v>
      </c>
      <c r="AN24" s="134">
        <v>28482</v>
      </c>
      <c r="AO24" s="134">
        <v>29168</v>
      </c>
      <c r="AP24" s="134">
        <v>77583</v>
      </c>
      <c r="AQ24" s="134">
        <v>429087</v>
      </c>
      <c r="AR24" s="134">
        <v>506670</v>
      </c>
      <c r="AS24" s="134">
        <v>78781</v>
      </c>
      <c r="AT24" s="134">
        <v>442996</v>
      </c>
      <c r="AU24" s="134">
        <v>521777</v>
      </c>
      <c r="AV24" s="134">
        <v>-1198</v>
      </c>
      <c r="AW24" s="134">
        <v>-13909</v>
      </c>
      <c r="AX24" s="134">
        <v>-15107</v>
      </c>
      <c r="AY24" s="134">
        <v>3605</v>
      </c>
      <c r="AZ24" s="134">
        <v>44452</v>
      </c>
      <c r="BA24" s="134">
        <v>48057</v>
      </c>
      <c r="BB24" s="134">
        <v>2277</v>
      </c>
      <c r="BC24" s="134">
        <v>44</v>
      </c>
      <c r="BD24" s="134">
        <v>7</v>
      </c>
      <c r="BE24" s="134">
        <v>28882</v>
      </c>
      <c r="BF24" s="134">
        <v>391</v>
      </c>
      <c r="BG24" s="134">
        <v>267</v>
      </c>
      <c r="BH24" s="134">
        <v>2328</v>
      </c>
      <c r="BI24" s="134">
        <v>29540</v>
      </c>
      <c r="BJ24" s="134">
        <v>31868</v>
      </c>
      <c r="BK24" s="134">
        <v>-1286</v>
      </c>
      <c r="BL24" s="134">
        <v>1286</v>
      </c>
      <c r="BM24" s="134">
        <v>0</v>
      </c>
      <c r="BN24" s="134">
        <v>76</v>
      </c>
      <c r="BO24" s="134">
        <v>317</v>
      </c>
      <c r="BP24" s="134">
        <v>393</v>
      </c>
      <c r="BQ24" s="134">
        <v>367</v>
      </c>
      <c r="BR24" s="134">
        <v>2798</v>
      </c>
      <c r="BS24" s="134">
        <v>3165</v>
      </c>
      <c r="BT24" s="134">
        <v>2120</v>
      </c>
      <c r="BU24" s="134">
        <v>10511</v>
      </c>
      <c r="BV24" s="134">
        <v>12631</v>
      </c>
      <c r="BW24" s="134">
        <v>81188</v>
      </c>
      <c r="BX24" s="134">
        <v>473539</v>
      </c>
      <c r="BY24" s="134">
        <v>554727</v>
      </c>
      <c r="BZ24" s="134">
        <v>78805</v>
      </c>
      <c r="CA24" s="134">
        <v>464594</v>
      </c>
      <c r="CB24" s="134">
        <v>543399</v>
      </c>
      <c r="CC24" s="134">
        <v>1088485</v>
      </c>
      <c r="CD24" s="134">
        <v>678</v>
      </c>
      <c r="CE24" s="134">
        <v>9185</v>
      </c>
      <c r="CF24" s="134">
        <v>2208</v>
      </c>
      <c r="CG24" s="134">
        <v>5497</v>
      </c>
      <c r="CH24" s="134">
        <v>7705</v>
      </c>
      <c r="CI24" s="134">
        <v>4078</v>
      </c>
      <c r="CJ24" s="134">
        <v>530</v>
      </c>
      <c r="CK24" s="134">
        <v>175</v>
      </c>
      <c r="CL24" s="134">
        <v>3448</v>
      </c>
      <c r="CM24" s="134">
        <v>3623</v>
      </c>
      <c r="CN24" s="134">
        <v>3381</v>
      </c>
      <c r="CO24" s="134">
        <v>25900</v>
      </c>
      <c r="CP24" s="134">
        <v>29281</v>
      </c>
      <c r="CQ24" s="134">
        <v>37</v>
      </c>
      <c r="CR24" s="134">
        <v>262</v>
      </c>
      <c r="CS24" s="134">
        <v>299</v>
      </c>
      <c r="CT24" s="134">
        <v>77807</v>
      </c>
      <c r="CU24" s="134">
        <v>447639</v>
      </c>
      <c r="CV24" s="134">
        <v>525446</v>
      </c>
      <c r="CW24" s="134">
        <v>4986</v>
      </c>
      <c r="CX24" s="134">
        <v>19115</v>
      </c>
      <c r="CY24" s="134">
        <v>24101</v>
      </c>
      <c r="CZ24" s="134">
        <v>4794</v>
      </c>
      <c r="DA24" s="134">
        <v>150</v>
      </c>
      <c r="DB24" s="134">
        <v>8</v>
      </c>
      <c r="DC24" s="134">
        <v>18523</v>
      </c>
      <c r="DD24" s="134">
        <v>292</v>
      </c>
      <c r="DE24" s="134">
        <v>90</v>
      </c>
      <c r="DF24" s="134">
        <v>4952</v>
      </c>
      <c r="DG24" s="134">
        <v>18905</v>
      </c>
      <c r="DH24" s="134">
        <v>23857</v>
      </c>
      <c r="DI24" s="134">
        <v>33</v>
      </c>
      <c r="DJ24" s="134">
        <v>1</v>
      </c>
      <c r="DK24" s="134">
        <v>0</v>
      </c>
      <c r="DL24" s="134">
        <v>204</v>
      </c>
      <c r="DM24" s="134">
        <v>6</v>
      </c>
      <c r="DN24" s="134">
        <v>0</v>
      </c>
      <c r="DO24" s="134">
        <v>34</v>
      </c>
      <c r="DP24" s="134">
        <v>210</v>
      </c>
      <c r="DQ24" s="134">
        <v>244</v>
      </c>
      <c r="DR24" s="134">
        <v>0</v>
      </c>
      <c r="DS24" s="134">
        <v>0</v>
      </c>
      <c r="DT24" s="135">
        <v>0</v>
      </c>
      <c r="DV24" s="136"/>
      <c r="DW24" s="137"/>
      <c r="DX24" s="136"/>
      <c r="DY24" s="136"/>
    </row>
    <row r="25" spans="1:129" s="116" customFormat="1">
      <c r="A25" s="133" t="s">
        <v>294</v>
      </c>
      <c r="B25" s="134">
        <v>595</v>
      </c>
      <c r="C25" s="134">
        <v>105</v>
      </c>
      <c r="D25" s="134">
        <v>601</v>
      </c>
      <c r="E25" s="134">
        <v>392</v>
      </c>
      <c r="F25" s="134">
        <v>0</v>
      </c>
      <c r="G25" s="134">
        <v>1</v>
      </c>
      <c r="H25" s="134">
        <v>1</v>
      </c>
      <c r="I25" s="134">
        <v>0</v>
      </c>
      <c r="J25" s="134">
        <v>195</v>
      </c>
      <c r="K25" s="134">
        <v>195</v>
      </c>
      <c r="L25" s="134">
        <v>0</v>
      </c>
      <c r="M25" s="134">
        <v>69</v>
      </c>
      <c r="N25" s="134">
        <v>69</v>
      </c>
      <c r="O25" s="134">
        <v>0</v>
      </c>
      <c r="P25" s="134">
        <v>126</v>
      </c>
      <c r="Q25" s="134">
        <v>126</v>
      </c>
      <c r="R25" s="134">
        <v>0</v>
      </c>
      <c r="S25" s="134">
        <v>2</v>
      </c>
      <c r="T25" s="134">
        <v>2</v>
      </c>
      <c r="U25" s="134">
        <v>0</v>
      </c>
      <c r="V25" s="134">
        <v>14</v>
      </c>
      <c r="W25" s="134">
        <v>14</v>
      </c>
      <c r="X25" s="134">
        <v>12</v>
      </c>
      <c r="Y25" s="134">
        <v>588</v>
      </c>
      <c r="Z25" s="134">
        <v>600</v>
      </c>
      <c r="AA25" s="134">
        <v>8</v>
      </c>
      <c r="AB25" s="134">
        <v>232</v>
      </c>
      <c r="AC25" s="134">
        <v>240</v>
      </c>
      <c r="AD25" s="134">
        <v>8</v>
      </c>
      <c r="AE25" s="134">
        <v>231</v>
      </c>
      <c r="AF25" s="134">
        <v>239</v>
      </c>
      <c r="AG25" s="134">
        <v>0</v>
      </c>
      <c r="AH25" s="134">
        <v>1</v>
      </c>
      <c r="AI25" s="134">
        <v>1</v>
      </c>
      <c r="AJ25" s="134">
        <v>0</v>
      </c>
      <c r="AK25" s="134">
        <v>0</v>
      </c>
      <c r="AL25" s="134">
        <v>0</v>
      </c>
      <c r="AM25" s="134">
        <v>4</v>
      </c>
      <c r="AN25" s="134">
        <v>356</v>
      </c>
      <c r="AO25" s="134">
        <v>360</v>
      </c>
      <c r="AP25" s="134">
        <v>1525</v>
      </c>
      <c r="AQ25" s="134">
        <v>9206</v>
      </c>
      <c r="AR25" s="134">
        <v>10731</v>
      </c>
      <c r="AS25" s="134">
        <v>1525</v>
      </c>
      <c r="AT25" s="134">
        <v>9206</v>
      </c>
      <c r="AU25" s="134">
        <v>10731</v>
      </c>
      <c r="AV25" s="134">
        <v>0</v>
      </c>
      <c r="AW25" s="134">
        <v>0</v>
      </c>
      <c r="AX25" s="134">
        <v>0</v>
      </c>
      <c r="AY25" s="134">
        <v>13</v>
      </c>
      <c r="AZ25" s="134">
        <v>667</v>
      </c>
      <c r="BA25" s="134">
        <v>680</v>
      </c>
      <c r="BB25" s="134">
        <v>19</v>
      </c>
      <c r="BC25" s="134">
        <v>0</v>
      </c>
      <c r="BD25" s="134">
        <v>0</v>
      </c>
      <c r="BE25" s="134">
        <v>372</v>
      </c>
      <c r="BF25" s="134">
        <v>1</v>
      </c>
      <c r="BG25" s="134">
        <v>0</v>
      </c>
      <c r="BH25" s="134">
        <v>19</v>
      </c>
      <c r="BI25" s="134">
        <v>373</v>
      </c>
      <c r="BJ25" s="134">
        <v>392</v>
      </c>
      <c r="BK25" s="134">
        <v>-37</v>
      </c>
      <c r="BL25" s="134">
        <v>37</v>
      </c>
      <c r="BM25" s="134">
        <v>0</v>
      </c>
      <c r="BN25" s="134">
        <v>10</v>
      </c>
      <c r="BO25" s="134">
        <v>29</v>
      </c>
      <c r="BP25" s="134">
        <v>39</v>
      </c>
      <c r="BQ25" s="134">
        <v>5</v>
      </c>
      <c r="BR25" s="134">
        <v>131</v>
      </c>
      <c r="BS25" s="134">
        <v>136</v>
      </c>
      <c r="BT25" s="134">
        <v>16</v>
      </c>
      <c r="BU25" s="134">
        <v>97</v>
      </c>
      <c r="BV25" s="134">
        <v>113</v>
      </c>
      <c r="BW25" s="134">
        <v>1538</v>
      </c>
      <c r="BX25" s="134">
        <v>9873</v>
      </c>
      <c r="BY25" s="134">
        <v>11411</v>
      </c>
      <c r="BZ25" s="134">
        <v>1525</v>
      </c>
      <c r="CA25" s="134">
        <v>9802</v>
      </c>
      <c r="CB25" s="134">
        <v>11327</v>
      </c>
      <c r="CC25" s="134">
        <v>27503</v>
      </c>
      <c r="CD25" s="134">
        <v>2</v>
      </c>
      <c r="CE25" s="134">
        <v>79</v>
      </c>
      <c r="CF25" s="134">
        <v>12</v>
      </c>
      <c r="CG25" s="134">
        <v>66</v>
      </c>
      <c r="CH25" s="134">
        <v>78</v>
      </c>
      <c r="CI25" s="134">
        <v>7</v>
      </c>
      <c r="CJ25" s="134">
        <v>2</v>
      </c>
      <c r="CK25" s="134">
        <v>1</v>
      </c>
      <c r="CL25" s="134">
        <v>5</v>
      </c>
      <c r="CM25" s="134">
        <v>6</v>
      </c>
      <c r="CN25" s="134">
        <v>93</v>
      </c>
      <c r="CO25" s="134">
        <v>750</v>
      </c>
      <c r="CP25" s="134">
        <v>843</v>
      </c>
      <c r="CQ25" s="134">
        <v>0</v>
      </c>
      <c r="CR25" s="134">
        <v>0</v>
      </c>
      <c r="CS25" s="134">
        <v>0</v>
      </c>
      <c r="CT25" s="134">
        <v>1445</v>
      </c>
      <c r="CU25" s="134">
        <v>9123</v>
      </c>
      <c r="CV25" s="134">
        <v>10568</v>
      </c>
      <c r="CW25" s="134">
        <v>102</v>
      </c>
      <c r="CX25" s="134">
        <v>528</v>
      </c>
      <c r="CY25" s="134">
        <v>630</v>
      </c>
      <c r="CZ25" s="134">
        <v>101</v>
      </c>
      <c r="DA25" s="134">
        <v>1</v>
      </c>
      <c r="DB25" s="134">
        <v>0</v>
      </c>
      <c r="DC25" s="134">
        <v>520</v>
      </c>
      <c r="DD25" s="134">
        <v>1</v>
      </c>
      <c r="DE25" s="134">
        <v>0</v>
      </c>
      <c r="DF25" s="134">
        <v>102</v>
      </c>
      <c r="DG25" s="134">
        <v>521</v>
      </c>
      <c r="DH25" s="134">
        <v>623</v>
      </c>
      <c r="DI25" s="134">
        <v>0</v>
      </c>
      <c r="DJ25" s="134">
        <v>0</v>
      </c>
      <c r="DK25" s="134">
        <v>0</v>
      </c>
      <c r="DL25" s="134">
        <v>7</v>
      </c>
      <c r="DM25" s="134">
        <v>0</v>
      </c>
      <c r="DN25" s="134">
        <v>0</v>
      </c>
      <c r="DO25" s="134">
        <v>0</v>
      </c>
      <c r="DP25" s="134">
        <v>7</v>
      </c>
      <c r="DQ25" s="134">
        <v>7</v>
      </c>
      <c r="DR25" s="134">
        <v>0</v>
      </c>
      <c r="DS25" s="134">
        <v>0</v>
      </c>
      <c r="DT25" s="135">
        <v>0</v>
      </c>
      <c r="DV25" s="136"/>
      <c r="DW25" s="137"/>
      <c r="DX25" s="136"/>
      <c r="DY25" s="136"/>
    </row>
    <row r="26" spans="1:129" s="116" customFormat="1">
      <c r="A26" s="133" t="s">
        <v>295</v>
      </c>
      <c r="B26" s="134">
        <v>460</v>
      </c>
      <c r="C26" s="134">
        <v>162</v>
      </c>
      <c r="D26" s="134">
        <v>453</v>
      </c>
      <c r="E26" s="134">
        <v>284</v>
      </c>
      <c r="F26" s="134">
        <v>0</v>
      </c>
      <c r="G26" s="134">
        <v>4</v>
      </c>
      <c r="H26" s="134">
        <v>4</v>
      </c>
      <c r="I26" s="134">
        <v>0</v>
      </c>
      <c r="J26" s="134">
        <v>146</v>
      </c>
      <c r="K26" s="134">
        <v>146</v>
      </c>
      <c r="L26" s="134">
        <v>0</v>
      </c>
      <c r="M26" s="134">
        <v>48</v>
      </c>
      <c r="N26" s="134">
        <v>48</v>
      </c>
      <c r="O26" s="134">
        <v>0</v>
      </c>
      <c r="P26" s="134">
        <v>98</v>
      </c>
      <c r="Q26" s="134">
        <v>98</v>
      </c>
      <c r="R26" s="134">
        <v>0</v>
      </c>
      <c r="S26" s="134">
        <v>2</v>
      </c>
      <c r="T26" s="134">
        <v>2</v>
      </c>
      <c r="U26" s="134">
        <v>0</v>
      </c>
      <c r="V26" s="134">
        <v>23</v>
      </c>
      <c r="W26" s="134">
        <v>23</v>
      </c>
      <c r="X26" s="134">
        <v>5</v>
      </c>
      <c r="Y26" s="134">
        <v>448</v>
      </c>
      <c r="Z26" s="134">
        <v>453</v>
      </c>
      <c r="AA26" s="134">
        <v>3</v>
      </c>
      <c r="AB26" s="134">
        <v>181</v>
      </c>
      <c r="AC26" s="134">
        <v>184</v>
      </c>
      <c r="AD26" s="134">
        <v>2</v>
      </c>
      <c r="AE26" s="134">
        <v>167</v>
      </c>
      <c r="AF26" s="134">
        <v>169</v>
      </c>
      <c r="AG26" s="134">
        <v>0</v>
      </c>
      <c r="AH26" s="134">
        <v>8</v>
      </c>
      <c r="AI26" s="134">
        <v>8</v>
      </c>
      <c r="AJ26" s="134">
        <v>1</v>
      </c>
      <c r="AK26" s="134">
        <v>6</v>
      </c>
      <c r="AL26" s="134">
        <v>7</v>
      </c>
      <c r="AM26" s="134">
        <v>2</v>
      </c>
      <c r="AN26" s="134">
        <v>267</v>
      </c>
      <c r="AO26" s="134">
        <v>269</v>
      </c>
      <c r="AP26" s="134">
        <v>531</v>
      </c>
      <c r="AQ26" s="134">
        <v>5019</v>
      </c>
      <c r="AR26" s="134">
        <v>5550</v>
      </c>
      <c r="AS26" s="134">
        <v>531</v>
      </c>
      <c r="AT26" s="134">
        <v>5021</v>
      </c>
      <c r="AU26" s="134">
        <v>5552</v>
      </c>
      <c r="AV26" s="134">
        <v>0</v>
      </c>
      <c r="AW26" s="134">
        <v>-2</v>
      </c>
      <c r="AX26" s="134">
        <v>-2</v>
      </c>
      <c r="AY26" s="134">
        <v>27</v>
      </c>
      <c r="AZ26" s="134">
        <v>445</v>
      </c>
      <c r="BA26" s="134">
        <v>472</v>
      </c>
      <c r="BB26" s="134">
        <v>6</v>
      </c>
      <c r="BC26" s="134">
        <v>0</v>
      </c>
      <c r="BD26" s="134">
        <v>0</v>
      </c>
      <c r="BE26" s="134">
        <v>262</v>
      </c>
      <c r="BF26" s="134">
        <v>10</v>
      </c>
      <c r="BG26" s="134">
        <v>6</v>
      </c>
      <c r="BH26" s="134">
        <v>6</v>
      </c>
      <c r="BI26" s="134">
        <v>278</v>
      </c>
      <c r="BJ26" s="134">
        <v>284</v>
      </c>
      <c r="BK26" s="134">
        <v>6</v>
      </c>
      <c r="BL26" s="134">
        <v>-6</v>
      </c>
      <c r="BM26" s="134">
        <v>0</v>
      </c>
      <c r="BN26" s="134">
        <v>3</v>
      </c>
      <c r="BO26" s="134">
        <v>20</v>
      </c>
      <c r="BP26" s="134">
        <v>23</v>
      </c>
      <c r="BQ26" s="134">
        <v>5</v>
      </c>
      <c r="BR26" s="134">
        <v>55</v>
      </c>
      <c r="BS26" s="134">
        <v>60</v>
      </c>
      <c r="BT26" s="134">
        <v>7</v>
      </c>
      <c r="BU26" s="134">
        <v>98</v>
      </c>
      <c r="BV26" s="134">
        <v>105</v>
      </c>
      <c r="BW26" s="134">
        <v>558</v>
      </c>
      <c r="BX26" s="134">
        <v>5464</v>
      </c>
      <c r="BY26" s="134">
        <v>6022</v>
      </c>
      <c r="BZ26" s="134">
        <v>517</v>
      </c>
      <c r="CA26" s="134">
        <v>5160</v>
      </c>
      <c r="CB26" s="134">
        <v>5677</v>
      </c>
      <c r="CC26" s="134">
        <v>9563</v>
      </c>
      <c r="CD26" s="134">
        <v>7</v>
      </c>
      <c r="CE26" s="134">
        <v>306</v>
      </c>
      <c r="CF26" s="134">
        <v>40</v>
      </c>
      <c r="CG26" s="134">
        <v>230</v>
      </c>
      <c r="CH26" s="134">
        <v>270</v>
      </c>
      <c r="CI26" s="134">
        <v>74</v>
      </c>
      <c r="CJ26" s="134">
        <v>19</v>
      </c>
      <c r="CK26" s="134">
        <v>1</v>
      </c>
      <c r="CL26" s="134">
        <v>74</v>
      </c>
      <c r="CM26" s="134">
        <v>75</v>
      </c>
      <c r="CN26" s="134">
        <v>33</v>
      </c>
      <c r="CO26" s="134">
        <v>465</v>
      </c>
      <c r="CP26" s="134">
        <v>498</v>
      </c>
      <c r="CQ26" s="134">
        <v>0</v>
      </c>
      <c r="CR26" s="134">
        <v>3</v>
      </c>
      <c r="CS26" s="134">
        <v>3</v>
      </c>
      <c r="CT26" s="134">
        <v>525</v>
      </c>
      <c r="CU26" s="134">
        <v>4999</v>
      </c>
      <c r="CV26" s="134">
        <v>5524</v>
      </c>
      <c r="CW26" s="134">
        <v>40</v>
      </c>
      <c r="CX26" s="134">
        <v>178</v>
      </c>
      <c r="CY26" s="134">
        <v>218</v>
      </c>
      <c r="CZ26" s="134">
        <v>35</v>
      </c>
      <c r="DA26" s="134">
        <v>5</v>
      </c>
      <c r="DB26" s="134">
        <v>0</v>
      </c>
      <c r="DC26" s="134">
        <v>164</v>
      </c>
      <c r="DD26" s="134">
        <v>11</v>
      </c>
      <c r="DE26" s="134">
        <v>2</v>
      </c>
      <c r="DF26" s="134">
        <v>40</v>
      </c>
      <c r="DG26" s="134">
        <v>177</v>
      </c>
      <c r="DH26" s="134">
        <v>217</v>
      </c>
      <c r="DI26" s="134">
        <v>0</v>
      </c>
      <c r="DJ26" s="134">
        <v>0</v>
      </c>
      <c r="DK26" s="134">
        <v>0</v>
      </c>
      <c r="DL26" s="134">
        <v>1</v>
      </c>
      <c r="DM26" s="134">
        <v>0</v>
      </c>
      <c r="DN26" s="134">
        <v>0</v>
      </c>
      <c r="DO26" s="134">
        <v>0</v>
      </c>
      <c r="DP26" s="134">
        <v>1</v>
      </c>
      <c r="DQ26" s="134">
        <v>1</v>
      </c>
      <c r="DR26" s="134">
        <v>0</v>
      </c>
      <c r="DS26" s="134">
        <v>0</v>
      </c>
      <c r="DT26" s="135">
        <v>0</v>
      </c>
      <c r="DV26" s="136"/>
      <c r="DW26" s="137"/>
      <c r="DX26" s="136"/>
      <c r="DY26" s="136"/>
    </row>
    <row r="27" spans="1:129" s="116" customFormat="1">
      <c r="A27" s="133" t="s">
        <v>296</v>
      </c>
      <c r="B27" s="134">
        <v>66</v>
      </c>
      <c r="C27" s="134">
        <v>14</v>
      </c>
      <c r="D27" s="134">
        <v>77</v>
      </c>
      <c r="E27" s="134">
        <v>45</v>
      </c>
      <c r="F27" s="134">
        <v>1</v>
      </c>
      <c r="G27" s="134">
        <v>0</v>
      </c>
      <c r="H27" s="134">
        <v>1</v>
      </c>
      <c r="I27" s="134">
        <v>0</v>
      </c>
      <c r="J27" s="134">
        <v>27</v>
      </c>
      <c r="K27" s="134">
        <v>27</v>
      </c>
      <c r="L27" s="134">
        <v>0</v>
      </c>
      <c r="M27" s="134">
        <v>8</v>
      </c>
      <c r="N27" s="134">
        <v>8</v>
      </c>
      <c r="O27" s="134">
        <v>0</v>
      </c>
      <c r="P27" s="134">
        <v>19</v>
      </c>
      <c r="Q27" s="134">
        <v>19</v>
      </c>
      <c r="R27" s="134">
        <v>0</v>
      </c>
      <c r="S27" s="134">
        <v>2</v>
      </c>
      <c r="T27" s="134">
        <v>2</v>
      </c>
      <c r="U27" s="134">
        <v>0</v>
      </c>
      <c r="V27" s="134">
        <v>5</v>
      </c>
      <c r="W27" s="134">
        <v>5</v>
      </c>
      <c r="X27" s="134">
        <v>1</v>
      </c>
      <c r="Y27" s="134">
        <v>76</v>
      </c>
      <c r="Z27" s="134">
        <v>77</v>
      </c>
      <c r="AA27" s="134">
        <v>0</v>
      </c>
      <c r="AB27" s="134">
        <v>26</v>
      </c>
      <c r="AC27" s="134">
        <v>26</v>
      </c>
      <c r="AD27" s="134">
        <v>0</v>
      </c>
      <c r="AE27" s="134">
        <v>23</v>
      </c>
      <c r="AF27" s="134">
        <v>23</v>
      </c>
      <c r="AG27" s="134">
        <v>0</v>
      </c>
      <c r="AH27" s="134">
        <v>2</v>
      </c>
      <c r="AI27" s="134">
        <v>2</v>
      </c>
      <c r="AJ27" s="134">
        <v>0</v>
      </c>
      <c r="AK27" s="134">
        <v>1</v>
      </c>
      <c r="AL27" s="134">
        <v>1</v>
      </c>
      <c r="AM27" s="134">
        <v>1</v>
      </c>
      <c r="AN27" s="134">
        <v>50</v>
      </c>
      <c r="AO27" s="134">
        <v>51</v>
      </c>
      <c r="AP27" s="134">
        <v>83</v>
      </c>
      <c r="AQ27" s="134">
        <v>890</v>
      </c>
      <c r="AR27" s="134">
        <v>973</v>
      </c>
      <c r="AS27" s="134">
        <v>83</v>
      </c>
      <c r="AT27" s="134">
        <v>890</v>
      </c>
      <c r="AU27" s="134">
        <v>973</v>
      </c>
      <c r="AV27" s="134">
        <v>0</v>
      </c>
      <c r="AW27" s="134">
        <v>0</v>
      </c>
      <c r="AX27" s="134">
        <v>0</v>
      </c>
      <c r="AY27" s="134">
        <v>4</v>
      </c>
      <c r="AZ27" s="134">
        <v>67</v>
      </c>
      <c r="BA27" s="134">
        <v>71</v>
      </c>
      <c r="BB27" s="134">
        <v>1</v>
      </c>
      <c r="BC27" s="134">
        <v>0</v>
      </c>
      <c r="BD27" s="134">
        <v>0</v>
      </c>
      <c r="BE27" s="134">
        <v>44</v>
      </c>
      <c r="BF27" s="134">
        <v>0</v>
      </c>
      <c r="BG27" s="134">
        <v>0</v>
      </c>
      <c r="BH27" s="134">
        <v>1</v>
      </c>
      <c r="BI27" s="134">
        <v>44</v>
      </c>
      <c r="BJ27" s="134">
        <v>45</v>
      </c>
      <c r="BK27" s="134">
        <v>2</v>
      </c>
      <c r="BL27" s="134">
        <v>-2</v>
      </c>
      <c r="BM27" s="134">
        <v>0</v>
      </c>
      <c r="BN27" s="134">
        <v>1</v>
      </c>
      <c r="BO27" s="134">
        <v>6</v>
      </c>
      <c r="BP27" s="134">
        <v>7</v>
      </c>
      <c r="BQ27" s="134">
        <v>0</v>
      </c>
      <c r="BR27" s="134">
        <v>8</v>
      </c>
      <c r="BS27" s="134">
        <v>8</v>
      </c>
      <c r="BT27" s="134">
        <v>0</v>
      </c>
      <c r="BU27" s="134">
        <v>11</v>
      </c>
      <c r="BV27" s="134">
        <v>11</v>
      </c>
      <c r="BW27" s="134">
        <v>87</v>
      </c>
      <c r="BX27" s="134">
        <v>957</v>
      </c>
      <c r="BY27" s="134">
        <v>1044</v>
      </c>
      <c r="BZ27" s="134">
        <v>86</v>
      </c>
      <c r="CA27" s="134">
        <v>955</v>
      </c>
      <c r="CB27" s="134">
        <v>1041</v>
      </c>
      <c r="CC27" s="134">
        <v>1921</v>
      </c>
      <c r="CD27" s="134">
        <v>0</v>
      </c>
      <c r="CE27" s="134">
        <v>2</v>
      </c>
      <c r="CF27" s="134">
        <v>1</v>
      </c>
      <c r="CG27" s="134">
        <v>1</v>
      </c>
      <c r="CH27" s="134">
        <v>2</v>
      </c>
      <c r="CI27" s="134">
        <v>1</v>
      </c>
      <c r="CJ27" s="134">
        <v>0</v>
      </c>
      <c r="CK27" s="134">
        <v>0</v>
      </c>
      <c r="CL27" s="134">
        <v>1</v>
      </c>
      <c r="CM27" s="134">
        <v>1</v>
      </c>
      <c r="CN27" s="134">
        <v>4</v>
      </c>
      <c r="CO27" s="134">
        <v>76</v>
      </c>
      <c r="CP27" s="134">
        <v>80</v>
      </c>
      <c r="CQ27" s="134">
        <v>0</v>
      </c>
      <c r="CR27" s="134">
        <v>1</v>
      </c>
      <c r="CS27" s="134">
        <v>1</v>
      </c>
      <c r="CT27" s="134">
        <v>83</v>
      </c>
      <c r="CU27" s="134">
        <v>881</v>
      </c>
      <c r="CV27" s="134">
        <v>964</v>
      </c>
      <c r="CW27" s="134">
        <v>7</v>
      </c>
      <c r="CX27" s="134">
        <v>27</v>
      </c>
      <c r="CY27" s="134">
        <v>34</v>
      </c>
      <c r="CZ27" s="134">
        <v>7</v>
      </c>
      <c r="DA27" s="134">
        <v>0</v>
      </c>
      <c r="DB27" s="134">
        <v>0</v>
      </c>
      <c r="DC27" s="134">
        <v>27</v>
      </c>
      <c r="DD27" s="134">
        <v>0</v>
      </c>
      <c r="DE27" s="134">
        <v>0</v>
      </c>
      <c r="DF27" s="134">
        <v>7</v>
      </c>
      <c r="DG27" s="134">
        <v>27</v>
      </c>
      <c r="DH27" s="134">
        <v>34</v>
      </c>
      <c r="DI27" s="134">
        <v>0</v>
      </c>
      <c r="DJ27" s="134">
        <v>0</v>
      </c>
      <c r="DK27" s="134">
        <v>0</v>
      </c>
      <c r="DL27" s="134">
        <v>0</v>
      </c>
      <c r="DM27" s="134">
        <v>0</v>
      </c>
      <c r="DN27" s="134">
        <v>0</v>
      </c>
      <c r="DO27" s="134">
        <v>0</v>
      </c>
      <c r="DP27" s="134">
        <v>0</v>
      </c>
      <c r="DQ27" s="134">
        <v>0</v>
      </c>
      <c r="DR27" s="134">
        <v>0</v>
      </c>
      <c r="DS27" s="134">
        <v>0</v>
      </c>
      <c r="DT27" s="135">
        <v>0</v>
      </c>
      <c r="DV27" s="136"/>
      <c r="DW27" s="137"/>
      <c r="DX27" s="136"/>
      <c r="DY27" s="136"/>
    </row>
    <row r="28" spans="1:129" s="116" customFormat="1">
      <c r="A28" s="133" t="s">
        <v>297</v>
      </c>
      <c r="B28" s="134">
        <v>479</v>
      </c>
      <c r="C28" s="134">
        <v>75</v>
      </c>
      <c r="D28" s="134">
        <v>480</v>
      </c>
      <c r="E28" s="134">
        <v>356</v>
      </c>
      <c r="F28" s="134">
        <v>0</v>
      </c>
      <c r="G28" s="134">
        <v>15</v>
      </c>
      <c r="H28" s="134">
        <v>15</v>
      </c>
      <c r="I28" s="134">
        <v>0</v>
      </c>
      <c r="J28" s="134">
        <v>119</v>
      </c>
      <c r="K28" s="134">
        <v>119</v>
      </c>
      <c r="L28" s="134">
        <v>0</v>
      </c>
      <c r="M28" s="134">
        <v>56</v>
      </c>
      <c r="N28" s="134">
        <v>56</v>
      </c>
      <c r="O28" s="134">
        <v>0</v>
      </c>
      <c r="P28" s="134">
        <v>63</v>
      </c>
      <c r="Q28" s="134">
        <v>63</v>
      </c>
      <c r="R28" s="134">
        <v>0</v>
      </c>
      <c r="S28" s="134">
        <v>3</v>
      </c>
      <c r="T28" s="134">
        <v>3</v>
      </c>
      <c r="U28" s="134">
        <v>0</v>
      </c>
      <c r="V28" s="134">
        <v>5</v>
      </c>
      <c r="W28" s="134">
        <v>5</v>
      </c>
      <c r="X28" s="134">
        <v>8</v>
      </c>
      <c r="Y28" s="134">
        <v>472</v>
      </c>
      <c r="Z28" s="134">
        <v>480</v>
      </c>
      <c r="AA28" s="134">
        <v>3</v>
      </c>
      <c r="AB28" s="134">
        <v>248</v>
      </c>
      <c r="AC28" s="134">
        <v>251</v>
      </c>
      <c r="AD28" s="134">
        <v>3</v>
      </c>
      <c r="AE28" s="134">
        <v>234</v>
      </c>
      <c r="AF28" s="134">
        <v>237</v>
      </c>
      <c r="AG28" s="134">
        <v>0</v>
      </c>
      <c r="AH28" s="134">
        <v>8</v>
      </c>
      <c r="AI28" s="134">
        <v>8</v>
      </c>
      <c r="AJ28" s="134">
        <v>0</v>
      </c>
      <c r="AK28" s="134">
        <v>6</v>
      </c>
      <c r="AL28" s="134">
        <v>6</v>
      </c>
      <c r="AM28" s="134">
        <v>5</v>
      </c>
      <c r="AN28" s="134">
        <v>224</v>
      </c>
      <c r="AO28" s="134">
        <v>229</v>
      </c>
      <c r="AP28" s="134">
        <v>477</v>
      </c>
      <c r="AQ28" s="134">
        <v>5388</v>
      </c>
      <c r="AR28" s="134">
        <v>5865</v>
      </c>
      <c r="AS28" s="134">
        <v>477</v>
      </c>
      <c r="AT28" s="134">
        <v>5389</v>
      </c>
      <c r="AU28" s="134">
        <v>5866</v>
      </c>
      <c r="AV28" s="134">
        <v>0</v>
      </c>
      <c r="AW28" s="134">
        <v>-1</v>
      </c>
      <c r="AX28" s="134">
        <v>-1</v>
      </c>
      <c r="AY28" s="134">
        <v>30</v>
      </c>
      <c r="AZ28" s="134">
        <v>564</v>
      </c>
      <c r="BA28" s="134">
        <v>594</v>
      </c>
      <c r="BB28" s="134">
        <v>10</v>
      </c>
      <c r="BC28" s="134">
        <v>0</v>
      </c>
      <c r="BD28" s="134">
        <v>0</v>
      </c>
      <c r="BE28" s="134">
        <v>339</v>
      </c>
      <c r="BF28" s="134">
        <v>6</v>
      </c>
      <c r="BG28" s="134">
        <v>1</v>
      </c>
      <c r="BH28" s="134">
        <v>10</v>
      </c>
      <c r="BI28" s="134">
        <v>346</v>
      </c>
      <c r="BJ28" s="134">
        <v>356</v>
      </c>
      <c r="BK28" s="134">
        <v>6</v>
      </c>
      <c r="BL28" s="134">
        <v>-6</v>
      </c>
      <c r="BM28" s="134">
        <v>0</v>
      </c>
      <c r="BN28" s="134">
        <v>0</v>
      </c>
      <c r="BO28" s="134">
        <v>19</v>
      </c>
      <c r="BP28" s="134">
        <v>19</v>
      </c>
      <c r="BQ28" s="134">
        <v>3</v>
      </c>
      <c r="BR28" s="134">
        <v>80</v>
      </c>
      <c r="BS28" s="134">
        <v>83</v>
      </c>
      <c r="BT28" s="134">
        <v>11</v>
      </c>
      <c r="BU28" s="134">
        <v>125</v>
      </c>
      <c r="BV28" s="134">
        <v>136</v>
      </c>
      <c r="BW28" s="134">
        <v>507</v>
      </c>
      <c r="BX28" s="134">
        <v>5952</v>
      </c>
      <c r="BY28" s="134">
        <v>6459</v>
      </c>
      <c r="BZ28" s="134">
        <v>506</v>
      </c>
      <c r="CA28" s="134">
        <v>5898</v>
      </c>
      <c r="CB28" s="134">
        <v>6404</v>
      </c>
      <c r="CC28" s="134">
        <v>11824</v>
      </c>
      <c r="CD28" s="134">
        <v>4</v>
      </c>
      <c r="CE28" s="134">
        <v>41</v>
      </c>
      <c r="CF28" s="134">
        <v>1</v>
      </c>
      <c r="CG28" s="134">
        <v>41</v>
      </c>
      <c r="CH28" s="134">
        <v>42</v>
      </c>
      <c r="CI28" s="134">
        <v>14</v>
      </c>
      <c r="CJ28" s="134">
        <v>2</v>
      </c>
      <c r="CK28" s="134">
        <v>0</v>
      </c>
      <c r="CL28" s="134">
        <v>13</v>
      </c>
      <c r="CM28" s="134">
        <v>13</v>
      </c>
      <c r="CN28" s="134">
        <v>51</v>
      </c>
      <c r="CO28" s="134">
        <v>544</v>
      </c>
      <c r="CP28" s="134">
        <v>595</v>
      </c>
      <c r="CQ28" s="134">
        <v>0</v>
      </c>
      <c r="CR28" s="134">
        <v>0</v>
      </c>
      <c r="CS28" s="134">
        <v>0</v>
      </c>
      <c r="CT28" s="134">
        <v>456</v>
      </c>
      <c r="CU28" s="134">
        <v>5408</v>
      </c>
      <c r="CV28" s="134">
        <v>5864</v>
      </c>
      <c r="CW28" s="134">
        <v>18</v>
      </c>
      <c r="CX28" s="134">
        <v>187</v>
      </c>
      <c r="CY28" s="134">
        <v>205</v>
      </c>
      <c r="CZ28" s="134">
        <v>17</v>
      </c>
      <c r="DA28" s="134">
        <v>1</v>
      </c>
      <c r="DB28" s="134">
        <v>0</v>
      </c>
      <c r="DC28" s="134">
        <v>183</v>
      </c>
      <c r="DD28" s="134">
        <v>3</v>
      </c>
      <c r="DE28" s="134">
        <v>0</v>
      </c>
      <c r="DF28" s="134">
        <v>18</v>
      </c>
      <c r="DG28" s="134">
        <v>186</v>
      </c>
      <c r="DH28" s="134">
        <v>204</v>
      </c>
      <c r="DI28" s="134">
        <v>0</v>
      </c>
      <c r="DJ28" s="134">
        <v>0</v>
      </c>
      <c r="DK28" s="134">
        <v>0</v>
      </c>
      <c r="DL28" s="134">
        <v>1</v>
      </c>
      <c r="DM28" s="134">
        <v>0</v>
      </c>
      <c r="DN28" s="134">
        <v>0</v>
      </c>
      <c r="DO28" s="134">
        <v>0</v>
      </c>
      <c r="DP28" s="134">
        <v>1</v>
      </c>
      <c r="DQ28" s="134">
        <v>1</v>
      </c>
      <c r="DR28" s="134">
        <v>0</v>
      </c>
      <c r="DS28" s="134">
        <v>0</v>
      </c>
      <c r="DT28" s="135">
        <v>0</v>
      </c>
      <c r="DV28" s="136"/>
      <c r="DW28" s="137"/>
      <c r="DX28" s="136"/>
      <c r="DY28" s="136"/>
    </row>
    <row r="29" spans="1:129" s="116" customFormat="1">
      <c r="A29" s="133" t="s">
        <v>298</v>
      </c>
      <c r="B29" s="134">
        <v>1411</v>
      </c>
      <c r="C29" s="134">
        <v>288</v>
      </c>
      <c r="D29" s="134">
        <v>1414</v>
      </c>
      <c r="E29" s="134">
        <v>766</v>
      </c>
      <c r="F29" s="134">
        <v>0</v>
      </c>
      <c r="G29" s="134">
        <v>34</v>
      </c>
      <c r="H29" s="134">
        <v>34</v>
      </c>
      <c r="I29" s="134">
        <v>0</v>
      </c>
      <c r="J29" s="134">
        <v>533</v>
      </c>
      <c r="K29" s="134">
        <v>533</v>
      </c>
      <c r="L29" s="134">
        <v>0</v>
      </c>
      <c r="M29" s="134">
        <v>138</v>
      </c>
      <c r="N29" s="134">
        <v>138</v>
      </c>
      <c r="O29" s="134">
        <v>0</v>
      </c>
      <c r="P29" s="134">
        <v>395</v>
      </c>
      <c r="Q29" s="134">
        <v>395</v>
      </c>
      <c r="R29" s="134">
        <v>0</v>
      </c>
      <c r="S29" s="134">
        <v>13</v>
      </c>
      <c r="T29" s="134">
        <v>13</v>
      </c>
      <c r="U29" s="134">
        <v>0</v>
      </c>
      <c r="V29" s="134">
        <v>115</v>
      </c>
      <c r="W29" s="134">
        <v>115</v>
      </c>
      <c r="X29" s="134">
        <v>37</v>
      </c>
      <c r="Y29" s="134">
        <v>1377</v>
      </c>
      <c r="Z29" s="134">
        <v>1414</v>
      </c>
      <c r="AA29" s="134">
        <v>22</v>
      </c>
      <c r="AB29" s="134">
        <v>509</v>
      </c>
      <c r="AC29" s="134">
        <v>531</v>
      </c>
      <c r="AD29" s="134">
        <v>22</v>
      </c>
      <c r="AE29" s="134">
        <v>494</v>
      </c>
      <c r="AF29" s="134">
        <v>516</v>
      </c>
      <c r="AG29" s="134">
        <v>0</v>
      </c>
      <c r="AH29" s="134">
        <v>11</v>
      </c>
      <c r="AI29" s="134">
        <v>11</v>
      </c>
      <c r="AJ29" s="134">
        <v>0</v>
      </c>
      <c r="AK29" s="134">
        <v>4</v>
      </c>
      <c r="AL29" s="134">
        <v>4</v>
      </c>
      <c r="AM29" s="134">
        <v>15</v>
      </c>
      <c r="AN29" s="134">
        <v>868</v>
      </c>
      <c r="AO29" s="134">
        <v>883</v>
      </c>
      <c r="AP29" s="134">
        <v>3293</v>
      </c>
      <c r="AQ29" s="134">
        <v>18815</v>
      </c>
      <c r="AR29" s="134">
        <v>22108</v>
      </c>
      <c r="AS29" s="134">
        <v>3293</v>
      </c>
      <c r="AT29" s="134">
        <v>18815</v>
      </c>
      <c r="AU29" s="134">
        <v>22108</v>
      </c>
      <c r="AV29" s="134">
        <v>0</v>
      </c>
      <c r="AW29" s="134">
        <v>0</v>
      </c>
      <c r="AX29" s="134">
        <v>0</v>
      </c>
      <c r="AY29" s="134">
        <v>59</v>
      </c>
      <c r="AZ29" s="134">
        <v>1458</v>
      </c>
      <c r="BA29" s="134">
        <v>1517</v>
      </c>
      <c r="BB29" s="134">
        <v>47</v>
      </c>
      <c r="BC29" s="134">
        <v>0</v>
      </c>
      <c r="BD29" s="134">
        <v>0</v>
      </c>
      <c r="BE29" s="134">
        <v>716</v>
      </c>
      <c r="BF29" s="134">
        <v>3</v>
      </c>
      <c r="BG29" s="134">
        <v>0</v>
      </c>
      <c r="BH29" s="134">
        <v>47</v>
      </c>
      <c r="BI29" s="134">
        <v>719</v>
      </c>
      <c r="BJ29" s="134">
        <v>766</v>
      </c>
      <c r="BK29" s="134">
        <v>-56</v>
      </c>
      <c r="BL29" s="134">
        <v>56</v>
      </c>
      <c r="BM29" s="134">
        <v>0</v>
      </c>
      <c r="BN29" s="134">
        <v>14</v>
      </c>
      <c r="BO29" s="134">
        <v>54</v>
      </c>
      <c r="BP29" s="134">
        <v>68</v>
      </c>
      <c r="BQ29" s="134">
        <v>7</v>
      </c>
      <c r="BR29" s="134">
        <v>294</v>
      </c>
      <c r="BS29" s="134">
        <v>301</v>
      </c>
      <c r="BT29" s="134">
        <v>47</v>
      </c>
      <c r="BU29" s="134">
        <v>335</v>
      </c>
      <c r="BV29" s="134">
        <v>382</v>
      </c>
      <c r="BW29" s="134">
        <v>3352</v>
      </c>
      <c r="BX29" s="134">
        <v>20273</v>
      </c>
      <c r="BY29" s="134">
        <v>23625</v>
      </c>
      <c r="BZ29" s="134">
        <v>3333</v>
      </c>
      <c r="CA29" s="134">
        <v>20174</v>
      </c>
      <c r="CB29" s="134">
        <v>23507</v>
      </c>
      <c r="CC29" s="134">
        <v>54278</v>
      </c>
      <c r="CD29" s="134">
        <v>4</v>
      </c>
      <c r="CE29" s="134">
        <v>112</v>
      </c>
      <c r="CF29" s="134">
        <v>19</v>
      </c>
      <c r="CG29" s="134">
        <v>87</v>
      </c>
      <c r="CH29" s="134">
        <v>106</v>
      </c>
      <c r="CI29" s="134">
        <v>10</v>
      </c>
      <c r="CJ29" s="134">
        <v>2</v>
      </c>
      <c r="CK29" s="134">
        <v>0</v>
      </c>
      <c r="CL29" s="134">
        <v>12</v>
      </c>
      <c r="CM29" s="134">
        <v>12</v>
      </c>
      <c r="CN29" s="134">
        <v>144</v>
      </c>
      <c r="CO29" s="134">
        <v>1734</v>
      </c>
      <c r="CP29" s="134">
        <v>1878</v>
      </c>
      <c r="CQ29" s="134">
        <v>0</v>
      </c>
      <c r="CR29" s="134">
        <v>41</v>
      </c>
      <c r="CS29" s="134">
        <v>41</v>
      </c>
      <c r="CT29" s="134">
        <v>3208</v>
      </c>
      <c r="CU29" s="134">
        <v>18539</v>
      </c>
      <c r="CV29" s="134">
        <v>21747</v>
      </c>
      <c r="CW29" s="134">
        <v>198</v>
      </c>
      <c r="CX29" s="134">
        <v>816</v>
      </c>
      <c r="CY29" s="134">
        <v>1014</v>
      </c>
      <c r="CZ29" s="134">
        <v>198</v>
      </c>
      <c r="DA29" s="134">
        <v>0</v>
      </c>
      <c r="DB29" s="134">
        <v>0</v>
      </c>
      <c r="DC29" s="134">
        <v>795</v>
      </c>
      <c r="DD29" s="134">
        <v>2</v>
      </c>
      <c r="DE29" s="134">
        <v>0</v>
      </c>
      <c r="DF29" s="134">
        <v>198</v>
      </c>
      <c r="DG29" s="134">
        <v>797</v>
      </c>
      <c r="DH29" s="134">
        <v>995</v>
      </c>
      <c r="DI29" s="134">
        <v>0</v>
      </c>
      <c r="DJ29" s="134">
        <v>0</v>
      </c>
      <c r="DK29" s="134">
        <v>0</v>
      </c>
      <c r="DL29" s="134">
        <v>19</v>
      </c>
      <c r="DM29" s="134">
        <v>0</v>
      </c>
      <c r="DN29" s="134">
        <v>0</v>
      </c>
      <c r="DO29" s="134">
        <v>0</v>
      </c>
      <c r="DP29" s="134">
        <v>19</v>
      </c>
      <c r="DQ29" s="134">
        <v>19</v>
      </c>
      <c r="DR29" s="134">
        <v>0</v>
      </c>
      <c r="DS29" s="134">
        <v>0</v>
      </c>
      <c r="DT29" s="135">
        <v>0</v>
      </c>
      <c r="DV29" s="136"/>
      <c r="DW29" s="137"/>
      <c r="DX29" s="136"/>
      <c r="DY29" s="136"/>
    </row>
    <row r="30" spans="1:129" s="116" customFormat="1">
      <c r="A30" s="133" t="s">
        <v>299</v>
      </c>
      <c r="B30" s="134">
        <v>40</v>
      </c>
      <c r="C30" s="134">
        <v>4</v>
      </c>
      <c r="D30" s="134">
        <v>32</v>
      </c>
      <c r="E30" s="134">
        <v>26</v>
      </c>
      <c r="F30" s="134">
        <v>0</v>
      </c>
      <c r="G30" s="134">
        <v>0</v>
      </c>
      <c r="H30" s="134">
        <v>0</v>
      </c>
      <c r="I30" s="134">
        <v>0</v>
      </c>
      <c r="J30" s="134">
        <v>4</v>
      </c>
      <c r="K30" s="134">
        <v>4</v>
      </c>
      <c r="L30" s="134">
        <v>0</v>
      </c>
      <c r="M30" s="134">
        <v>1</v>
      </c>
      <c r="N30" s="134">
        <v>1</v>
      </c>
      <c r="O30" s="134">
        <v>0</v>
      </c>
      <c r="P30" s="134">
        <v>3</v>
      </c>
      <c r="Q30" s="134">
        <v>3</v>
      </c>
      <c r="R30" s="134">
        <v>0</v>
      </c>
      <c r="S30" s="134">
        <v>0</v>
      </c>
      <c r="T30" s="134">
        <v>0</v>
      </c>
      <c r="U30" s="134">
        <v>0</v>
      </c>
      <c r="V30" s="134">
        <v>2</v>
      </c>
      <c r="W30" s="134">
        <v>2</v>
      </c>
      <c r="X30" s="134">
        <v>1</v>
      </c>
      <c r="Y30" s="134">
        <v>31</v>
      </c>
      <c r="Z30" s="134">
        <v>32</v>
      </c>
      <c r="AA30" s="134">
        <v>0</v>
      </c>
      <c r="AB30" s="134">
        <v>16</v>
      </c>
      <c r="AC30" s="134">
        <v>16</v>
      </c>
      <c r="AD30" s="134">
        <v>0</v>
      </c>
      <c r="AE30" s="134">
        <v>15</v>
      </c>
      <c r="AF30" s="134">
        <v>15</v>
      </c>
      <c r="AG30" s="134">
        <v>0</v>
      </c>
      <c r="AH30" s="134">
        <v>0</v>
      </c>
      <c r="AI30" s="134">
        <v>0</v>
      </c>
      <c r="AJ30" s="134">
        <v>0</v>
      </c>
      <c r="AK30" s="134">
        <v>1</v>
      </c>
      <c r="AL30" s="134">
        <v>1</v>
      </c>
      <c r="AM30" s="134">
        <v>1</v>
      </c>
      <c r="AN30" s="134">
        <v>15</v>
      </c>
      <c r="AO30" s="134">
        <v>16</v>
      </c>
      <c r="AP30" s="134">
        <v>75</v>
      </c>
      <c r="AQ30" s="134">
        <v>434</v>
      </c>
      <c r="AR30" s="134">
        <v>509</v>
      </c>
      <c r="AS30" s="134">
        <v>75</v>
      </c>
      <c r="AT30" s="134">
        <v>434</v>
      </c>
      <c r="AU30" s="134">
        <v>509</v>
      </c>
      <c r="AV30" s="134">
        <v>0</v>
      </c>
      <c r="AW30" s="134">
        <v>0</v>
      </c>
      <c r="AX30" s="134">
        <v>0</v>
      </c>
      <c r="AY30" s="134">
        <v>8</v>
      </c>
      <c r="AZ30" s="134">
        <v>37</v>
      </c>
      <c r="BA30" s="134">
        <v>45</v>
      </c>
      <c r="BB30" s="134">
        <v>1</v>
      </c>
      <c r="BC30" s="134">
        <v>0</v>
      </c>
      <c r="BD30" s="134">
        <v>0</v>
      </c>
      <c r="BE30" s="134">
        <v>25</v>
      </c>
      <c r="BF30" s="134">
        <v>0</v>
      </c>
      <c r="BG30" s="134">
        <v>0</v>
      </c>
      <c r="BH30" s="134">
        <v>1</v>
      </c>
      <c r="BI30" s="134">
        <v>25</v>
      </c>
      <c r="BJ30" s="134">
        <v>26</v>
      </c>
      <c r="BK30" s="134">
        <v>6</v>
      </c>
      <c r="BL30" s="134">
        <v>-6</v>
      </c>
      <c r="BM30" s="134">
        <v>0</v>
      </c>
      <c r="BN30" s="134">
        <v>0</v>
      </c>
      <c r="BO30" s="134">
        <v>4</v>
      </c>
      <c r="BP30" s="134">
        <v>4</v>
      </c>
      <c r="BQ30" s="134">
        <v>0</v>
      </c>
      <c r="BR30" s="134">
        <v>5</v>
      </c>
      <c r="BS30" s="134">
        <v>5</v>
      </c>
      <c r="BT30" s="134">
        <v>1</v>
      </c>
      <c r="BU30" s="134">
        <v>9</v>
      </c>
      <c r="BV30" s="134">
        <v>10</v>
      </c>
      <c r="BW30" s="134">
        <v>83</v>
      </c>
      <c r="BX30" s="134">
        <v>471</v>
      </c>
      <c r="BY30" s="134">
        <v>554</v>
      </c>
      <c r="BZ30" s="134">
        <v>82</v>
      </c>
      <c r="CA30" s="134">
        <v>470</v>
      </c>
      <c r="CB30" s="134">
        <v>552</v>
      </c>
      <c r="CC30" s="134">
        <v>1175</v>
      </c>
      <c r="CD30" s="134">
        <v>0</v>
      </c>
      <c r="CE30" s="134">
        <v>1</v>
      </c>
      <c r="CF30" s="134">
        <v>1</v>
      </c>
      <c r="CG30" s="134">
        <v>0</v>
      </c>
      <c r="CH30" s="134">
        <v>1</v>
      </c>
      <c r="CI30" s="134">
        <v>2</v>
      </c>
      <c r="CJ30" s="134">
        <v>0</v>
      </c>
      <c r="CK30" s="134">
        <v>0</v>
      </c>
      <c r="CL30" s="134">
        <v>1</v>
      </c>
      <c r="CM30" s="134">
        <v>1</v>
      </c>
      <c r="CN30" s="134">
        <v>8</v>
      </c>
      <c r="CO30" s="134">
        <v>46</v>
      </c>
      <c r="CP30" s="134">
        <v>54</v>
      </c>
      <c r="CQ30" s="134">
        <v>0</v>
      </c>
      <c r="CR30" s="134">
        <v>0</v>
      </c>
      <c r="CS30" s="134">
        <v>0</v>
      </c>
      <c r="CT30" s="134">
        <v>75</v>
      </c>
      <c r="CU30" s="134">
        <v>425</v>
      </c>
      <c r="CV30" s="134">
        <v>500</v>
      </c>
      <c r="CW30" s="134">
        <v>2</v>
      </c>
      <c r="CX30" s="134">
        <v>23</v>
      </c>
      <c r="CY30" s="134">
        <v>25</v>
      </c>
      <c r="CZ30" s="134">
        <v>1</v>
      </c>
      <c r="DA30" s="134">
        <v>1</v>
      </c>
      <c r="DB30" s="134">
        <v>0</v>
      </c>
      <c r="DC30" s="134">
        <v>23</v>
      </c>
      <c r="DD30" s="134">
        <v>0</v>
      </c>
      <c r="DE30" s="134">
        <v>0</v>
      </c>
      <c r="DF30" s="134">
        <v>2</v>
      </c>
      <c r="DG30" s="134">
        <v>23</v>
      </c>
      <c r="DH30" s="134">
        <v>25</v>
      </c>
      <c r="DI30" s="134">
        <v>0</v>
      </c>
      <c r="DJ30" s="134">
        <v>0</v>
      </c>
      <c r="DK30" s="134">
        <v>0</v>
      </c>
      <c r="DL30" s="134">
        <v>0</v>
      </c>
      <c r="DM30" s="134">
        <v>0</v>
      </c>
      <c r="DN30" s="134">
        <v>0</v>
      </c>
      <c r="DO30" s="134">
        <v>0</v>
      </c>
      <c r="DP30" s="134">
        <v>0</v>
      </c>
      <c r="DQ30" s="134">
        <v>0</v>
      </c>
      <c r="DR30" s="134">
        <v>0</v>
      </c>
      <c r="DS30" s="134">
        <v>0</v>
      </c>
      <c r="DT30" s="135">
        <v>0</v>
      </c>
      <c r="DV30" s="136"/>
      <c r="DW30" s="137"/>
      <c r="DX30" s="136"/>
      <c r="DY30" s="136"/>
    </row>
    <row r="31" spans="1:129" s="116" customFormat="1">
      <c r="A31" s="133" t="s">
        <v>300</v>
      </c>
      <c r="B31" s="134">
        <v>47</v>
      </c>
      <c r="C31" s="134">
        <v>11</v>
      </c>
      <c r="D31" s="134">
        <v>50</v>
      </c>
      <c r="E31" s="134">
        <v>31</v>
      </c>
      <c r="F31" s="134">
        <v>0</v>
      </c>
      <c r="G31" s="134">
        <v>0</v>
      </c>
      <c r="H31" s="134">
        <v>0</v>
      </c>
      <c r="I31" s="134">
        <v>0</v>
      </c>
      <c r="J31" s="134">
        <v>16</v>
      </c>
      <c r="K31" s="134">
        <v>16</v>
      </c>
      <c r="L31" s="134">
        <v>0</v>
      </c>
      <c r="M31" s="134">
        <v>3</v>
      </c>
      <c r="N31" s="134">
        <v>3</v>
      </c>
      <c r="O31" s="134">
        <v>0</v>
      </c>
      <c r="P31" s="134">
        <v>13</v>
      </c>
      <c r="Q31" s="134">
        <v>13</v>
      </c>
      <c r="R31" s="134">
        <v>0</v>
      </c>
      <c r="S31" s="134">
        <v>0</v>
      </c>
      <c r="T31" s="134">
        <v>0</v>
      </c>
      <c r="U31" s="134">
        <v>0</v>
      </c>
      <c r="V31" s="134">
        <v>3</v>
      </c>
      <c r="W31" s="134">
        <v>3</v>
      </c>
      <c r="X31" s="134">
        <v>0</v>
      </c>
      <c r="Y31" s="134">
        <v>50</v>
      </c>
      <c r="Z31" s="134">
        <v>50</v>
      </c>
      <c r="AA31" s="134">
        <v>0</v>
      </c>
      <c r="AB31" s="134">
        <v>20</v>
      </c>
      <c r="AC31" s="134">
        <v>20</v>
      </c>
      <c r="AD31" s="134">
        <v>0</v>
      </c>
      <c r="AE31" s="134">
        <v>19</v>
      </c>
      <c r="AF31" s="134">
        <v>19</v>
      </c>
      <c r="AG31" s="134">
        <v>0</v>
      </c>
      <c r="AH31" s="134">
        <v>0</v>
      </c>
      <c r="AI31" s="134">
        <v>0</v>
      </c>
      <c r="AJ31" s="134">
        <v>0</v>
      </c>
      <c r="AK31" s="134">
        <v>1</v>
      </c>
      <c r="AL31" s="134">
        <v>1</v>
      </c>
      <c r="AM31" s="134">
        <v>0</v>
      </c>
      <c r="AN31" s="134">
        <v>30</v>
      </c>
      <c r="AO31" s="134">
        <v>30</v>
      </c>
      <c r="AP31" s="134">
        <v>10</v>
      </c>
      <c r="AQ31" s="134">
        <v>346</v>
      </c>
      <c r="AR31" s="134">
        <v>356</v>
      </c>
      <c r="AS31" s="134">
        <v>10</v>
      </c>
      <c r="AT31" s="134">
        <v>346</v>
      </c>
      <c r="AU31" s="134">
        <v>356</v>
      </c>
      <c r="AV31" s="134">
        <v>0</v>
      </c>
      <c r="AW31" s="134">
        <v>0</v>
      </c>
      <c r="AX31" s="134">
        <v>0</v>
      </c>
      <c r="AY31" s="134">
        <v>3</v>
      </c>
      <c r="AZ31" s="134">
        <v>45</v>
      </c>
      <c r="BA31" s="134">
        <v>48</v>
      </c>
      <c r="BB31" s="134">
        <v>0</v>
      </c>
      <c r="BC31" s="134">
        <v>0</v>
      </c>
      <c r="BD31" s="134">
        <v>0</v>
      </c>
      <c r="BE31" s="134">
        <v>31</v>
      </c>
      <c r="BF31" s="134">
        <v>0</v>
      </c>
      <c r="BG31" s="134">
        <v>0</v>
      </c>
      <c r="BH31" s="134">
        <v>0</v>
      </c>
      <c r="BI31" s="134">
        <v>31</v>
      </c>
      <c r="BJ31" s="134">
        <v>31</v>
      </c>
      <c r="BK31" s="134">
        <v>3</v>
      </c>
      <c r="BL31" s="134">
        <v>-3</v>
      </c>
      <c r="BM31" s="134">
        <v>0</v>
      </c>
      <c r="BN31" s="134">
        <v>0</v>
      </c>
      <c r="BO31" s="134">
        <v>6</v>
      </c>
      <c r="BP31" s="134">
        <v>6</v>
      </c>
      <c r="BQ31" s="134">
        <v>0</v>
      </c>
      <c r="BR31" s="134">
        <v>3</v>
      </c>
      <c r="BS31" s="134">
        <v>3</v>
      </c>
      <c r="BT31" s="134">
        <v>0</v>
      </c>
      <c r="BU31" s="134">
        <v>8</v>
      </c>
      <c r="BV31" s="134">
        <v>8</v>
      </c>
      <c r="BW31" s="134">
        <v>13</v>
      </c>
      <c r="BX31" s="134">
        <v>391</v>
      </c>
      <c r="BY31" s="134">
        <v>404</v>
      </c>
      <c r="BZ31" s="134">
        <v>13</v>
      </c>
      <c r="CA31" s="134">
        <v>388</v>
      </c>
      <c r="CB31" s="134">
        <v>401</v>
      </c>
      <c r="CC31" s="134">
        <v>699</v>
      </c>
      <c r="CD31" s="134">
        <v>0</v>
      </c>
      <c r="CE31" s="134">
        <v>3</v>
      </c>
      <c r="CF31" s="134">
        <v>0</v>
      </c>
      <c r="CG31" s="134">
        <v>3</v>
      </c>
      <c r="CH31" s="134">
        <v>3</v>
      </c>
      <c r="CI31" s="134">
        <v>0</v>
      </c>
      <c r="CJ31" s="134">
        <v>0</v>
      </c>
      <c r="CK31" s="134">
        <v>0</v>
      </c>
      <c r="CL31" s="134">
        <v>0</v>
      </c>
      <c r="CM31" s="134">
        <v>0</v>
      </c>
      <c r="CN31" s="134">
        <v>1</v>
      </c>
      <c r="CO31" s="134">
        <v>44</v>
      </c>
      <c r="CP31" s="134">
        <v>45</v>
      </c>
      <c r="CQ31" s="134">
        <v>0</v>
      </c>
      <c r="CR31" s="134">
        <v>0</v>
      </c>
      <c r="CS31" s="134">
        <v>0</v>
      </c>
      <c r="CT31" s="134">
        <v>12</v>
      </c>
      <c r="CU31" s="134">
        <v>347</v>
      </c>
      <c r="CV31" s="134">
        <v>359</v>
      </c>
      <c r="CW31" s="134">
        <v>0</v>
      </c>
      <c r="CX31" s="134">
        <v>10</v>
      </c>
      <c r="CY31" s="134">
        <v>10</v>
      </c>
      <c r="CZ31" s="134">
        <v>0</v>
      </c>
      <c r="DA31" s="134">
        <v>0</v>
      </c>
      <c r="DB31" s="134">
        <v>0</v>
      </c>
      <c r="DC31" s="134">
        <v>10</v>
      </c>
      <c r="DD31" s="134">
        <v>0</v>
      </c>
      <c r="DE31" s="134">
        <v>0</v>
      </c>
      <c r="DF31" s="134">
        <v>0</v>
      </c>
      <c r="DG31" s="134">
        <v>10</v>
      </c>
      <c r="DH31" s="134">
        <v>10</v>
      </c>
      <c r="DI31" s="134">
        <v>0</v>
      </c>
      <c r="DJ31" s="134">
        <v>0</v>
      </c>
      <c r="DK31" s="134">
        <v>0</v>
      </c>
      <c r="DL31" s="134">
        <v>0</v>
      </c>
      <c r="DM31" s="134">
        <v>0</v>
      </c>
      <c r="DN31" s="134">
        <v>0</v>
      </c>
      <c r="DO31" s="134">
        <v>0</v>
      </c>
      <c r="DP31" s="134">
        <v>0</v>
      </c>
      <c r="DQ31" s="134">
        <v>0</v>
      </c>
      <c r="DR31" s="134">
        <v>0</v>
      </c>
      <c r="DS31" s="134">
        <v>0</v>
      </c>
      <c r="DT31" s="135">
        <v>0</v>
      </c>
      <c r="DV31" s="136"/>
      <c r="DW31" s="137"/>
      <c r="DX31" s="136"/>
      <c r="DY31" s="136"/>
    </row>
    <row r="32" spans="1:129" s="116" customFormat="1">
      <c r="A32" s="133" t="s">
        <v>301</v>
      </c>
      <c r="B32" s="134">
        <v>1645</v>
      </c>
      <c r="C32" s="134">
        <v>454</v>
      </c>
      <c r="D32" s="134">
        <v>1659</v>
      </c>
      <c r="E32" s="134">
        <v>955</v>
      </c>
      <c r="F32" s="134">
        <v>0</v>
      </c>
      <c r="G32" s="134">
        <v>7</v>
      </c>
      <c r="H32" s="134">
        <v>7</v>
      </c>
      <c r="I32" s="134">
        <v>1</v>
      </c>
      <c r="J32" s="134">
        <v>639</v>
      </c>
      <c r="K32" s="134">
        <v>640</v>
      </c>
      <c r="L32" s="134">
        <v>1</v>
      </c>
      <c r="M32" s="134">
        <v>244</v>
      </c>
      <c r="N32" s="134">
        <v>245</v>
      </c>
      <c r="O32" s="134">
        <v>0</v>
      </c>
      <c r="P32" s="134">
        <v>395</v>
      </c>
      <c r="Q32" s="134">
        <v>395</v>
      </c>
      <c r="R32" s="134">
        <v>1</v>
      </c>
      <c r="S32" s="134">
        <v>5</v>
      </c>
      <c r="T32" s="134">
        <v>6</v>
      </c>
      <c r="U32" s="134">
        <v>0</v>
      </c>
      <c r="V32" s="134">
        <v>64</v>
      </c>
      <c r="W32" s="134">
        <v>64</v>
      </c>
      <c r="X32" s="134">
        <v>21</v>
      </c>
      <c r="Y32" s="134">
        <v>1638</v>
      </c>
      <c r="Z32" s="134">
        <v>1659</v>
      </c>
      <c r="AA32" s="134">
        <v>13</v>
      </c>
      <c r="AB32" s="134">
        <v>514</v>
      </c>
      <c r="AC32" s="134">
        <v>527</v>
      </c>
      <c r="AD32" s="134">
        <v>13</v>
      </c>
      <c r="AE32" s="134">
        <v>483</v>
      </c>
      <c r="AF32" s="134">
        <v>496</v>
      </c>
      <c r="AG32" s="134">
        <v>0</v>
      </c>
      <c r="AH32" s="134">
        <v>10</v>
      </c>
      <c r="AI32" s="134">
        <v>10</v>
      </c>
      <c r="AJ32" s="134">
        <v>0</v>
      </c>
      <c r="AK32" s="134">
        <v>21</v>
      </c>
      <c r="AL32" s="134">
        <v>21</v>
      </c>
      <c r="AM32" s="134">
        <v>8</v>
      </c>
      <c r="AN32" s="134">
        <v>1124</v>
      </c>
      <c r="AO32" s="134">
        <v>1132</v>
      </c>
      <c r="AP32" s="134">
        <v>1898</v>
      </c>
      <c r="AQ32" s="134">
        <v>16278</v>
      </c>
      <c r="AR32" s="134">
        <v>18176</v>
      </c>
      <c r="AS32" s="134">
        <v>1898</v>
      </c>
      <c r="AT32" s="134">
        <v>16278</v>
      </c>
      <c r="AU32" s="134">
        <v>18176</v>
      </c>
      <c r="AV32" s="134">
        <v>0</v>
      </c>
      <c r="AW32" s="134">
        <v>0</v>
      </c>
      <c r="AX32" s="134">
        <v>0</v>
      </c>
      <c r="AY32" s="134">
        <v>-1</v>
      </c>
      <c r="AZ32" s="134">
        <v>1548</v>
      </c>
      <c r="BA32" s="134">
        <v>1547</v>
      </c>
      <c r="BB32" s="134">
        <v>25</v>
      </c>
      <c r="BC32" s="134">
        <v>0</v>
      </c>
      <c r="BD32" s="134">
        <v>0</v>
      </c>
      <c r="BE32" s="134">
        <v>920</v>
      </c>
      <c r="BF32" s="134">
        <v>8</v>
      </c>
      <c r="BG32" s="134">
        <v>2</v>
      </c>
      <c r="BH32" s="134">
        <v>25</v>
      </c>
      <c r="BI32" s="134">
        <v>930</v>
      </c>
      <c r="BJ32" s="134">
        <v>955</v>
      </c>
      <c r="BK32" s="134">
        <v>-76</v>
      </c>
      <c r="BL32" s="134">
        <v>76</v>
      </c>
      <c r="BM32" s="134">
        <v>0</v>
      </c>
      <c r="BN32" s="134">
        <v>2</v>
      </c>
      <c r="BO32" s="134">
        <v>21</v>
      </c>
      <c r="BP32" s="134">
        <v>23</v>
      </c>
      <c r="BQ32" s="134">
        <v>10</v>
      </c>
      <c r="BR32" s="134">
        <v>153</v>
      </c>
      <c r="BS32" s="134">
        <v>163</v>
      </c>
      <c r="BT32" s="134">
        <v>38</v>
      </c>
      <c r="BU32" s="134">
        <v>368</v>
      </c>
      <c r="BV32" s="134">
        <v>406</v>
      </c>
      <c r="BW32" s="134">
        <v>1897</v>
      </c>
      <c r="BX32" s="134">
        <v>17826</v>
      </c>
      <c r="BY32" s="134">
        <v>19723</v>
      </c>
      <c r="BZ32" s="134">
        <v>1876</v>
      </c>
      <c r="CA32" s="134">
        <v>17639</v>
      </c>
      <c r="CB32" s="134">
        <v>19515</v>
      </c>
      <c r="CC32" s="134">
        <v>42664</v>
      </c>
      <c r="CD32" s="134">
        <v>10</v>
      </c>
      <c r="CE32" s="134">
        <v>187</v>
      </c>
      <c r="CF32" s="134">
        <v>21</v>
      </c>
      <c r="CG32" s="134">
        <v>155</v>
      </c>
      <c r="CH32" s="134">
        <v>176</v>
      </c>
      <c r="CI32" s="134">
        <v>38</v>
      </c>
      <c r="CJ32" s="134">
        <v>5</v>
      </c>
      <c r="CK32" s="134">
        <v>0</v>
      </c>
      <c r="CL32" s="134">
        <v>32</v>
      </c>
      <c r="CM32" s="134">
        <v>32</v>
      </c>
      <c r="CN32" s="134">
        <v>116</v>
      </c>
      <c r="CO32" s="134">
        <v>1992</v>
      </c>
      <c r="CP32" s="134">
        <v>2108</v>
      </c>
      <c r="CQ32" s="134">
        <v>0</v>
      </c>
      <c r="CR32" s="134">
        <v>5</v>
      </c>
      <c r="CS32" s="134">
        <v>5</v>
      </c>
      <c r="CT32" s="134">
        <v>1781</v>
      </c>
      <c r="CU32" s="134">
        <v>15834</v>
      </c>
      <c r="CV32" s="134">
        <v>17615</v>
      </c>
      <c r="CW32" s="134">
        <v>167</v>
      </c>
      <c r="CX32" s="134">
        <v>729</v>
      </c>
      <c r="CY32" s="134">
        <v>896</v>
      </c>
      <c r="CZ32" s="134">
        <v>166</v>
      </c>
      <c r="DA32" s="134">
        <v>1</v>
      </c>
      <c r="DB32" s="134">
        <v>0</v>
      </c>
      <c r="DC32" s="134">
        <v>656</v>
      </c>
      <c r="DD32" s="134">
        <v>5</v>
      </c>
      <c r="DE32" s="134">
        <v>0</v>
      </c>
      <c r="DF32" s="134">
        <v>167</v>
      </c>
      <c r="DG32" s="134">
        <v>661</v>
      </c>
      <c r="DH32" s="134">
        <v>828</v>
      </c>
      <c r="DI32" s="134">
        <v>0</v>
      </c>
      <c r="DJ32" s="134">
        <v>0</v>
      </c>
      <c r="DK32" s="134">
        <v>0</v>
      </c>
      <c r="DL32" s="134">
        <v>67</v>
      </c>
      <c r="DM32" s="134">
        <v>1</v>
      </c>
      <c r="DN32" s="134">
        <v>0</v>
      </c>
      <c r="DO32" s="134">
        <v>0</v>
      </c>
      <c r="DP32" s="134">
        <v>68</v>
      </c>
      <c r="DQ32" s="134">
        <v>68</v>
      </c>
      <c r="DR32" s="134">
        <v>0</v>
      </c>
      <c r="DS32" s="134">
        <v>0</v>
      </c>
      <c r="DT32" s="135">
        <v>0</v>
      </c>
      <c r="DV32" s="136"/>
      <c r="DW32" s="137"/>
      <c r="DX32" s="136"/>
      <c r="DY32" s="136"/>
    </row>
    <row r="33" spans="1:129" s="116" customFormat="1">
      <c r="A33" s="133" t="s">
        <v>302</v>
      </c>
      <c r="B33" s="134">
        <v>297</v>
      </c>
      <c r="C33" s="134">
        <v>86</v>
      </c>
      <c r="D33" s="134">
        <v>282</v>
      </c>
      <c r="E33" s="134">
        <v>120</v>
      </c>
      <c r="F33" s="134">
        <v>1</v>
      </c>
      <c r="G33" s="134">
        <v>10</v>
      </c>
      <c r="H33" s="134">
        <v>11</v>
      </c>
      <c r="I33" s="134">
        <v>0</v>
      </c>
      <c r="J33" s="134">
        <v>125</v>
      </c>
      <c r="K33" s="134">
        <v>125</v>
      </c>
      <c r="L33" s="134">
        <v>0</v>
      </c>
      <c r="M33" s="134">
        <v>18</v>
      </c>
      <c r="N33" s="134">
        <v>18</v>
      </c>
      <c r="O33" s="134">
        <v>0</v>
      </c>
      <c r="P33" s="134">
        <v>107</v>
      </c>
      <c r="Q33" s="134">
        <v>107</v>
      </c>
      <c r="R33" s="134">
        <v>0</v>
      </c>
      <c r="S33" s="134">
        <v>4</v>
      </c>
      <c r="T33" s="134">
        <v>4</v>
      </c>
      <c r="U33" s="134">
        <v>0</v>
      </c>
      <c r="V33" s="134">
        <v>37</v>
      </c>
      <c r="W33" s="134">
        <v>37</v>
      </c>
      <c r="X33" s="134">
        <v>5</v>
      </c>
      <c r="Y33" s="134">
        <v>277</v>
      </c>
      <c r="Z33" s="134">
        <v>282</v>
      </c>
      <c r="AA33" s="134">
        <v>3</v>
      </c>
      <c r="AB33" s="134">
        <v>77</v>
      </c>
      <c r="AC33" s="134">
        <v>80</v>
      </c>
      <c r="AD33" s="134">
        <v>3</v>
      </c>
      <c r="AE33" s="134">
        <v>71</v>
      </c>
      <c r="AF33" s="134">
        <v>74</v>
      </c>
      <c r="AG33" s="134">
        <v>0</v>
      </c>
      <c r="AH33" s="134">
        <v>3</v>
      </c>
      <c r="AI33" s="134">
        <v>3</v>
      </c>
      <c r="AJ33" s="134">
        <v>0</v>
      </c>
      <c r="AK33" s="134">
        <v>3</v>
      </c>
      <c r="AL33" s="134">
        <v>3</v>
      </c>
      <c r="AM33" s="134">
        <v>2</v>
      </c>
      <c r="AN33" s="134">
        <v>200</v>
      </c>
      <c r="AO33" s="134">
        <v>202</v>
      </c>
      <c r="AP33" s="134">
        <v>242</v>
      </c>
      <c r="AQ33" s="134">
        <v>2654</v>
      </c>
      <c r="AR33" s="134">
        <v>2896</v>
      </c>
      <c r="AS33" s="134">
        <v>242</v>
      </c>
      <c r="AT33" s="134">
        <v>2654</v>
      </c>
      <c r="AU33" s="134">
        <v>2896</v>
      </c>
      <c r="AV33" s="134">
        <v>0</v>
      </c>
      <c r="AW33" s="134">
        <v>0</v>
      </c>
      <c r="AX33" s="134">
        <v>0</v>
      </c>
      <c r="AY33" s="134">
        <v>-3</v>
      </c>
      <c r="AZ33" s="134">
        <v>234</v>
      </c>
      <c r="BA33" s="134">
        <v>231</v>
      </c>
      <c r="BB33" s="134">
        <v>5</v>
      </c>
      <c r="BC33" s="134">
        <v>0</v>
      </c>
      <c r="BD33" s="134">
        <v>0</v>
      </c>
      <c r="BE33" s="134">
        <v>113</v>
      </c>
      <c r="BF33" s="134">
        <v>2</v>
      </c>
      <c r="BG33" s="134">
        <v>0</v>
      </c>
      <c r="BH33" s="134">
        <v>5</v>
      </c>
      <c r="BI33" s="134">
        <v>115</v>
      </c>
      <c r="BJ33" s="134">
        <v>120</v>
      </c>
      <c r="BK33" s="134">
        <v>-12</v>
      </c>
      <c r="BL33" s="134">
        <v>12</v>
      </c>
      <c r="BM33" s="134">
        <v>0</v>
      </c>
      <c r="BN33" s="134">
        <v>2</v>
      </c>
      <c r="BO33" s="134">
        <v>5</v>
      </c>
      <c r="BP33" s="134">
        <v>7</v>
      </c>
      <c r="BQ33" s="134">
        <v>0</v>
      </c>
      <c r="BR33" s="134">
        <v>19</v>
      </c>
      <c r="BS33" s="134">
        <v>19</v>
      </c>
      <c r="BT33" s="134">
        <v>2</v>
      </c>
      <c r="BU33" s="134">
        <v>83</v>
      </c>
      <c r="BV33" s="134">
        <v>85</v>
      </c>
      <c r="BW33" s="134">
        <v>239</v>
      </c>
      <c r="BX33" s="134">
        <v>2888</v>
      </c>
      <c r="BY33" s="134">
        <v>3127</v>
      </c>
      <c r="BZ33" s="134">
        <v>236</v>
      </c>
      <c r="CA33" s="134">
        <v>2836</v>
      </c>
      <c r="CB33" s="134">
        <v>3072</v>
      </c>
      <c r="CC33" s="134">
        <v>6134</v>
      </c>
      <c r="CD33" s="134">
        <v>3</v>
      </c>
      <c r="CE33" s="134">
        <v>58</v>
      </c>
      <c r="CF33" s="134">
        <v>3</v>
      </c>
      <c r="CG33" s="134">
        <v>48</v>
      </c>
      <c r="CH33" s="134">
        <v>51</v>
      </c>
      <c r="CI33" s="134">
        <v>5</v>
      </c>
      <c r="CJ33" s="134">
        <v>0</v>
      </c>
      <c r="CK33" s="134">
        <v>0</v>
      </c>
      <c r="CL33" s="134">
        <v>4</v>
      </c>
      <c r="CM33" s="134">
        <v>4</v>
      </c>
      <c r="CN33" s="134">
        <v>15</v>
      </c>
      <c r="CO33" s="134">
        <v>306</v>
      </c>
      <c r="CP33" s="134">
        <v>321</v>
      </c>
      <c r="CQ33" s="134">
        <v>0</v>
      </c>
      <c r="CR33" s="134">
        <v>0</v>
      </c>
      <c r="CS33" s="134">
        <v>0</v>
      </c>
      <c r="CT33" s="134">
        <v>224</v>
      </c>
      <c r="CU33" s="134">
        <v>2582</v>
      </c>
      <c r="CV33" s="134">
        <v>2806</v>
      </c>
      <c r="CW33" s="134">
        <v>12</v>
      </c>
      <c r="CX33" s="134">
        <v>106</v>
      </c>
      <c r="CY33" s="134">
        <v>118</v>
      </c>
      <c r="CZ33" s="134">
        <v>12</v>
      </c>
      <c r="DA33" s="134">
        <v>0</v>
      </c>
      <c r="DB33" s="134">
        <v>0</v>
      </c>
      <c r="DC33" s="134">
        <v>104</v>
      </c>
      <c r="DD33" s="134">
        <v>1</v>
      </c>
      <c r="DE33" s="134">
        <v>0</v>
      </c>
      <c r="DF33" s="134">
        <v>12</v>
      </c>
      <c r="DG33" s="134">
        <v>105</v>
      </c>
      <c r="DH33" s="134">
        <v>117</v>
      </c>
      <c r="DI33" s="134">
        <v>0</v>
      </c>
      <c r="DJ33" s="134">
        <v>0</v>
      </c>
      <c r="DK33" s="134">
        <v>0</v>
      </c>
      <c r="DL33" s="134">
        <v>1</v>
      </c>
      <c r="DM33" s="134">
        <v>0</v>
      </c>
      <c r="DN33" s="134">
        <v>0</v>
      </c>
      <c r="DO33" s="134">
        <v>0</v>
      </c>
      <c r="DP33" s="134">
        <v>1</v>
      </c>
      <c r="DQ33" s="134">
        <v>1</v>
      </c>
      <c r="DR33" s="134">
        <v>0</v>
      </c>
      <c r="DS33" s="134">
        <v>0</v>
      </c>
      <c r="DT33" s="135">
        <v>0</v>
      </c>
      <c r="DV33" s="136"/>
      <c r="DW33" s="137"/>
      <c r="DX33" s="136"/>
      <c r="DY33" s="136"/>
    </row>
    <row r="34" spans="1:129" s="116" customFormat="1">
      <c r="A34" s="133" t="s">
        <v>303</v>
      </c>
      <c r="B34" s="134">
        <v>357</v>
      </c>
      <c r="C34" s="134">
        <v>88</v>
      </c>
      <c r="D34" s="134">
        <v>348</v>
      </c>
      <c r="E34" s="134">
        <v>222</v>
      </c>
      <c r="F34" s="134">
        <v>0</v>
      </c>
      <c r="G34" s="134">
        <v>15</v>
      </c>
      <c r="H34" s="134">
        <v>15</v>
      </c>
      <c r="I34" s="134">
        <v>0</v>
      </c>
      <c r="J34" s="134">
        <v>120</v>
      </c>
      <c r="K34" s="134">
        <v>120</v>
      </c>
      <c r="L34" s="134">
        <v>0</v>
      </c>
      <c r="M34" s="134">
        <v>38</v>
      </c>
      <c r="N34" s="134">
        <v>38</v>
      </c>
      <c r="O34" s="134">
        <v>0</v>
      </c>
      <c r="P34" s="134">
        <v>82</v>
      </c>
      <c r="Q34" s="134">
        <v>82</v>
      </c>
      <c r="R34" s="134">
        <v>0</v>
      </c>
      <c r="S34" s="134">
        <v>7</v>
      </c>
      <c r="T34" s="134">
        <v>7</v>
      </c>
      <c r="U34" s="134">
        <v>0</v>
      </c>
      <c r="V34" s="134">
        <v>6</v>
      </c>
      <c r="W34" s="134">
        <v>6</v>
      </c>
      <c r="X34" s="134">
        <v>4</v>
      </c>
      <c r="Y34" s="134">
        <v>344</v>
      </c>
      <c r="Z34" s="134">
        <v>348</v>
      </c>
      <c r="AA34" s="134">
        <v>2</v>
      </c>
      <c r="AB34" s="134">
        <v>165</v>
      </c>
      <c r="AC34" s="134">
        <v>167</v>
      </c>
      <c r="AD34" s="134">
        <v>2</v>
      </c>
      <c r="AE34" s="134">
        <v>136</v>
      </c>
      <c r="AF34" s="134">
        <v>138</v>
      </c>
      <c r="AG34" s="134">
        <v>0</v>
      </c>
      <c r="AH34" s="134">
        <v>6</v>
      </c>
      <c r="AI34" s="134">
        <v>6</v>
      </c>
      <c r="AJ34" s="134">
        <v>0</v>
      </c>
      <c r="AK34" s="134">
        <v>23</v>
      </c>
      <c r="AL34" s="134">
        <v>23</v>
      </c>
      <c r="AM34" s="134">
        <v>2</v>
      </c>
      <c r="AN34" s="134">
        <v>179</v>
      </c>
      <c r="AO34" s="134">
        <v>181</v>
      </c>
      <c r="AP34" s="134">
        <v>223</v>
      </c>
      <c r="AQ34" s="134">
        <v>3563</v>
      </c>
      <c r="AR34" s="134">
        <v>3786</v>
      </c>
      <c r="AS34" s="134">
        <v>224</v>
      </c>
      <c r="AT34" s="134">
        <v>3563</v>
      </c>
      <c r="AU34" s="134">
        <v>3787</v>
      </c>
      <c r="AV34" s="134">
        <v>-1</v>
      </c>
      <c r="AW34" s="134">
        <v>0</v>
      </c>
      <c r="AX34" s="134">
        <v>-1</v>
      </c>
      <c r="AY34" s="134">
        <v>17</v>
      </c>
      <c r="AZ34" s="134">
        <v>387</v>
      </c>
      <c r="BA34" s="134">
        <v>404</v>
      </c>
      <c r="BB34" s="134">
        <v>3</v>
      </c>
      <c r="BC34" s="134">
        <v>0</v>
      </c>
      <c r="BD34" s="134">
        <v>0</v>
      </c>
      <c r="BE34" s="134">
        <v>218</v>
      </c>
      <c r="BF34" s="134">
        <v>1</v>
      </c>
      <c r="BG34" s="134">
        <v>0</v>
      </c>
      <c r="BH34" s="134">
        <v>3</v>
      </c>
      <c r="BI34" s="134">
        <v>219</v>
      </c>
      <c r="BJ34" s="134">
        <v>222</v>
      </c>
      <c r="BK34" s="134">
        <v>-2</v>
      </c>
      <c r="BL34" s="134">
        <v>2</v>
      </c>
      <c r="BM34" s="134">
        <v>0</v>
      </c>
      <c r="BN34" s="134">
        <v>4</v>
      </c>
      <c r="BO34" s="134">
        <v>14</v>
      </c>
      <c r="BP34" s="134">
        <v>18</v>
      </c>
      <c r="BQ34" s="134">
        <v>1</v>
      </c>
      <c r="BR34" s="134">
        <v>72</v>
      </c>
      <c r="BS34" s="134">
        <v>73</v>
      </c>
      <c r="BT34" s="134">
        <v>11</v>
      </c>
      <c r="BU34" s="134">
        <v>80</v>
      </c>
      <c r="BV34" s="134">
        <v>91</v>
      </c>
      <c r="BW34" s="134">
        <v>240</v>
      </c>
      <c r="BX34" s="134">
        <v>3950</v>
      </c>
      <c r="BY34" s="134">
        <v>4190</v>
      </c>
      <c r="BZ34" s="134">
        <v>239</v>
      </c>
      <c r="CA34" s="134">
        <v>3937</v>
      </c>
      <c r="CB34" s="134">
        <v>4176</v>
      </c>
      <c r="CC34" s="134">
        <v>7210</v>
      </c>
      <c r="CD34" s="134">
        <v>2</v>
      </c>
      <c r="CE34" s="134">
        <v>11</v>
      </c>
      <c r="CF34" s="134">
        <v>1</v>
      </c>
      <c r="CG34" s="134">
        <v>12</v>
      </c>
      <c r="CH34" s="134">
        <v>13</v>
      </c>
      <c r="CI34" s="134">
        <v>1</v>
      </c>
      <c r="CJ34" s="134">
        <v>0</v>
      </c>
      <c r="CK34" s="134">
        <v>0</v>
      </c>
      <c r="CL34" s="134">
        <v>1</v>
      </c>
      <c r="CM34" s="134">
        <v>1</v>
      </c>
      <c r="CN34" s="134">
        <v>16</v>
      </c>
      <c r="CO34" s="134">
        <v>354</v>
      </c>
      <c r="CP34" s="134">
        <v>370</v>
      </c>
      <c r="CQ34" s="134">
        <v>0</v>
      </c>
      <c r="CR34" s="134">
        <v>2</v>
      </c>
      <c r="CS34" s="134">
        <v>2</v>
      </c>
      <c r="CT34" s="134">
        <v>224</v>
      </c>
      <c r="CU34" s="134">
        <v>3596</v>
      </c>
      <c r="CV34" s="134">
        <v>3820</v>
      </c>
      <c r="CW34" s="134">
        <v>16</v>
      </c>
      <c r="CX34" s="134">
        <v>157</v>
      </c>
      <c r="CY34" s="134">
        <v>173</v>
      </c>
      <c r="CZ34" s="134">
        <v>15</v>
      </c>
      <c r="DA34" s="134">
        <v>0</v>
      </c>
      <c r="DB34" s="134">
        <v>0</v>
      </c>
      <c r="DC34" s="134">
        <v>156</v>
      </c>
      <c r="DD34" s="134">
        <v>0</v>
      </c>
      <c r="DE34" s="134">
        <v>0</v>
      </c>
      <c r="DF34" s="134">
        <v>15</v>
      </c>
      <c r="DG34" s="134">
        <v>156</v>
      </c>
      <c r="DH34" s="134">
        <v>171</v>
      </c>
      <c r="DI34" s="134">
        <v>1</v>
      </c>
      <c r="DJ34" s="134">
        <v>0</v>
      </c>
      <c r="DK34" s="134">
        <v>0</v>
      </c>
      <c r="DL34" s="134">
        <v>1</v>
      </c>
      <c r="DM34" s="134">
        <v>0</v>
      </c>
      <c r="DN34" s="134">
        <v>0</v>
      </c>
      <c r="DO34" s="134">
        <v>1</v>
      </c>
      <c r="DP34" s="134">
        <v>1</v>
      </c>
      <c r="DQ34" s="134">
        <v>2</v>
      </c>
      <c r="DR34" s="134">
        <v>0</v>
      </c>
      <c r="DS34" s="134">
        <v>0</v>
      </c>
      <c r="DT34" s="135">
        <v>0</v>
      </c>
      <c r="DV34" s="136"/>
      <c r="DW34" s="137"/>
      <c r="DX34" s="136"/>
      <c r="DY34" s="136"/>
    </row>
    <row r="35" spans="1:129" s="116" customFormat="1">
      <c r="A35" s="133" t="s">
        <v>304</v>
      </c>
      <c r="B35" s="134">
        <v>7135</v>
      </c>
      <c r="C35" s="134">
        <v>1715</v>
      </c>
      <c r="D35" s="134">
        <v>6861</v>
      </c>
      <c r="E35" s="134">
        <v>4711</v>
      </c>
      <c r="F35" s="134">
        <v>3</v>
      </c>
      <c r="G35" s="134">
        <v>27</v>
      </c>
      <c r="H35" s="134">
        <v>30</v>
      </c>
      <c r="I35" s="134">
        <v>105</v>
      </c>
      <c r="J35" s="134">
        <v>1757</v>
      </c>
      <c r="K35" s="134">
        <v>1862</v>
      </c>
      <c r="L35" s="134">
        <v>63</v>
      </c>
      <c r="M35" s="134">
        <v>1055</v>
      </c>
      <c r="N35" s="134">
        <v>1118</v>
      </c>
      <c r="O35" s="134">
        <v>42</v>
      </c>
      <c r="P35" s="134">
        <v>702</v>
      </c>
      <c r="Q35" s="134">
        <v>744</v>
      </c>
      <c r="R35" s="134">
        <v>1</v>
      </c>
      <c r="S35" s="134">
        <v>87</v>
      </c>
      <c r="T35" s="134">
        <v>88</v>
      </c>
      <c r="U35" s="134">
        <v>53</v>
      </c>
      <c r="V35" s="134">
        <v>235</v>
      </c>
      <c r="W35" s="134">
        <v>288</v>
      </c>
      <c r="X35" s="134">
        <v>321</v>
      </c>
      <c r="Y35" s="134">
        <v>5160</v>
      </c>
      <c r="Z35" s="134">
        <v>5481</v>
      </c>
      <c r="AA35" s="134">
        <v>72</v>
      </c>
      <c r="AB35" s="134">
        <v>2121</v>
      </c>
      <c r="AC35" s="134">
        <v>2193</v>
      </c>
      <c r="AD35" s="134">
        <v>71</v>
      </c>
      <c r="AE35" s="134">
        <v>2117</v>
      </c>
      <c r="AF35" s="134">
        <v>2188</v>
      </c>
      <c r="AG35" s="134">
        <v>1</v>
      </c>
      <c r="AH35" s="134">
        <v>3</v>
      </c>
      <c r="AI35" s="134">
        <v>4</v>
      </c>
      <c r="AJ35" s="134">
        <v>0</v>
      </c>
      <c r="AK35" s="134">
        <v>1</v>
      </c>
      <c r="AL35" s="134">
        <v>1</v>
      </c>
      <c r="AM35" s="134">
        <v>249</v>
      </c>
      <c r="AN35" s="134">
        <v>3039</v>
      </c>
      <c r="AO35" s="134">
        <v>3288</v>
      </c>
      <c r="AP35" s="134">
        <v>9156</v>
      </c>
      <c r="AQ35" s="134">
        <v>98271</v>
      </c>
      <c r="AR35" s="134">
        <v>107427</v>
      </c>
      <c r="AS35" s="134">
        <v>9039</v>
      </c>
      <c r="AT35" s="134">
        <v>98178</v>
      </c>
      <c r="AU35" s="134">
        <v>107217</v>
      </c>
      <c r="AV35" s="134">
        <v>117</v>
      </c>
      <c r="AW35" s="134">
        <v>93</v>
      </c>
      <c r="AX35" s="134">
        <v>210</v>
      </c>
      <c r="AY35" s="134">
        <v>258</v>
      </c>
      <c r="AZ35" s="134">
        <v>8316</v>
      </c>
      <c r="BA35" s="134">
        <v>8574</v>
      </c>
      <c r="BB35" s="134">
        <v>229</v>
      </c>
      <c r="BC35" s="134">
        <v>8</v>
      </c>
      <c r="BD35" s="134">
        <v>0</v>
      </c>
      <c r="BE35" s="134">
        <v>4350</v>
      </c>
      <c r="BF35" s="134">
        <v>79</v>
      </c>
      <c r="BG35" s="134">
        <v>45</v>
      </c>
      <c r="BH35" s="134">
        <v>237</v>
      </c>
      <c r="BI35" s="134">
        <v>4474</v>
      </c>
      <c r="BJ35" s="134">
        <v>4711</v>
      </c>
      <c r="BK35" s="134">
        <v>-242</v>
      </c>
      <c r="BL35" s="134">
        <v>242</v>
      </c>
      <c r="BM35" s="134">
        <v>0</v>
      </c>
      <c r="BN35" s="134">
        <v>13</v>
      </c>
      <c r="BO35" s="134">
        <v>104</v>
      </c>
      <c r="BP35" s="134">
        <v>117</v>
      </c>
      <c r="BQ35" s="134">
        <v>45</v>
      </c>
      <c r="BR35" s="134">
        <v>836</v>
      </c>
      <c r="BS35" s="134">
        <v>881</v>
      </c>
      <c r="BT35" s="134">
        <v>205</v>
      </c>
      <c r="BU35" s="134">
        <v>2660</v>
      </c>
      <c r="BV35" s="134">
        <v>2865</v>
      </c>
      <c r="BW35" s="134">
        <v>9414</v>
      </c>
      <c r="BX35" s="134">
        <v>106587</v>
      </c>
      <c r="BY35" s="134">
        <v>116001</v>
      </c>
      <c r="BZ35" s="134">
        <v>9237</v>
      </c>
      <c r="CA35" s="134">
        <v>103446</v>
      </c>
      <c r="CB35" s="134">
        <v>112683</v>
      </c>
      <c r="CC35" s="134">
        <v>234802</v>
      </c>
      <c r="CD35" s="134">
        <v>249</v>
      </c>
      <c r="CE35" s="134">
        <v>2949</v>
      </c>
      <c r="CF35" s="134">
        <v>176</v>
      </c>
      <c r="CG35" s="134">
        <v>2052</v>
      </c>
      <c r="CH35" s="134">
        <v>2228</v>
      </c>
      <c r="CI35" s="134">
        <v>1480</v>
      </c>
      <c r="CJ35" s="134">
        <v>20</v>
      </c>
      <c r="CK35" s="134">
        <v>1</v>
      </c>
      <c r="CL35" s="134">
        <v>1089</v>
      </c>
      <c r="CM35" s="134">
        <v>1090</v>
      </c>
      <c r="CN35" s="134">
        <v>480</v>
      </c>
      <c r="CO35" s="134">
        <v>9123</v>
      </c>
      <c r="CP35" s="134">
        <v>9603</v>
      </c>
      <c r="CQ35" s="134">
        <v>0</v>
      </c>
      <c r="CR35" s="134">
        <v>0</v>
      </c>
      <c r="CS35" s="134">
        <v>0</v>
      </c>
      <c r="CT35" s="134">
        <v>8934</v>
      </c>
      <c r="CU35" s="134">
        <v>97464</v>
      </c>
      <c r="CV35" s="134">
        <v>106398</v>
      </c>
      <c r="CW35" s="134">
        <v>609</v>
      </c>
      <c r="CX35" s="134">
        <v>5984</v>
      </c>
      <c r="CY35" s="134">
        <v>6593</v>
      </c>
      <c r="CZ35" s="134">
        <v>593</v>
      </c>
      <c r="DA35" s="134">
        <v>9</v>
      </c>
      <c r="DB35" s="134">
        <v>0</v>
      </c>
      <c r="DC35" s="134">
        <v>4544</v>
      </c>
      <c r="DD35" s="134">
        <v>119</v>
      </c>
      <c r="DE35" s="134">
        <v>23</v>
      </c>
      <c r="DF35" s="134">
        <v>602</v>
      </c>
      <c r="DG35" s="134">
        <v>4686</v>
      </c>
      <c r="DH35" s="134">
        <v>5288</v>
      </c>
      <c r="DI35" s="134">
        <v>7</v>
      </c>
      <c r="DJ35" s="134">
        <v>0</v>
      </c>
      <c r="DK35" s="134">
        <v>0</v>
      </c>
      <c r="DL35" s="134">
        <v>1252</v>
      </c>
      <c r="DM35" s="134">
        <v>28</v>
      </c>
      <c r="DN35" s="134">
        <v>18</v>
      </c>
      <c r="DO35" s="134">
        <v>7</v>
      </c>
      <c r="DP35" s="134">
        <v>1298</v>
      </c>
      <c r="DQ35" s="134">
        <v>1305</v>
      </c>
      <c r="DR35" s="134">
        <v>0</v>
      </c>
      <c r="DS35" s="134">
        <v>0</v>
      </c>
      <c r="DT35" s="135">
        <v>0</v>
      </c>
      <c r="DV35" s="136"/>
      <c r="DW35" s="137"/>
      <c r="DX35" s="136"/>
      <c r="DY35" s="136"/>
    </row>
    <row r="36" spans="1:129" s="116" customFormat="1">
      <c r="A36" s="133" t="s">
        <v>305</v>
      </c>
      <c r="B36" s="134">
        <v>643</v>
      </c>
      <c r="C36" s="134">
        <v>312</v>
      </c>
      <c r="D36" s="134">
        <v>632</v>
      </c>
      <c r="E36" s="134">
        <v>317</v>
      </c>
      <c r="F36" s="134">
        <v>0</v>
      </c>
      <c r="G36" s="134">
        <v>0</v>
      </c>
      <c r="H36" s="134">
        <v>0</v>
      </c>
      <c r="I36" s="134">
        <v>0</v>
      </c>
      <c r="J36" s="134">
        <v>289</v>
      </c>
      <c r="K36" s="134">
        <v>289</v>
      </c>
      <c r="L36" s="134">
        <v>0</v>
      </c>
      <c r="M36" s="134">
        <v>64</v>
      </c>
      <c r="N36" s="134">
        <v>64</v>
      </c>
      <c r="O36" s="134">
        <v>0</v>
      </c>
      <c r="P36" s="134">
        <v>225</v>
      </c>
      <c r="Q36" s="134">
        <v>225</v>
      </c>
      <c r="R36" s="134">
        <v>0</v>
      </c>
      <c r="S36" s="134">
        <v>24</v>
      </c>
      <c r="T36" s="134">
        <v>24</v>
      </c>
      <c r="U36" s="134">
        <v>0</v>
      </c>
      <c r="V36" s="134">
        <v>26</v>
      </c>
      <c r="W36" s="134">
        <v>26</v>
      </c>
      <c r="X36" s="134">
        <v>8</v>
      </c>
      <c r="Y36" s="134">
        <v>413</v>
      </c>
      <c r="Z36" s="134">
        <v>421</v>
      </c>
      <c r="AA36" s="134">
        <v>4</v>
      </c>
      <c r="AB36" s="134">
        <v>215</v>
      </c>
      <c r="AC36" s="134">
        <v>219</v>
      </c>
      <c r="AD36" s="134">
        <v>2</v>
      </c>
      <c r="AE36" s="134">
        <v>192</v>
      </c>
      <c r="AF36" s="134">
        <v>194</v>
      </c>
      <c r="AG36" s="134">
        <v>0</v>
      </c>
      <c r="AH36" s="134">
        <v>12</v>
      </c>
      <c r="AI36" s="134">
        <v>12</v>
      </c>
      <c r="AJ36" s="134">
        <v>2</v>
      </c>
      <c r="AK36" s="134">
        <v>11</v>
      </c>
      <c r="AL36" s="134">
        <v>13</v>
      </c>
      <c r="AM36" s="134">
        <v>4</v>
      </c>
      <c r="AN36" s="134">
        <v>198</v>
      </c>
      <c r="AO36" s="134">
        <v>202</v>
      </c>
      <c r="AP36" s="134">
        <v>606</v>
      </c>
      <c r="AQ36" s="134">
        <v>7521</v>
      </c>
      <c r="AR36" s="134">
        <v>8127</v>
      </c>
      <c r="AS36" s="134">
        <v>595</v>
      </c>
      <c r="AT36" s="134">
        <v>7305</v>
      </c>
      <c r="AU36" s="134">
        <v>7900</v>
      </c>
      <c r="AV36" s="134">
        <v>11</v>
      </c>
      <c r="AW36" s="134">
        <v>216</v>
      </c>
      <c r="AX36" s="134">
        <v>227</v>
      </c>
      <c r="AY36" s="134">
        <v>40</v>
      </c>
      <c r="AZ36" s="134">
        <v>580</v>
      </c>
      <c r="BA36" s="134">
        <v>620</v>
      </c>
      <c r="BB36" s="134">
        <v>30</v>
      </c>
      <c r="BC36" s="134">
        <v>2</v>
      </c>
      <c r="BD36" s="134">
        <v>0</v>
      </c>
      <c r="BE36" s="134">
        <v>282</v>
      </c>
      <c r="BF36" s="134">
        <v>1</v>
      </c>
      <c r="BG36" s="134">
        <v>2</v>
      </c>
      <c r="BH36" s="134">
        <v>32</v>
      </c>
      <c r="BI36" s="134">
        <v>285</v>
      </c>
      <c r="BJ36" s="134">
        <v>317</v>
      </c>
      <c r="BK36" s="134">
        <v>-10</v>
      </c>
      <c r="BL36" s="134">
        <v>10</v>
      </c>
      <c r="BM36" s="134">
        <v>0</v>
      </c>
      <c r="BN36" s="134">
        <v>3</v>
      </c>
      <c r="BO36" s="134">
        <v>15</v>
      </c>
      <c r="BP36" s="134">
        <v>18</v>
      </c>
      <c r="BQ36" s="134">
        <v>4</v>
      </c>
      <c r="BR36" s="134">
        <v>77</v>
      </c>
      <c r="BS36" s="134">
        <v>81</v>
      </c>
      <c r="BT36" s="134">
        <v>11</v>
      </c>
      <c r="BU36" s="134">
        <v>193</v>
      </c>
      <c r="BV36" s="134">
        <v>204</v>
      </c>
      <c r="BW36" s="134">
        <v>646</v>
      </c>
      <c r="BX36" s="134">
        <v>8101</v>
      </c>
      <c r="BY36" s="134">
        <v>8747</v>
      </c>
      <c r="BZ36" s="134">
        <v>632</v>
      </c>
      <c r="CA36" s="134">
        <v>8026</v>
      </c>
      <c r="CB36" s="134">
        <v>8658</v>
      </c>
      <c r="CC36" s="134">
        <v>15933</v>
      </c>
      <c r="CD36" s="134">
        <v>0</v>
      </c>
      <c r="CE36" s="134">
        <v>80</v>
      </c>
      <c r="CF36" s="134">
        <v>13</v>
      </c>
      <c r="CG36" s="134">
        <v>42</v>
      </c>
      <c r="CH36" s="134">
        <v>55</v>
      </c>
      <c r="CI36" s="134">
        <v>45</v>
      </c>
      <c r="CJ36" s="134">
        <v>7</v>
      </c>
      <c r="CK36" s="134">
        <v>1</v>
      </c>
      <c r="CL36" s="134">
        <v>33</v>
      </c>
      <c r="CM36" s="134">
        <v>34</v>
      </c>
      <c r="CN36" s="134">
        <v>52</v>
      </c>
      <c r="CO36" s="134">
        <v>881</v>
      </c>
      <c r="CP36" s="134">
        <v>933</v>
      </c>
      <c r="CQ36" s="134">
        <v>0</v>
      </c>
      <c r="CR36" s="134">
        <v>0</v>
      </c>
      <c r="CS36" s="134">
        <v>0</v>
      </c>
      <c r="CT36" s="134">
        <v>594</v>
      </c>
      <c r="CU36" s="134">
        <v>7220</v>
      </c>
      <c r="CV36" s="134">
        <v>7814</v>
      </c>
      <c r="CW36" s="134">
        <v>36</v>
      </c>
      <c r="CX36" s="134">
        <v>302</v>
      </c>
      <c r="CY36" s="134">
        <v>338</v>
      </c>
      <c r="CZ36" s="134">
        <v>36</v>
      </c>
      <c r="DA36" s="134">
        <v>0</v>
      </c>
      <c r="DB36" s="134">
        <v>0</v>
      </c>
      <c r="DC36" s="134">
        <v>289</v>
      </c>
      <c r="DD36" s="134">
        <v>2</v>
      </c>
      <c r="DE36" s="134">
        <v>3</v>
      </c>
      <c r="DF36" s="134">
        <v>36</v>
      </c>
      <c r="DG36" s="134">
        <v>294</v>
      </c>
      <c r="DH36" s="134">
        <v>330</v>
      </c>
      <c r="DI36" s="134">
        <v>0</v>
      </c>
      <c r="DJ36" s="134">
        <v>0</v>
      </c>
      <c r="DK36" s="134">
        <v>0</v>
      </c>
      <c r="DL36" s="134">
        <v>7</v>
      </c>
      <c r="DM36" s="134">
        <v>1</v>
      </c>
      <c r="DN36" s="134">
        <v>0</v>
      </c>
      <c r="DO36" s="134">
        <v>0</v>
      </c>
      <c r="DP36" s="134">
        <v>8</v>
      </c>
      <c r="DQ36" s="134">
        <v>8</v>
      </c>
      <c r="DR36" s="134">
        <v>0</v>
      </c>
      <c r="DS36" s="134">
        <v>0</v>
      </c>
      <c r="DT36" s="135">
        <v>0</v>
      </c>
      <c r="DV36" s="136"/>
      <c r="DW36" s="137"/>
      <c r="DX36" s="136"/>
      <c r="DY36" s="136"/>
    </row>
    <row r="37" spans="1:129" s="116" customFormat="1">
      <c r="A37" s="133" t="s">
        <v>306</v>
      </c>
      <c r="B37" s="134">
        <v>105</v>
      </c>
      <c r="C37" s="134">
        <v>25</v>
      </c>
      <c r="D37" s="134">
        <v>115</v>
      </c>
      <c r="E37" s="134">
        <v>95</v>
      </c>
      <c r="F37" s="134">
        <v>0</v>
      </c>
      <c r="G37" s="134">
        <v>3</v>
      </c>
      <c r="H37" s="134">
        <v>3</v>
      </c>
      <c r="I37" s="134">
        <v>0</v>
      </c>
      <c r="J37" s="134">
        <v>19</v>
      </c>
      <c r="K37" s="134">
        <v>19</v>
      </c>
      <c r="L37" s="134">
        <v>0</v>
      </c>
      <c r="M37" s="134">
        <v>7</v>
      </c>
      <c r="N37" s="134">
        <v>7</v>
      </c>
      <c r="O37" s="134">
        <v>0</v>
      </c>
      <c r="P37" s="134">
        <v>12</v>
      </c>
      <c r="Q37" s="134">
        <v>12</v>
      </c>
      <c r="R37" s="134">
        <v>0</v>
      </c>
      <c r="S37" s="134">
        <v>0</v>
      </c>
      <c r="T37" s="134">
        <v>0</v>
      </c>
      <c r="U37" s="134">
        <v>0</v>
      </c>
      <c r="V37" s="134">
        <v>1</v>
      </c>
      <c r="W37" s="134">
        <v>1</v>
      </c>
      <c r="X37" s="134">
        <v>1</v>
      </c>
      <c r="Y37" s="134">
        <v>114</v>
      </c>
      <c r="Z37" s="134">
        <v>115</v>
      </c>
      <c r="AA37" s="134">
        <v>0</v>
      </c>
      <c r="AB37" s="134">
        <v>66</v>
      </c>
      <c r="AC37" s="134">
        <v>66</v>
      </c>
      <c r="AD37" s="134">
        <v>0</v>
      </c>
      <c r="AE37" s="134">
        <v>61</v>
      </c>
      <c r="AF37" s="134">
        <v>61</v>
      </c>
      <c r="AG37" s="134">
        <v>0</v>
      </c>
      <c r="AH37" s="134">
        <v>3</v>
      </c>
      <c r="AI37" s="134">
        <v>3</v>
      </c>
      <c r="AJ37" s="134">
        <v>0</v>
      </c>
      <c r="AK37" s="134">
        <v>2</v>
      </c>
      <c r="AL37" s="134">
        <v>2</v>
      </c>
      <c r="AM37" s="134">
        <v>1</v>
      </c>
      <c r="AN37" s="134">
        <v>48</v>
      </c>
      <c r="AO37" s="134">
        <v>49</v>
      </c>
      <c r="AP37" s="134">
        <v>58</v>
      </c>
      <c r="AQ37" s="134">
        <v>930</v>
      </c>
      <c r="AR37" s="134">
        <v>988</v>
      </c>
      <c r="AS37" s="134">
        <v>58</v>
      </c>
      <c r="AT37" s="134">
        <v>930</v>
      </c>
      <c r="AU37" s="134">
        <v>988</v>
      </c>
      <c r="AV37" s="134">
        <v>0</v>
      </c>
      <c r="AW37" s="134">
        <v>0</v>
      </c>
      <c r="AX37" s="134">
        <v>0</v>
      </c>
      <c r="AY37" s="134">
        <v>3</v>
      </c>
      <c r="AZ37" s="134">
        <v>147</v>
      </c>
      <c r="BA37" s="134">
        <v>150</v>
      </c>
      <c r="BB37" s="134">
        <v>2</v>
      </c>
      <c r="BC37" s="134">
        <v>0</v>
      </c>
      <c r="BD37" s="134">
        <v>0</v>
      </c>
      <c r="BE37" s="134">
        <v>93</v>
      </c>
      <c r="BF37" s="134">
        <v>0</v>
      </c>
      <c r="BG37" s="134">
        <v>0</v>
      </c>
      <c r="BH37" s="134">
        <v>2</v>
      </c>
      <c r="BI37" s="134">
        <v>93</v>
      </c>
      <c r="BJ37" s="134">
        <v>95</v>
      </c>
      <c r="BK37" s="134">
        <v>-3</v>
      </c>
      <c r="BL37" s="134">
        <v>3</v>
      </c>
      <c r="BM37" s="134">
        <v>0</v>
      </c>
      <c r="BN37" s="134">
        <v>1</v>
      </c>
      <c r="BO37" s="134">
        <v>6</v>
      </c>
      <c r="BP37" s="134">
        <v>7</v>
      </c>
      <c r="BQ37" s="134">
        <v>0</v>
      </c>
      <c r="BR37" s="134">
        <v>19</v>
      </c>
      <c r="BS37" s="134">
        <v>19</v>
      </c>
      <c r="BT37" s="134">
        <v>3</v>
      </c>
      <c r="BU37" s="134">
        <v>26</v>
      </c>
      <c r="BV37" s="134">
        <v>29</v>
      </c>
      <c r="BW37" s="134">
        <v>61</v>
      </c>
      <c r="BX37" s="134">
        <v>1077</v>
      </c>
      <c r="BY37" s="134">
        <v>1138</v>
      </c>
      <c r="BZ37" s="134">
        <v>61</v>
      </c>
      <c r="CA37" s="134">
        <v>1076</v>
      </c>
      <c r="CB37" s="134">
        <v>1137</v>
      </c>
      <c r="CC37" s="134">
        <v>2059</v>
      </c>
      <c r="CD37" s="134">
        <v>0</v>
      </c>
      <c r="CE37" s="134">
        <v>1</v>
      </c>
      <c r="CF37" s="134">
        <v>0</v>
      </c>
      <c r="CG37" s="134">
        <v>1</v>
      </c>
      <c r="CH37" s="134">
        <v>1</v>
      </c>
      <c r="CI37" s="134">
        <v>0</v>
      </c>
      <c r="CJ37" s="134">
        <v>0</v>
      </c>
      <c r="CK37" s="134">
        <v>0</v>
      </c>
      <c r="CL37" s="134">
        <v>0</v>
      </c>
      <c r="CM37" s="134">
        <v>0</v>
      </c>
      <c r="CN37" s="134">
        <v>1</v>
      </c>
      <c r="CO37" s="134">
        <v>88</v>
      </c>
      <c r="CP37" s="134">
        <v>89</v>
      </c>
      <c r="CQ37" s="134">
        <v>0</v>
      </c>
      <c r="CR37" s="134">
        <v>0</v>
      </c>
      <c r="CS37" s="134">
        <v>0</v>
      </c>
      <c r="CT37" s="134">
        <v>60</v>
      </c>
      <c r="CU37" s="134">
        <v>989</v>
      </c>
      <c r="CV37" s="134">
        <v>1049</v>
      </c>
      <c r="CW37" s="134">
        <v>4</v>
      </c>
      <c r="CX37" s="134">
        <v>42</v>
      </c>
      <c r="CY37" s="134">
        <v>46</v>
      </c>
      <c r="CZ37" s="134">
        <v>4</v>
      </c>
      <c r="DA37" s="134">
        <v>0</v>
      </c>
      <c r="DB37" s="134">
        <v>0</v>
      </c>
      <c r="DC37" s="134">
        <v>40</v>
      </c>
      <c r="DD37" s="134">
        <v>0</v>
      </c>
      <c r="DE37" s="134">
        <v>0</v>
      </c>
      <c r="DF37" s="134">
        <v>4</v>
      </c>
      <c r="DG37" s="134">
        <v>40</v>
      </c>
      <c r="DH37" s="134">
        <v>44</v>
      </c>
      <c r="DI37" s="134">
        <v>0</v>
      </c>
      <c r="DJ37" s="134">
        <v>0</v>
      </c>
      <c r="DK37" s="134">
        <v>0</v>
      </c>
      <c r="DL37" s="134">
        <v>2</v>
      </c>
      <c r="DM37" s="134">
        <v>0</v>
      </c>
      <c r="DN37" s="134">
        <v>0</v>
      </c>
      <c r="DO37" s="134">
        <v>0</v>
      </c>
      <c r="DP37" s="134">
        <v>2</v>
      </c>
      <c r="DQ37" s="134">
        <v>2</v>
      </c>
      <c r="DR37" s="134">
        <v>0</v>
      </c>
      <c r="DS37" s="134">
        <v>0</v>
      </c>
      <c r="DT37" s="135">
        <v>0</v>
      </c>
      <c r="DV37" s="136"/>
      <c r="DW37" s="137"/>
      <c r="DX37" s="136"/>
      <c r="DY37" s="136"/>
    </row>
    <row r="38" spans="1:129" s="116" customFormat="1">
      <c r="A38" s="133" t="s">
        <v>307</v>
      </c>
      <c r="B38" s="134">
        <v>10213</v>
      </c>
      <c r="C38" s="134">
        <v>3128</v>
      </c>
      <c r="D38" s="134">
        <v>10081</v>
      </c>
      <c r="E38" s="134">
        <v>5559</v>
      </c>
      <c r="F38" s="134">
        <v>1</v>
      </c>
      <c r="G38" s="134">
        <v>25</v>
      </c>
      <c r="H38" s="134">
        <v>26</v>
      </c>
      <c r="I38" s="134">
        <v>0</v>
      </c>
      <c r="J38" s="134">
        <v>4138</v>
      </c>
      <c r="K38" s="134">
        <v>4138</v>
      </c>
      <c r="L38" s="134">
        <v>0</v>
      </c>
      <c r="M38" s="134">
        <v>1002</v>
      </c>
      <c r="N38" s="134">
        <v>1002</v>
      </c>
      <c r="O38" s="134">
        <v>0</v>
      </c>
      <c r="P38" s="134">
        <v>3136</v>
      </c>
      <c r="Q38" s="134">
        <v>3136</v>
      </c>
      <c r="R38" s="134">
        <v>0</v>
      </c>
      <c r="S38" s="134">
        <v>13</v>
      </c>
      <c r="T38" s="134">
        <v>13</v>
      </c>
      <c r="U38" s="134">
        <v>0</v>
      </c>
      <c r="V38" s="134">
        <v>384</v>
      </c>
      <c r="W38" s="134">
        <v>384</v>
      </c>
      <c r="X38" s="134">
        <v>245</v>
      </c>
      <c r="Y38" s="134">
        <v>9836</v>
      </c>
      <c r="Z38" s="134">
        <v>10081</v>
      </c>
      <c r="AA38" s="134">
        <v>175</v>
      </c>
      <c r="AB38" s="134">
        <v>3715</v>
      </c>
      <c r="AC38" s="134">
        <v>3890</v>
      </c>
      <c r="AD38" s="134">
        <v>159</v>
      </c>
      <c r="AE38" s="134">
        <v>3395</v>
      </c>
      <c r="AF38" s="134">
        <v>3554</v>
      </c>
      <c r="AG38" s="134">
        <v>10</v>
      </c>
      <c r="AH38" s="134">
        <v>210</v>
      </c>
      <c r="AI38" s="134">
        <v>220</v>
      </c>
      <c r="AJ38" s="134">
        <v>6</v>
      </c>
      <c r="AK38" s="134">
        <v>110</v>
      </c>
      <c r="AL38" s="134">
        <v>116</v>
      </c>
      <c r="AM38" s="134">
        <v>70</v>
      </c>
      <c r="AN38" s="134">
        <v>6121</v>
      </c>
      <c r="AO38" s="134">
        <v>6191</v>
      </c>
      <c r="AP38" s="134">
        <v>13728</v>
      </c>
      <c r="AQ38" s="134">
        <v>101403</v>
      </c>
      <c r="AR38" s="134">
        <v>115131</v>
      </c>
      <c r="AS38" s="134">
        <v>13729</v>
      </c>
      <c r="AT38" s="134">
        <v>101405</v>
      </c>
      <c r="AU38" s="134">
        <v>115134</v>
      </c>
      <c r="AV38" s="134">
        <v>-1</v>
      </c>
      <c r="AW38" s="134">
        <v>-2</v>
      </c>
      <c r="AX38" s="134">
        <v>-3</v>
      </c>
      <c r="AY38" s="134">
        <v>686</v>
      </c>
      <c r="AZ38" s="134">
        <v>8845</v>
      </c>
      <c r="BA38" s="134">
        <v>9531</v>
      </c>
      <c r="BB38" s="134">
        <v>290</v>
      </c>
      <c r="BC38" s="134">
        <v>1</v>
      </c>
      <c r="BD38" s="134">
        <v>0</v>
      </c>
      <c r="BE38" s="134">
        <v>5229</v>
      </c>
      <c r="BF38" s="134">
        <v>31</v>
      </c>
      <c r="BG38" s="134">
        <v>8</v>
      </c>
      <c r="BH38" s="134">
        <v>291</v>
      </c>
      <c r="BI38" s="134">
        <v>5268</v>
      </c>
      <c r="BJ38" s="134">
        <v>5559</v>
      </c>
      <c r="BK38" s="134">
        <v>9</v>
      </c>
      <c r="BL38" s="134">
        <v>-9</v>
      </c>
      <c r="BM38" s="134">
        <v>0</v>
      </c>
      <c r="BN38" s="134">
        <v>43</v>
      </c>
      <c r="BO38" s="134">
        <v>273</v>
      </c>
      <c r="BP38" s="134">
        <v>316</v>
      </c>
      <c r="BQ38" s="134">
        <v>75</v>
      </c>
      <c r="BR38" s="134">
        <v>1472</v>
      </c>
      <c r="BS38" s="134">
        <v>1547</v>
      </c>
      <c r="BT38" s="134">
        <v>268</v>
      </c>
      <c r="BU38" s="134">
        <v>1841</v>
      </c>
      <c r="BV38" s="134">
        <v>2109</v>
      </c>
      <c r="BW38" s="134">
        <v>14414</v>
      </c>
      <c r="BX38" s="134">
        <v>110248</v>
      </c>
      <c r="BY38" s="134">
        <v>124662</v>
      </c>
      <c r="BZ38" s="134">
        <v>14313</v>
      </c>
      <c r="CA38" s="134">
        <v>109383</v>
      </c>
      <c r="CB38" s="134">
        <v>123696</v>
      </c>
      <c r="CC38" s="134">
        <v>273233</v>
      </c>
      <c r="CD38" s="134">
        <v>106</v>
      </c>
      <c r="CE38" s="134">
        <v>802</v>
      </c>
      <c r="CF38" s="134">
        <v>99</v>
      </c>
      <c r="CG38" s="134">
        <v>688</v>
      </c>
      <c r="CH38" s="134">
        <v>787</v>
      </c>
      <c r="CI38" s="134">
        <v>212</v>
      </c>
      <c r="CJ38" s="134">
        <v>17</v>
      </c>
      <c r="CK38" s="134">
        <v>2</v>
      </c>
      <c r="CL38" s="134">
        <v>177</v>
      </c>
      <c r="CM38" s="134">
        <v>179</v>
      </c>
      <c r="CN38" s="134">
        <v>822</v>
      </c>
      <c r="CO38" s="134">
        <v>9672</v>
      </c>
      <c r="CP38" s="134">
        <v>10494</v>
      </c>
      <c r="CQ38" s="134">
        <v>1</v>
      </c>
      <c r="CR38" s="134">
        <v>146</v>
      </c>
      <c r="CS38" s="134">
        <v>147</v>
      </c>
      <c r="CT38" s="134">
        <v>13592</v>
      </c>
      <c r="CU38" s="134">
        <v>100576</v>
      </c>
      <c r="CV38" s="134">
        <v>114168</v>
      </c>
      <c r="CW38" s="134">
        <v>935</v>
      </c>
      <c r="CX38" s="134">
        <v>4321</v>
      </c>
      <c r="CY38" s="134">
        <v>5256</v>
      </c>
      <c r="CZ38" s="134">
        <v>928</v>
      </c>
      <c r="DA38" s="134">
        <v>6</v>
      </c>
      <c r="DB38" s="134">
        <v>0</v>
      </c>
      <c r="DC38" s="134">
        <v>4242</v>
      </c>
      <c r="DD38" s="134">
        <v>42</v>
      </c>
      <c r="DE38" s="134">
        <v>3</v>
      </c>
      <c r="DF38" s="134">
        <v>934</v>
      </c>
      <c r="DG38" s="134">
        <v>4287</v>
      </c>
      <c r="DH38" s="134">
        <v>5221</v>
      </c>
      <c r="DI38" s="134">
        <v>1</v>
      </c>
      <c r="DJ38" s="134">
        <v>0</v>
      </c>
      <c r="DK38" s="134">
        <v>0</v>
      </c>
      <c r="DL38" s="134">
        <v>34</v>
      </c>
      <c r="DM38" s="134">
        <v>0</v>
      </c>
      <c r="DN38" s="134">
        <v>0</v>
      </c>
      <c r="DO38" s="134">
        <v>1</v>
      </c>
      <c r="DP38" s="134">
        <v>34</v>
      </c>
      <c r="DQ38" s="134">
        <v>35</v>
      </c>
      <c r="DR38" s="134">
        <v>0</v>
      </c>
      <c r="DS38" s="134">
        <v>0</v>
      </c>
      <c r="DT38" s="135">
        <v>0</v>
      </c>
      <c r="DV38" s="136"/>
      <c r="DW38" s="137"/>
      <c r="DX38" s="136"/>
      <c r="DY38" s="136"/>
    </row>
    <row r="39" spans="1:129" s="116" customFormat="1">
      <c r="A39" s="133" t="s">
        <v>308</v>
      </c>
      <c r="B39" s="134">
        <v>7532</v>
      </c>
      <c r="C39" s="134">
        <v>2199</v>
      </c>
      <c r="D39" s="134">
        <v>6348</v>
      </c>
      <c r="E39" s="134">
        <v>3885</v>
      </c>
      <c r="F39" s="134">
        <v>2</v>
      </c>
      <c r="G39" s="134">
        <v>21</v>
      </c>
      <c r="H39" s="134">
        <v>23</v>
      </c>
      <c r="I39" s="134">
        <v>2</v>
      </c>
      <c r="J39" s="134">
        <v>2278</v>
      </c>
      <c r="K39" s="134">
        <v>2280</v>
      </c>
      <c r="L39" s="134">
        <v>1</v>
      </c>
      <c r="M39" s="134">
        <v>700</v>
      </c>
      <c r="N39" s="134">
        <v>701</v>
      </c>
      <c r="O39" s="134">
        <v>1</v>
      </c>
      <c r="P39" s="134">
        <v>1578</v>
      </c>
      <c r="Q39" s="134">
        <v>1579</v>
      </c>
      <c r="R39" s="134">
        <v>0</v>
      </c>
      <c r="S39" s="134">
        <v>58</v>
      </c>
      <c r="T39" s="134">
        <v>58</v>
      </c>
      <c r="U39" s="134">
        <v>0</v>
      </c>
      <c r="V39" s="134">
        <v>183</v>
      </c>
      <c r="W39" s="134">
        <v>183</v>
      </c>
      <c r="X39" s="134">
        <v>251</v>
      </c>
      <c r="Y39" s="134">
        <v>6097</v>
      </c>
      <c r="Z39" s="134">
        <v>6348</v>
      </c>
      <c r="AA39" s="134">
        <v>120</v>
      </c>
      <c r="AB39" s="134">
        <v>1783</v>
      </c>
      <c r="AC39" s="134">
        <v>1903</v>
      </c>
      <c r="AD39" s="134">
        <v>118</v>
      </c>
      <c r="AE39" s="134">
        <v>1770</v>
      </c>
      <c r="AF39" s="134">
        <v>1888</v>
      </c>
      <c r="AG39" s="134">
        <v>2</v>
      </c>
      <c r="AH39" s="134">
        <v>8</v>
      </c>
      <c r="AI39" s="134">
        <v>10</v>
      </c>
      <c r="AJ39" s="134">
        <v>0</v>
      </c>
      <c r="AK39" s="134">
        <v>5</v>
      </c>
      <c r="AL39" s="134">
        <v>5</v>
      </c>
      <c r="AM39" s="134">
        <v>131</v>
      </c>
      <c r="AN39" s="134">
        <v>4314</v>
      </c>
      <c r="AO39" s="134">
        <v>4445</v>
      </c>
      <c r="AP39" s="134">
        <v>12955</v>
      </c>
      <c r="AQ39" s="134">
        <v>78142</v>
      </c>
      <c r="AR39" s="134">
        <v>91097</v>
      </c>
      <c r="AS39" s="134">
        <v>12843</v>
      </c>
      <c r="AT39" s="134">
        <v>77268</v>
      </c>
      <c r="AU39" s="134">
        <v>90111</v>
      </c>
      <c r="AV39" s="134">
        <v>112</v>
      </c>
      <c r="AW39" s="134">
        <v>874</v>
      </c>
      <c r="AX39" s="134">
        <v>986</v>
      </c>
      <c r="AY39" s="134">
        <v>727</v>
      </c>
      <c r="AZ39" s="134">
        <v>7517</v>
      </c>
      <c r="BA39" s="134">
        <v>8244</v>
      </c>
      <c r="BB39" s="134">
        <v>362</v>
      </c>
      <c r="BC39" s="134">
        <v>18</v>
      </c>
      <c r="BD39" s="134">
        <v>0</v>
      </c>
      <c r="BE39" s="134">
        <v>3451</v>
      </c>
      <c r="BF39" s="134">
        <v>35</v>
      </c>
      <c r="BG39" s="134">
        <v>19</v>
      </c>
      <c r="BH39" s="134">
        <v>380</v>
      </c>
      <c r="BI39" s="134">
        <v>3505</v>
      </c>
      <c r="BJ39" s="134">
        <v>3885</v>
      </c>
      <c r="BK39" s="134">
        <v>-248</v>
      </c>
      <c r="BL39" s="134">
        <v>248</v>
      </c>
      <c r="BM39" s="134">
        <v>0</v>
      </c>
      <c r="BN39" s="134">
        <v>20</v>
      </c>
      <c r="BO39" s="134">
        <v>122</v>
      </c>
      <c r="BP39" s="134">
        <v>142</v>
      </c>
      <c r="BQ39" s="134">
        <v>66</v>
      </c>
      <c r="BR39" s="134">
        <v>847</v>
      </c>
      <c r="BS39" s="134">
        <v>913</v>
      </c>
      <c r="BT39" s="134">
        <v>509</v>
      </c>
      <c r="BU39" s="134">
        <v>2795</v>
      </c>
      <c r="BV39" s="134">
        <v>3304</v>
      </c>
      <c r="BW39" s="134">
        <v>13682</v>
      </c>
      <c r="BX39" s="134">
        <v>85659</v>
      </c>
      <c r="BY39" s="134">
        <v>99341</v>
      </c>
      <c r="BZ39" s="134">
        <v>13168</v>
      </c>
      <c r="CA39" s="134">
        <v>83981</v>
      </c>
      <c r="CB39" s="134">
        <v>97149</v>
      </c>
      <c r="CC39" s="134">
        <v>206218</v>
      </c>
      <c r="CD39" s="134">
        <v>121</v>
      </c>
      <c r="CE39" s="134">
        <v>2594</v>
      </c>
      <c r="CF39" s="134">
        <v>508</v>
      </c>
      <c r="CG39" s="134">
        <v>1147</v>
      </c>
      <c r="CH39" s="134">
        <v>1655</v>
      </c>
      <c r="CI39" s="134">
        <v>725</v>
      </c>
      <c r="CJ39" s="134">
        <v>15</v>
      </c>
      <c r="CK39" s="134">
        <v>6</v>
      </c>
      <c r="CL39" s="134">
        <v>531</v>
      </c>
      <c r="CM39" s="134">
        <v>537</v>
      </c>
      <c r="CN39" s="134">
        <v>1049</v>
      </c>
      <c r="CO39" s="134">
        <v>8508</v>
      </c>
      <c r="CP39" s="134">
        <v>9557</v>
      </c>
      <c r="CQ39" s="134">
        <v>0</v>
      </c>
      <c r="CR39" s="134">
        <v>0</v>
      </c>
      <c r="CS39" s="134">
        <v>0</v>
      </c>
      <c r="CT39" s="134">
        <v>12633</v>
      </c>
      <c r="CU39" s="134">
        <v>77151</v>
      </c>
      <c r="CV39" s="134">
        <v>89784</v>
      </c>
      <c r="CW39" s="134">
        <v>670</v>
      </c>
      <c r="CX39" s="134">
        <v>3253</v>
      </c>
      <c r="CY39" s="134">
        <v>3923</v>
      </c>
      <c r="CZ39" s="134">
        <v>596</v>
      </c>
      <c r="DA39" s="134">
        <v>32</v>
      </c>
      <c r="DB39" s="134">
        <v>1</v>
      </c>
      <c r="DC39" s="134">
        <v>2972</v>
      </c>
      <c r="DD39" s="134">
        <v>54</v>
      </c>
      <c r="DE39" s="134">
        <v>15</v>
      </c>
      <c r="DF39" s="134">
        <v>629</v>
      </c>
      <c r="DG39" s="134">
        <v>3041</v>
      </c>
      <c r="DH39" s="134">
        <v>3670</v>
      </c>
      <c r="DI39" s="134">
        <v>39</v>
      </c>
      <c r="DJ39" s="134">
        <v>2</v>
      </c>
      <c r="DK39" s="134">
        <v>0</v>
      </c>
      <c r="DL39" s="134">
        <v>203</v>
      </c>
      <c r="DM39" s="134">
        <v>9</v>
      </c>
      <c r="DN39" s="134">
        <v>0</v>
      </c>
      <c r="DO39" s="134">
        <v>41</v>
      </c>
      <c r="DP39" s="134">
        <v>212</v>
      </c>
      <c r="DQ39" s="134">
        <v>253</v>
      </c>
      <c r="DR39" s="134">
        <v>0</v>
      </c>
      <c r="DS39" s="134">
        <v>0</v>
      </c>
      <c r="DT39" s="135">
        <v>0</v>
      </c>
      <c r="DV39" s="136"/>
      <c r="DW39" s="137"/>
      <c r="DX39" s="136"/>
      <c r="DY39" s="136"/>
    </row>
    <row r="40" spans="1:129" s="116" customFormat="1">
      <c r="A40" s="133" t="s">
        <v>309</v>
      </c>
      <c r="B40" s="134">
        <v>169</v>
      </c>
      <c r="C40" s="134">
        <v>35</v>
      </c>
      <c r="D40" s="134">
        <v>163</v>
      </c>
      <c r="E40" s="134">
        <v>93</v>
      </c>
      <c r="F40" s="134">
        <v>0</v>
      </c>
      <c r="G40" s="134">
        <v>2</v>
      </c>
      <c r="H40" s="134">
        <v>2</v>
      </c>
      <c r="I40" s="134">
        <v>0</v>
      </c>
      <c r="J40" s="134">
        <v>60</v>
      </c>
      <c r="K40" s="134">
        <v>60</v>
      </c>
      <c r="L40" s="134">
        <v>0</v>
      </c>
      <c r="M40" s="134">
        <v>19</v>
      </c>
      <c r="N40" s="134">
        <v>19</v>
      </c>
      <c r="O40" s="134">
        <v>0</v>
      </c>
      <c r="P40" s="134">
        <v>41</v>
      </c>
      <c r="Q40" s="134">
        <v>41</v>
      </c>
      <c r="R40" s="134">
        <v>0</v>
      </c>
      <c r="S40" s="134">
        <v>5</v>
      </c>
      <c r="T40" s="134">
        <v>5</v>
      </c>
      <c r="U40" s="134">
        <v>0</v>
      </c>
      <c r="V40" s="134">
        <v>10</v>
      </c>
      <c r="W40" s="134">
        <v>10</v>
      </c>
      <c r="X40" s="134">
        <v>6</v>
      </c>
      <c r="Y40" s="134">
        <v>157</v>
      </c>
      <c r="Z40" s="134">
        <v>163</v>
      </c>
      <c r="AA40" s="134">
        <v>3</v>
      </c>
      <c r="AB40" s="134">
        <v>64</v>
      </c>
      <c r="AC40" s="134">
        <v>67</v>
      </c>
      <c r="AD40" s="134">
        <v>3</v>
      </c>
      <c r="AE40" s="134">
        <v>61</v>
      </c>
      <c r="AF40" s="134">
        <v>64</v>
      </c>
      <c r="AG40" s="134">
        <v>0</v>
      </c>
      <c r="AH40" s="134">
        <v>2</v>
      </c>
      <c r="AI40" s="134">
        <v>2</v>
      </c>
      <c r="AJ40" s="134">
        <v>0</v>
      </c>
      <c r="AK40" s="134">
        <v>1</v>
      </c>
      <c r="AL40" s="134">
        <v>1</v>
      </c>
      <c r="AM40" s="134">
        <v>3</v>
      </c>
      <c r="AN40" s="134">
        <v>93</v>
      </c>
      <c r="AO40" s="134">
        <v>96</v>
      </c>
      <c r="AP40" s="134">
        <v>215</v>
      </c>
      <c r="AQ40" s="134">
        <v>1767</v>
      </c>
      <c r="AR40" s="134">
        <v>1982</v>
      </c>
      <c r="AS40" s="134">
        <v>215</v>
      </c>
      <c r="AT40" s="134">
        <v>1767</v>
      </c>
      <c r="AU40" s="134">
        <v>1982</v>
      </c>
      <c r="AV40" s="134">
        <v>0</v>
      </c>
      <c r="AW40" s="134">
        <v>0</v>
      </c>
      <c r="AX40" s="134">
        <v>0</v>
      </c>
      <c r="AY40" s="134">
        <v>19</v>
      </c>
      <c r="AZ40" s="134">
        <v>148</v>
      </c>
      <c r="BA40" s="134">
        <v>167</v>
      </c>
      <c r="BB40" s="134">
        <v>5</v>
      </c>
      <c r="BC40" s="134">
        <v>0</v>
      </c>
      <c r="BD40" s="134">
        <v>0</v>
      </c>
      <c r="BE40" s="134">
        <v>86</v>
      </c>
      <c r="BF40" s="134">
        <v>0</v>
      </c>
      <c r="BG40" s="134">
        <v>2</v>
      </c>
      <c r="BH40" s="134">
        <v>5</v>
      </c>
      <c r="BI40" s="134">
        <v>88</v>
      </c>
      <c r="BJ40" s="134">
        <v>93</v>
      </c>
      <c r="BK40" s="134">
        <v>4</v>
      </c>
      <c r="BL40" s="134">
        <v>-4</v>
      </c>
      <c r="BM40" s="134">
        <v>0</v>
      </c>
      <c r="BN40" s="134">
        <v>3</v>
      </c>
      <c r="BO40" s="134">
        <v>6</v>
      </c>
      <c r="BP40" s="134">
        <v>9</v>
      </c>
      <c r="BQ40" s="134">
        <v>0</v>
      </c>
      <c r="BR40" s="134">
        <v>17</v>
      </c>
      <c r="BS40" s="134">
        <v>17</v>
      </c>
      <c r="BT40" s="134">
        <v>7</v>
      </c>
      <c r="BU40" s="134">
        <v>41</v>
      </c>
      <c r="BV40" s="134">
        <v>48</v>
      </c>
      <c r="BW40" s="134">
        <v>234</v>
      </c>
      <c r="BX40" s="134">
        <v>1915</v>
      </c>
      <c r="BY40" s="134">
        <v>2149</v>
      </c>
      <c r="BZ40" s="134">
        <v>232</v>
      </c>
      <c r="CA40" s="134">
        <v>1896</v>
      </c>
      <c r="CB40" s="134">
        <v>2128</v>
      </c>
      <c r="CC40" s="134">
        <v>4743</v>
      </c>
      <c r="CD40" s="134">
        <v>2</v>
      </c>
      <c r="CE40" s="134">
        <v>16</v>
      </c>
      <c r="CF40" s="134">
        <v>2</v>
      </c>
      <c r="CG40" s="134">
        <v>15</v>
      </c>
      <c r="CH40" s="134">
        <v>17</v>
      </c>
      <c r="CI40" s="134">
        <v>5</v>
      </c>
      <c r="CJ40" s="134">
        <v>0</v>
      </c>
      <c r="CK40" s="134">
        <v>0</v>
      </c>
      <c r="CL40" s="134">
        <v>4</v>
      </c>
      <c r="CM40" s="134">
        <v>4</v>
      </c>
      <c r="CN40" s="134">
        <v>16</v>
      </c>
      <c r="CO40" s="134">
        <v>179</v>
      </c>
      <c r="CP40" s="134">
        <v>195</v>
      </c>
      <c r="CQ40" s="134">
        <v>0</v>
      </c>
      <c r="CR40" s="134">
        <v>2</v>
      </c>
      <c r="CS40" s="134">
        <v>2</v>
      </c>
      <c r="CT40" s="134">
        <v>218</v>
      </c>
      <c r="CU40" s="134">
        <v>1736</v>
      </c>
      <c r="CV40" s="134">
        <v>1954</v>
      </c>
      <c r="CW40" s="134">
        <v>12</v>
      </c>
      <c r="CX40" s="134">
        <v>69</v>
      </c>
      <c r="CY40" s="134">
        <v>81</v>
      </c>
      <c r="CZ40" s="134">
        <v>12</v>
      </c>
      <c r="DA40" s="134">
        <v>0</v>
      </c>
      <c r="DB40" s="134">
        <v>0</v>
      </c>
      <c r="DC40" s="134">
        <v>64</v>
      </c>
      <c r="DD40" s="134">
        <v>0</v>
      </c>
      <c r="DE40" s="134">
        <v>0</v>
      </c>
      <c r="DF40" s="134">
        <v>12</v>
      </c>
      <c r="DG40" s="134">
        <v>64</v>
      </c>
      <c r="DH40" s="134">
        <v>76</v>
      </c>
      <c r="DI40" s="134">
        <v>0</v>
      </c>
      <c r="DJ40" s="134">
        <v>0</v>
      </c>
      <c r="DK40" s="134">
        <v>0</v>
      </c>
      <c r="DL40" s="134">
        <v>5</v>
      </c>
      <c r="DM40" s="134">
        <v>0</v>
      </c>
      <c r="DN40" s="134">
        <v>0</v>
      </c>
      <c r="DO40" s="134">
        <v>0</v>
      </c>
      <c r="DP40" s="134">
        <v>5</v>
      </c>
      <c r="DQ40" s="134">
        <v>5</v>
      </c>
      <c r="DR40" s="134">
        <v>0</v>
      </c>
      <c r="DS40" s="134">
        <v>0</v>
      </c>
      <c r="DT40" s="135">
        <v>0</v>
      </c>
      <c r="DV40" s="136"/>
      <c r="DW40" s="137"/>
      <c r="DX40" s="136"/>
      <c r="DY40" s="136"/>
    </row>
    <row r="41" spans="1:129" s="116" customFormat="1">
      <c r="A41" s="133" t="s">
        <v>310</v>
      </c>
      <c r="B41" s="134">
        <v>11706</v>
      </c>
      <c r="C41" s="134">
        <v>3386</v>
      </c>
      <c r="D41" s="134">
        <v>11826</v>
      </c>
      <c r="E41" s="134">
        <v>7967</v>
      </c>
      <c r="F41" s="134">
        <v>4</v>
      </c>
      <c r="G41" s="134">
        <v>82</v>
      </c>
      <c r="H41" s="134">
        <v>86</v>
      </c>
      <c r="I41" s="134">
        <v>3</v>
      </c>
      <c r="J41" s="134">
        <v>3506</v>
      </c>
      <c r="K41" s="134">
        <v>3509</v>
      </c>
      <c r="L41" s="134">
        <v>3</v>
      </c>
      <c r="M41" s="134">
        <v>1369</v>
      </c>
      <c r="N41" s="134">
        <v>1372</v>
      </c>
      <c r="O41" s="134">
        <v>0</v>
      </c>
      <c r="P41" s="134">
        <v>2137</v>
      </c>
      <c r="Q41" s="134">
        <v>2137</v>
      </c>
      <c r="R41" s="134">
        <v>0</v>
      </c>
      <c r="S41" s="134">
        <v>42</v>
      </c>
      <c r="T41" s="134">
        <v>42</v>
      </c>
      <c r="U41" s="134">
        <v>0</v>
      </c>
      <c r="V41" s="134">
        <v>350</v>
      </c>
      <c r="W41" s="134">
        <v>350</v>
      </c>
      <c r="X41" s="134">
        <v>325</v>
      </c>
      <c r="Y41" s="134">
        <v>11500</v>
      </c>
      <c r="Z41" s="134">
        <v>11825</v>
      </c>
      <c r="AA41" s="134">
        <v>217</v>
      </c>
      <c r="AB41" s="134">
        <v>5030</v>
      </c>
      <c r="AC41" s="134">
        <v>5247</v>
      </c>
      <c r="AD41" s="134">
        <v>199</v>
      </c>
      <c r="AE41" s="134">
        <v>4718</v>
      </c>
      <c r="AF41" s="134">
        <v>4917</v>
      </c>
      <c r="AG41" s="134">
        <v>12</v>
      </c>
      <c r="AH41" s="134">
        <v>196</v>
      </c>
      <c r="AI41" s="134">
        <v>208</v>
      </c>
      <c r="AJ41" s="134">
        <v>6</v>
      </c>
      <c r="AK41" s="134">
        <v>116</v>
      </c>
      <c r="AL41" s="134">
        <v>122</v>
      </c>
      <c r="AM41" s="134">
        <v>108</v>
      </c>
      <c r="AN41" s="134">
        <v>6470</v>
      </c>
      <c r="AO41" s="134">
        <v>6578</v>
      </c>
      <c r="AP41" s="134">
        <v>21432</v>
      </c>
      <c r="AQ41" s="134">
        <v>134423</v>
      </c>
      <c r="AR41" s="134">
        <v>155855</v>
      </c>
      <c r="AS41" s="134">
        <v>21433</v>
      </c>
      <c r="AT41" s="134">
        <v>134427</v>
      </c>
      <c r="AU41" s="134">
        <v>155860</v>
      </c>
      <c r="AV41" s="134">
        <v>-1</v>
      </c>
      <c r="AW41" s="134">
        <v>-4</v>
      </c>
      <c r="AX41" s="134">
        <v>-5</v>
      </c>
      <c r="AY41" s="134">
        <v>1157</v>
      </c>
      <c r="AZ41" s="134">
        <v>11442</v>
      </c>
      <c r="BA41" s="134">
        <v>12599</v>
      </c>
      <c r="BB41" s="134">
        <v>395</v>
      </c>
      <c r="BC41" s="134">
        <v>3</v>
      </c>
      <c r="BD41" s="134">
        <v>1</v>
      </c>
      <c r="BE41" s="134">
        <v>7511</v>
      </c>
      <c r="BF41" s="134">
        <v>46</v>
      </c>
      <c r="BG41" s="134">
        <v>11</v>
      </c>
      <c r="BH41" s="134">
        <v>399</v>
      </c>
      <c r="BI41" s="134">
        <v>7568</v>
      </c>
      <c r="BJ41" s="134">
        <v>7967</v>
      </c>
      <c r="BK41" s="134">
        <v>50</v>
      </c>
      <c r="BL41" s="134">
        <v>-50</v>
      </c>
      <c r="BM41" s="134">
        <v>0</v>
      </c>
      <c r="BN41" s="134">
        <v>65</v>
      </c>
      <c r="BO41" s="134">
        <v>226</v>
      </c>
      <c r="BP41" s="134">
        <v>291</v>
      </c>
      <c r="BQ41" s="134">
        <v>62</v>
      </c>
      <c r="BR41" s="134">
        <v>1090</v>
      </c>
      <c r="BS41" s="134">
        <v>1152</v>
      </c>
      <c r="BT41" s="134">
        <v>581</v>
      </c>
      <c r="BU41" s="134">
        <v>2608</v>
      </c>
      <c r="BV41" s="134">
        <v>3189</v>
      </c>
      <c r="BW41" s="134">
        <v>22589</v>
      </c>
      <c r="BX41" s="134">
        <v>145865</v>
      </c>
      <c r="BY41" s="134">
        <v>168454</v>
      </c>
      <c r="BZ41" s="134">
        <v>22451</v>
      </c>
      <c r="CA41" s="134">
        <v>144671</v>
      </c>
      <c r="CB41" s="134">
        <v>167122</v>
      </c>
      <c r="CC41" s="134">
        <v>364166</v>
      </c>
      <c r="CD41" s="134">
        <v>108</v>
      </c>
      <c r="CE41" s="134">
        <v>1082</v>
      </c>
      <c r="CF41" s="134">
        <v>129</v>
      </c>
      <c r="CG41" s="134">
        <v>896</v>
      </c>
      <c r="CH41" s="134">
        <v>1025</v>
      </c>
      <c r="CI41" s="134">
        <v>357</v>
      </c>
      <c r="CJ41" s="134">
        <v>59</v>
      </c>
      <c r="CK41" s="134">
        <v>9</v>
      </c>
      <c r="CL41" s="134">
        <v>298</v>
      </c>
      <c r="CM41" s="134">
        <v>307</v>
      </c>
      <c r="CN41" s="134">
        <v>1460</v>
      </c>
      <c r="CO41" s="134">
        <v>12866</v>
      </c>
      <c r="CP41" s="134">
        <v>14326</v>
      </c>
      <c r="CQ41" s="134">
        <v>0</v>
      </c>
      <c r="CR41" s="134">
        <v>44</v>
      </c>
      <c r="CS41" s="134">
        <v>44</v>
      </c>
      <c r="CT41" s="134">
        <v>21129</v>
      </c>
      <c r="CU41" s="134">
        <v>132999</v>
      </c>
      <c r="CV41" s="134">
        <v>154128</v>
      </c>
      <c r="CW41" s="134">
        <v>1411</v>
      </c>
      <c r="CX41" s="134">
        <v>5388</v>
      </c>
      <c r="CY41" s="134">
        <v>6799</v>
      </c>
      <c r="CZ41" s="134">
        <v>1401</v>
      </c>
      <c r="DA41" s="134">
        <v>8</v>
      </c>
      <c r="DB41" s="134">
        <v>0</v>
      </c>
      <c r="DC41" s="134">
        <v>5298</v>
      </c>
      <c r="DD41" s="134">
        <v>40</v>
      </c>
      <c r="DE41" s="134">
        <v>8</v>
      </c>
      <c r="DF41" s="134">
        <v>1409</v>
      </c>
      <c r="DG41" s="134">
        <v>5346</v>
      </c>
      <c r="DH41" s="134">
        <v>6755</v>
      </c>
      <c r="DI41" s="134">
        <v>2</v>
      </c>
      <c r="DJ41" s="134">
        <v>0</v>
      </c>
      <c r="DK41" s="134">
        <v>0</v>
      </c>
      <c r="DL41" s="134">
        <v>40</v>
      </c>
      <c r="DM41" s="134">
        <v>2</v>
      </c>
      <c r="DN41" s="134">
        <v>0</v>
      </c>
      <c r="DO41" s="134">
        <v>2</v>
      </c>
      <c r="DP41" s="134">
        <v>42</v>
      </c>
      <c r="DQ41" s="134">
        <v>44</v>
      </c>
      <c r="DR41" s="134">
        <v>0</v>
      </c>
      <c r="DS41" s="134">
        <v>0</v>
      </c>
      <c r="DT41" s="135">
        <v>0</v>
      </c>
      <c r="DV41" s="136"/>
      <c r="DW41" s="137"/>
      <c r="DX41" s="136"/>
      <c r="DY41" s="136"/>
    </row>
    <row r="42" spans="1:129" s="116" customFormat="1">
      <c r="A42" s="133" t="s">
        <v>311</v>
      </c>
      <c r="B42" s="134">
        <v>12508</v>
      </c>
      <c r="C42" s="134">
        <v>5845</v>
      </c>
      <c r="D42" s="134">
        <v>12125</v>
      </c>
      <c r="E42" s="134">
        <v>6286</v>
      </c>
      <c r="F42" s="134">
        <v>6</v>
      </c>
      <c r="G42" s="134">
        <v>156</v>
      </c>
      <c r="H42" s="134">
        <v>162</v>
      </c>
      <c r="I42" s="134">
        <v>3</v>
      </c>
      <c r="J42" s="134">
        <v>5363</v>
      </c>
      <c r="K42" s="134">
        <v>5366</v>
      </c>
      <c r="L42" s="134">
        <v>3</v>
      </c>
      <c r="M42" s="134">
        <v>5362</v>
      </c>
      <c r="N42" s="134">
        <v>5365</v>
      </c>
      <c r="O42" s="134">
        <v>0</v>
      </c>
      <c r="P42" s="134">
        <v>1</v>
      </c>
      <c r="Q42" s="134">
        <v>1</v>
      </c>
      <c r="R42" s="134">
        <v>0</v>
      </c>
      <c r="S42" s="134">
        <v>577</v>
      </c>
      <c r="T42" s="134">
        <v>577</v>
      </c>
      <c r="U42" s="134">
        <v>0</v>
      </c>
      <c r="V42" s="134">
        <v>473</v>
      </c>
      <c r="W42" s="134">
        <v>473</v>
      </c>
      <c r="X42" s="134">
        <v>127</v>
      </c>
      <c r="Y42" s="134">
        <v>7455</v>
      </c>
      <c r="Z42" s="134">
        <v>7582</v>
      </c>
      <c r="AA42" s="134">
        <v>57</v>
      </c>
      <c r="AB42" s="134">
        <v>2319</v>
      </c>
      <c r="AC42" s="134">
        <v>2376</v>
      </c>
      <c r="AD42" s="134">
        <v>51</v>
      </c>
      <c r="AE42" s="134">
        <v>2220</v>
      </c>
      <c r="AF42" s="134">
        <v>2271</v>
      </c>
      <c r="AG42" s="134">
        <v>5</v>
      </c>
      <c r="AH42" s="134">
        <v>73</v>
      </c>
      <c r="AI42" s="134">
        <v>78</v>
      </c>
      <c r="AJ42" s="134">
        <v>1</v>
      </c>
      <c r="AK42" s="134">
        <v>26</v>
      </c>
      <c r="AL42" s="134">
        <v>27</v>
      </c>
      <c r="AM42" s="134">
        <v>70</v>
      </c>
      <c r="AN42" s="134">
        <v>5136</v>
      </c>
      <c r="AO42" s="134">
        <v>5206</v>
      </c>
      <c r="AP42" s="134">
        <v>10991</v>
      </c>
      <c r="AQ42" s="134">
        <v>112743</v>
      </c>
      <c r="AR42" s="134">
        <v>123734</v>
      </c>
      <c r="AS42" s="134">
        <v>10981</v>
      </c>
      <c r="AT42" s="134">
        <v>111941</v>
      </c>
      <c r="AU42" s="134">
        <v>122922</v>
      </c>
      <c r="AV42" s="134">
        <v>10</v>
      </c>
      <c r="AW42" s="134">
        <v>802</v>
      </c>
      <c r="AX42" s="134">
        <v>812</v>
      </c>
      <c r="AY42" s="134">
        <v>497</v>
      </c>
      <c r="AZ42" s="134">
        <v>10109</v>
      </c>
      <c r="BA42" s="134">
        <v>10606</v>
      </c>
      <c r="BB42" s="134">
        <v>204</v>
      </c>
      <c r="BC42" s="134">
        <v>4</v>
      </c>
      <c r="BD42" s="134">
        <v>0</v>
      </c>
      <c r="BE42" s="134">
        <v>5943</v>
      </c>
      <c r="BF42" s="134">
        <v>102</v>
      </c>
      <c r="BG42" s="134">
        <v>33</v>
      </c>
      <c r="BH42" s="134">
        <v>208</v>
      </c>
      <c r="BI42" s="134">
        <v>6078</v>
      </c>
      <c r="BJ42" s="134">
        <v>6286</v>
      </c>
      <c r="BK42" s="134">
        <v>-183</v>
      </c>
      <c r="BL42" s="134">
        <v>183</v>
      </c>
      <c r="BM42" s="134">
        <v>0</v>
      </c>
      <c r="BN42" s="134">
        <v>11</v>
      </c>
      <c r="BO42" s="134">
        <v>174</v>
      </c>
      <c r="BP42" s="134">
        <v>185</v>
      </c>
      <c r="BQ42" s="134">
        <v>11</v>
      </c>
      <c r="BR42" s="134">
        <v>268</v>
      </c>
      <c r="BS42" s="134">
        <v>279</v>
      </c>
      <c r="BT42" s="134">
        <v>450</v>
      </c>
      <c r="BU42" s="134">
        <v>3406</v>
      </c>
      <c r="BV42" s="134">
        <v>3856</v>
      </c>
      <c r="BW42" s="134">
        <v>11488</v>
      </c>
      <c r="BX42" s="134">
        <v>122852</v>
      </c>
      <c r="BY42" s="134">
        <v>134340</v>
      </c>
      <c r="BZ42" s="134">
        <v>11180</v>
      </c>
      <c r="CA42" s="134">
        <v>120542</v>
      </c>
      <c r="CB42" s="134">
        <v>131722</v>
      </c>
      <c r="CC42" s="134">
        <v>269802</v>
      </c>
      <c r="CD42" s="134">
        <v>242</v>
      </c>
      <c r="CE42" s="134">
        <v>2429</v>
      </c>
      <c r="CF42" s="134">
        <v>302</v>
      </c>
      <c r="CG42" s="134">
        <v>1676</v>
      </c>
      <c r="CH42" s="134">
        <v>1978</v>
      </c>
      <c r="CI42" s="134">
        <v>788</v>
      </c>
      <c r="CJ42" s="134">
        <v>33</v>
      </c>
      <c r="CK42" s="134">
        <v>6</v>
      </c>
      <c r="CL42" s="134">
        <v>634</v>
      </c>
      <c r="CM42" s="134">
        <v>640</v>
      </c>
      <c r="CN42" s="134">
        <v>846</v>
      </c>
      <c r="CO42" s="134">
        <v>11111</v>
      </c>
      <c r="CP42" s="134">
        <v>11957</v>
      </c>
      <c r="CQ42" s="134">
        <v>1</v>
      </c>
      <c r="CR42" s="134">
        <v>24</v>
      </c>
      <c r="CS42" s="134">
        <v>25</v>
      </c>
      <c r="CT42" s="134">
        <v>10642</v>
      </c>
      <c r="CU42" s="134">
        <v>111741</v>
      </c>
      <c r="CV42" s="134">
        <v>122383</v>
      </c>
      <c r="CW42" s="134">
        <v>878</v>
      </c>
      <c r="CX42" s="134">
        <v>5491</v>
      </c>
      <c r="CY42" s="134">
        <v>6369</v>
      </c>
      <c r="CZ42" s="134">
        <v>804</v>
      </c>
      <c r="DA42" s="134">
        <v>24</v>
      </c>
      <c r="DB42" s="134">
        <v>1</v>
      </c>
      <c r="DC42" s="134">
        <v>4850</v>
      </c>
      <c r="DD42" s="134">
        <v>93</v>
      </c>
      <c r="DE42" s="134">
        <v>21</v>
      </c>
      <c r="DF42" s="134">
        <v>829</v>
      </c>
      <c r="DG42" s="134">
        <v>4964</v>
      </c>
      <c r="DH42" s="134">
        <v>5793</v>
      </c>
      <c r="DI42" s="134">
        <v>47</v>
      </c>
      <c r="DJ42" s="134">
        <v>1</v>
      </c>
      <c r="DK42" s="134">
        <v>1</v>
      </c>
      <c r="DL42" s="134">
        <v>511</v>
      </c>
      <c r="DM42" s="134">
        <v>13</v>
      </c>
      <c r="DN42" s="134">
        <v>3</v>
      </c>
      <c r="DO42" s="134">
        <v>49</v>
      </c>
      <c r="DP42" s="134">
        <v>527</v>
      </c>
      <c r="DQ42" s="134">
        <v>576</v>
      </c>
      <c r="DR42" s="134">
        <v>1</v>
      </c>
      <c r="DS42" s="134">
        <v>1</v>
      </c>
      <c r="DT42" s="135">
        <v>2</v>
      </c>
      <c r="DV42" s="136"/>
      <c r="DW42" s="137"/>
      <c r="DX42" s="136"/>
      <c r="DY42" s="136"/>
    </row>
    <row r="43" spans="1:129" s="116" customFormat="1">
      <c r="A43" s="133" t="s">
        <v>312</v>
      </c>
      <c r="B43" s="134">
        <v>3106</v>
      </c>
      <c r="C43" s="134">
        <v>1201</v>
      </c>
      <c r="D43" s="134">
        <v>2436</v>
      </c>
      <c r="E43" s="134">
        <v>1402</v>
      </c>
      <c r="F43" s="134">
        <v>1</v>
      </c>
      <c r="G43" s="134">
        <v>20</v>
      </c>
      <c r="H43" s="134">
        <v>21</v>
      </c>
      <c r="I43" s="134">
        <v>0</v>
      </c>
      <c r="J43" s="134">
        <v>890</v>
      </c>
      <c r="K43" s="134">
        <v>890</v>
      </c>
      <c r="L43" s="134">
        <v>0</v>
      </c>
      <c r="M43" s="134">
        <v>287</v>
      </c>
      <c r="N43" s="134">
        <v>287</v>
      </c>
      <c r="O43" s="134">
        <v>0</v>
      </c>
      <c r="P43" s="134">
        <v>603</v>
      </c>
      <c r="Q43" s="134">
        <v>603</v>
      </c>
      <c r="R43" s="134">
        <v>0</v>
      </c>
      <c r="S43" s="134">
        <v>42</v>
      </c>
      <c r="T43" s="134">
        <v>42</v>
      </c>
      <c r="U43" s="134">
        <v>0</v>
      </c>
      <c r="V43" s="134">
        <v>144</v>
      </c>
      <c r="W43" s="134">
        <v>144</v>
      </c>
      <c r="X43" s="134">
        <v>61</v>
      </c>
      <c r="Y43" s="134">
        <v>1969</v>
      </c>
      <c r="Z43" s="134">
        <v>2030</v>
      </c>
      <c r="AA43" s="134">
        <v>34</v>
      </c>
      <c r="AB43" s="134">
        <v>646</v>
      </c>
      <c r="AC43" s="134">
        <v>680</v>
      </c>
      <c r="AD43" s="134">
        <v>33</v>
      </c>
      <c r="AE43" s="134">
        <v>558</v>
      </c>
      <c r="AF43" s="134">
        <v>591</v>
      </c>
      <c r="AG43" s="134">
        <v>1</v>
      </c>
      <c r="AH43" s="134">
        <v>66</v>
      </c>
      <c r="AI43" s="134">
        <v>67</v>
      </c>
      <c r="AJ43" s="134">
        <v>0</v>
      </c>
      <c r="AK43" s="134">
        <v>22</v>
      </c>
      <c r="AL43" s="134">
        <v>22</v>
      </c>
      <c r="AM43" s="134">
        <v>27</v>
      </c>
      <c r="AN43" s="134">
        <v>1323</v>
      </c>
      <c r="AO43" s="134">
        <v>1350</v>
      </c>
      <c r="AP43" s="134">
        <v>1975</v>
      </c>
      <c r="AQ43" s="134">
        <v>29460</v>
      </c>
      <c r="AR43" s="134">
        <v>31435</v>
      </c>
      <c r="AS43" s="134">
        <v>1946</v>
      </c>
      <c r="AT43" s="134">
        <v>29382</v>
      </c>
      <c r="AU43" s="134">
        <v>31328</v>
      </c>
      <c r="AV43" s="134">
        <v>29</v>
      </c>
      <c r="AW43" s="134">
        <v>78</v>
      </c>
      <c r="AX43" s="134">
        <v>107</v>
      </c>
      <c r="AY43" s="134">
        <v>87</v>
      </c>
      <c r="AZ43" s="134">
        <v>2518</v>
      </c>
      <c r="BA43" s="134">
        <v>2605</v>
      </c>
      <c r="BB43" s="134">
        <v>55</v>
      </c>
      <c r="BC43" s="134">
        <v>1</v>
      </c>
      <c r="BD43" s="134">
        <v>0</v>
      </c>
      <c r="BE43" s="134">
        <v>1287</v>
      </c>
      <c r="BF43" s="134">
        <v>23</v>
      </c>
      <c r="BG43" s="134">
        <v>36</v>
      </c>
      <c r="BH43" s="134">
        <v>56</v>
      </c>
      <c r="BI43" s="134">
        <v>1346</v>
      </c>
      <c r="BJ43" s="134">
        <v>1402</v>
      </c>
      <c r="BK43" s="134">
        <v>-54</v>
      </c>
      <c r="BL43" s="134">
        <v>54</v>
      </c>
      <c r="BM43" s="134">
        <v>0</v>
      </c>
      <c r="BN43" s="134">
        <v>2</v>
      </c>
      <c r="BO43" s="134">
        <v>45</v>
      </c>
      <c r="BP43" s="134">
        <v>47</v>
      </c>
      <c r="BQ43" s="134">
        <v>11</v>
      </c>
      <c r="BR43" s="134">
        <v>288</v>
      </c>
      <c r="BS43" s="134">
        <v>299</v>
      </c>
      <c r="BT43" s="134">
        <v>72</v>
      </c>
      <c r="BU43" s="134">
        <v>785</v>
      </c>
      <c r="BV43" s="134">
        <v>857</v>
      </c>
      <c r="BW43" s="134">
        <v>2062</v>
      </c>
      <c r="BX43" s="134">
        <v>31978</v>
      </c>
      <c r="BY43" s="134">
        <v>34040</v>
      </c>
      <c r="BZ43" s="134">
        <v>1920</v>
      </c>
      <c r="CA43" s="134">
        <v>30400</v>
      </c>
      <c r="CB43" s="134">
        <v>32320</v>
      </c>
      <c r="CC43" s="134">
        <v>50016</v>
      </c>
      <c r="CD43" s="134">
        <v>99</v>
      </c>
      <c r="CE43" s="134">
        <v>1071</v>
      </c>
      <c r="CF43" s="134">
        <v>129</v>
      </c>
      <c r="CG43" s="134">
        <v>721</v>
      </c>
      <c r="CH43" s="134">
        <v>850</v>
      </c>
      <c r="CI43" s="134">
        <v>1123</v>
      </c>
      <c r="CJ43" s="134">
        <v>47</v>
      </c>
      <c r="CK43" s="134">
        <v>13</v>
      </c>
      <c r="CL43" s="134">
        <v>857</v>
      </c>
      <c r="CM43" s="134">
        <v>870</v>
      </c>
      <c r="CN43" s="134">
        <v>144</v>
      </c>
      <c r="CO43" s="134">
        <v>2758</v>
      </c>
      <c r="CP43" s="134">
        <v>2902</v>
      </c>
      <c r="CQ43" s="134">
        <v>0</v>
      </c>
      <c r="CR43" s="134">
        <v>0</v>
      </c>
      <c r="CS43" s="134">
        <v>0</v>
      </c>
      <c r="CT43" s="134">
        <v>1918</v>
      </c>
      <c r="CU43" s="134">
        <v>29220</v>
      </c>
      <c r="CV43" s="134">
        <v>31138</v>
      </c>
      <c r="CW43" s="134">
        <v>138</v>
      </c>
      <c r="CX43" s="134">
        <v>1146</v>
      </c>
      <c r="CY43" s="134">
        <v>1284</v>
      </c>
      <c r="CZ43" s="134">
        <v>128</v>
      </c>
      <c r="DA43" s="134">
        <v>10</v>
      </c>
      <c r="DB43" s="134">
        <v>0</v>
      </c>
      <c r="DC43" s="134">
        <v>1027</v>
      </c>
      <c r="DD43" s="134">
        <v>48</v>
      </c>
      <c r="DE43" s="134">
        <v>31</v>
      </c>
      <c r="DF43" s="134">
        <v>138</v>
      </c>
      <c r="DG43" s="134">
        <v>1106</v>
      </c>
      <c r="DH43" s="134">
        <v>1244</v>
      </c>
      <c r="DI43" s="134">
        <v>0</v>
      </c>
      <c r="DJ43" s="134">
        <v>0</v>
      </c>
      <c r="DK43" s="134">
        <v>0</v>
      </c>
      <c r="DL43" s="134">
        <v>36</v>
      </c>
      <c r="DM43" s="134">
        <v>4</v>
      </c>
      <c r="DN43" s="134">
        <v>0</v>
      </c>
      <c r="DO43" s="134">
        <v>0</v>
      </c>
      <c r="DP43" s="134">
        <v>40</v>
      </c>
      <c r="DQ43" s="134">
        <v>40</v>
      </c>
      <c r="DR43" s="134">
        <v>0</v>
      </c>
      <c r="DS43" s="134">
        <v>0</v>
      </c>
      <c r="DT43" s="135">
        <v>0</v>
      </c>
      <c r="DV43" s="136"/>
      <c r="DW43" s="137"/>
      <c r="DX43" s="136"/>
      <c r="DY43" s="136"/>
    </row>
    <row r="44" spans="1:129" s="116" customFormat="1">
      <c r="A44" s="133" t="s">
        <v>313</v>
      </c>
      <c r="B44" s="134">
        <v>3073</v>
      </c>
      <c r="C44" s="134">
        <v>1209</v>
      </c>
      <c r="D44" s="134">
        <v>3039</v>
      </c>
      <c r="E44" s="134">
        <v>1858</v>
      </c>
      <c r="F44" s="134">
        <v>1</v>
      </c>
      <c r="G44" s="134">
        <v>40</v>
      </c>
      <c r="H44" s="134">
        <v>41</v>
      </c>
      <c r="I44" s="134">
        <v>2</v>
      </c>
      <c r="J44" s="134">
        <v>1053</v>
      </c>
      <c r="K44" s="134">
        <v>1055</v>
      </c>
      <c r="L44" s="134">
        <v>2</v>
      </c>
      <c r="M44" s="134">
        <v>463</v>
      </c>
      <c r="N44" s="134">
        <v>465</v>
      </c>
      <c r="O44" s="134">
        <v>0</v>
      </c>
      <c r="P44" s="134">
        <v>590</v>
      </c>
      <c r="Q44" s="134">
        <v>590</v>
      </c>
      <c r="R44" s="134">
        <v>0</v>
      </c>
      <c r="S44" s="134">
        <v>18</v>
      </c>
      <c r="T44" s="134">
        <v>18</v>
      </c>
      <c r="U44" s="134">
        <v>0</v>
      </c>
      <c r="V44" s="134">
        <v>126</v>
      </c>
      <c r="W44" s="134">
        <v>126</v>
      </c>
      <c r="X44" s="134">
        <v>101</v>
      </c>
      <c r="Y44" s="134">
        <v>2936</v>
      </c>
      <c r="Z44" s="134">
        <v>3037</v>
      </c>
      <c r="AA44" s="134">
        <v>67</v>
      </c>
      <c r="AB44" s="134">
        <v>1088</v>
      </c>
      <c r="AC44" s="134">
        <v>1155</v>
      </c>
      <c r="AD44" s="134">
        <v>60</v>
      </c>
      <c r="AE44" s="134">
        <v>992</v>
      </c>
      <c r="AF44" s="134">
        <v>1052</v>
      </c>
      <c r="AG44" s="134">
        <v>4</v>
      </c>
      <c r="AH44" s="134">
        <v>51</v>
      </c>
      <c r="AI44" s="134">
        <v>55</v>
      </c>
      <c r="AJ44" s="134">
        <v>3</v>
      </c>
      <c r="AK44" s="134">
        <v>45</v>
      </c>
      <c r="AL44" s="134">
        <v>48</v>
      </c>
      <c r="AM44" s="134">
        <v>34</v>
      </c>
      <c r="AN44" s="134">
        <v>1848</v>
      </c>
      <c r="AO44" s="134">
        <v>1882</v>
      </c>
      <c r="AP44" s="134">
        <v>6152</v>
      </c>
      <c r="AQ44" s="134">
        <v>38870</v>
      </c>
      <c r="AR44" s="134">
        <v>45022</v>
      </c>
      <c r="AS44" s="134">
        <v>6154</v>
      </c>
      <c r="AT44" s="134">
        <v>38871</v>
      </c>
      <c r="AU44" s="134">
        <v>45025</v>
      </c>
      <c r="AV44" s="134">
        <v>-2</v>
      </c>
      <c r="AW44" s="134">
        <v>-1</v>
      </c>
      <c r="AX44" s="134">
        <v>-3</v>
      </c>
      <c r="AY44" s="134">
        <v>289</v>
      </c>
      <c r="AZ44" s="134">
        <v>3066</v>
      </c>
      <c r="BA44" s="134">
        <v>3355</v>
      </c>
      <c r="BB44" s="134">
        <v>140</v>
      </c>
      <c r="BC44" s="134">
        <v>3</v>
      </c>
      <c r="BD44" s="134">
        <v>0</v>
      </c>
      <c r="BE44" s="134">
        <v>1689</v>
      </c>
      <c r="BF44" s="134">
        <v>20</v>
      </c>
      <c r="BG44" s="134">
        <v>6</v>
      </c>
      <c r="BH44" s="134">
        <v>143</v>
      </c>
      <c r="BI44" s="134">
        <v>1715</v>
      </c>
      <c r="BJ44" s="134">
        <v>1858</v>
      </c>
      <c r="BK44" s="134">
        <v>-53</v>
      </c>
      <c r="BL44" s="134">
        <v>53</v>
      </c>
      <c r="BM44" s="134">
        <v>0</v>
      </c>
      <c r="BN44" s="134">
        <v>33</v>
      </c>
      <c r="BO44" s="134">
        <v>104</v>
      </c>
      <c r="BP44" s="134">
        <v>137</v>
      </c>
      <c r="BQ44" s="134">
        <v>43</v>
      </c>
      <c r="BR44" s="134">
        <v>456</v>
      </c>
      <c r="BS44" s="134">
        <v>499</v>
      </c>
      <c r="BT44" s="134">
        <v>123</v>
      </c>
      <c r="BU44" s="134">
        <v>738</v>
      </c>
      <c r="BV44" s="134">
        <v>861</v>
      </c>
      <c r="BW44" s="134">
        <v>6441</v>
      </c>
      <c r="BX44" s="134">
        <v>41936</v>
      </c>
      <c r="BY44" s="134">
        <v>48377</v>
      </c>
      <c r="BZ44" s="134">
        <v>6386</v>
      </c>
      <c r="CA44" s="134">
        <v>41372</v>
      </c>
      <c r="CB44" s="134">
        <v>47758</v>
      </c>
      <c r="CC44" s="134">
        <v>106011</v>
      </c>
      <c r="CD44" s="134">
        <v>36</v>
      </c>
      <c r="CE44" s="134">
        <v>562</v>
      </c>
      <c r="CF44" s="134">
        <v>53</v>
      </c>
      <c r="CG44" s="134">
        <v>421</v>
      </c>
      <c r="CH44" s="134">
        <v>474</v>
      </c>
      <c r="CI44" s="134">
        <v>182</v>
      </c>
      <c r="CJ44" s="134">
        <v>21</v>
      </c>
      <c r="CK44" s="134">
        <v>2</v>
      </c>
      <c r="CL44" s="134">
        <v>143</v>
      </c>
      <c r="CM44" s="134">
        <v>145</v>
      </c>
      <c r="CN44" s="134">
        <v>367</v>
      </c>
      <c r="CO44" s="134">
        <v>3471</v>
      </c>
      <c r="CP44" s="134">
        <v>3838</v>
      </c>
      <c r="CQ44" s="134">
        <v>1</v>
      </c>
      <c r="CR44" s="134">
        <v>1</v>
      </c>
      <c r="CS44" s="134">
        <v>2</v>
      </c>
      <c r="CT44" s="134">
        <v>6074</v>
      </c>
      <c r="CU44" s="134">
        <v>38465</v>
      </c>
      <c r="CV44" s="134">
        <v>44539</v>
      </c>
      <c r="CW44" s="134">
        <v>355</v>
      </c>
      <c r="CX44" s="134">
        <v>1678</v>
      </c>
      <c r="CY44" s="134">
        <v>2033</v>
      </c>
      <c r="CZ44" s="134">
        <v>353</v>
      </c>
      <c r="DA44" s="134">
        <v>2</v>
      </c>
      <c r="DB44" s="134">
        <v>0</v>
      </c>
      <c r="DC44" s="134">
        <v>1625</v>
      </c>
      <c r="DD44" s="134">
        <v>23</v>
      </c>
      <c r="DE44" s="134">
        <v>0</v>
      </c>
      <c r="DF44" s="134">
        <v>355</v>
      </c>
      <c r="DG44" s="134">
        <v>1648</v>
      </c>
      <c r="DH44" s="134">
        <v>2003</v>
      </c>
      <c r="DI44" s="134">
        <v>0</v>
      </c>
      <c r="DJ44" s="134">
        <v>0</v>
      </c>
      <c r="DK44" s="134">
        <v>0</v>
      </c>
      <c r="DL44" s="134">
        <v>29</v>
      </c>
      <c r="DM44" s="134">
        <v>1</v>
      </c>
      <c r="DN44" s="134">
        <v>0</v>
      </c>
      <c r="DO44" s="134">
        <v>0</v>
      </c>
      <c r="DP44" s="134">
        <v>30</v>
      </c>
      <c r="DQ44" s="134">
        <v>30</v>
      </c>
      <c r="DR44" s="134">
        <v>0</v>
      </c>
      <c r="DS44" s="134">
        <v>0</v>
      </c>
      <c r="DT44" s="135">
        <v>0</v>
      </c>
      <c r="DV44" s="136"/>
      <c r="DW44" s="137"/>
      <c r="DX44" s="136"/>
      <c r="DY44" s="136"/>
    </row>
    <row r="45" spans="1:129" s="116" customFormat="1">
      <c r="A45" s="133" t="s">
        <v>314</v>
      </c>
      <c r="B45" s="134">
        <v>769</v>
      </c>
      <c r="C45" s="134">
        <v>251</v>
      </c>
      <c r="D45" s="134">
        <v>744</v>
      </c>
      <c r="E45" s="134">
        <v>375</v>
      </c>
      <c r="F45" s="134">
        <v>1</v>
      </c>
      <c r="G45" s="134">
        <v>5</v>
      </c>
      <c r="H45" s="134">
        <v>6</v>
      </c>
      <c r="I45" s="134">
        <v>1</v>
      </c>
      <c r="J45" s="134">
        <v>237</v>
      </c>
      <c r="K45" s="134">
        <v>238</v>
      </c>
      <c r="L45" s="134">
        <v>1</v>
      </c>
      <c r="M45" s="134">
        <v>68</v>
      </c>
      <c r="N45" s="134">
        <v>69</v>
      </c>
      <c r="O45" s="134">
        <v>0</v>
      </c>
      <c r="P45" s="134">
        <v>169</v>
      </c>
      <c r="Q45" s="134">
        <v>169</v>
      </c>
      <c r="R45" s="134">
        <v>0</v>
      </c>
      <c r="S45" s="134">
        <v>9</v>
      </c>
      <c r="T45" s="134">
        <v>9</v>
      </c>
      <c r="U45" s="134">
        <v>0</v>
      </c>
      <c r="V45" s="134">
        <v>131</v>
      </c>
      <c r="W45" s="134">
        <v>131</v>
      </c>
      <c r="X45" s="134">
        <v>14</v>
      </c>
      <c r="Y45" s="134">
        <v>341</v>
      </c>
      <c r="Z45" s="134">
        <v>355</v>
      </c>
      <c r="AA45" s="134">
        <v>4</v>
      </c>
      <c r="AB45" s="134">
        <v>231</v>
      </c>
      <c r="AC45" s="134">
        <v>235</v>
      </c>
      <c r="AD45" s="134">
        <v>4</v>
      </c>
      <c r="AE45" s="134">
        <v>223</v>
      </c>
      <c r="AF45" s="134">
        <v>227</v>
      </c>
      <c r="AG45" s="134">
        <v>0</v>
      </c>
      <c r="AH45" s="134">
        <v>7</v>
      </c>
      <c r="AI45" s="134">
        <v>7</v>
      </c>
      <c r="AJ45" s="134">
        <v>0</v>
      </c>
      <c r="AK45" s="134">
        <v>1</v>
      </c>
      <c r="AL45" s="134">
        <v>1</v>
      </c>
      <c r="AM45" s="134">
        <v>10</v>
      </c>
      <c r="AN45" s="134">
        <v>110</v>
      </c>
      <c r="AO45" s="134">
        <v>120</v>
      </c>
      <c r="AP45" s="134">
        <v>738</v>
      </c>
      <c r="AQ45" s="134">
        <v>7872</v>
      </c>
      <c r="AR45" s="134">
        <v>8610</v>
      </c>
      <c r="AS45" s="134">
        <v>738</v>
      </c>
      <c r="AT45" s="134">
        <v>7872</v>
      </c>
      <c r="AU45" s="134">
        <v>8610</v>
      </c>
      <c r="AV45" s="134">
        <v>0</v>
      </c>
      <c r="AW45" s="134">
        <v>0</v>
      </c>
      <c r="AX45" s="134">
        <v>0</v>
      </c>
      <c r="AY45" s="134">
        <v>54</v>
      </c>
      <c r="AZ45" s="134">
        <v>732</v>
      </c>
      <c r="BA45" s="134">
        <v>786</v>
      </c>
      <c r="BB45" s="134">
        <v>30</v>
      </c>
      <c r="BC45" s="134">
        <v>0</v>
      </c>
      <c r="BD45" s="134">
        <v>0</v>
      </c>
      <c r="BE45" s="134">
        <v>339</v>
      </c>
      <c r="BF45" s="134">
        <v>6</v>
      </c>
      <c r="BG45" s="134">
        <v>0</v>
      </c>
      <c r="BH45" s="134">
        <v>30</v>
      </c>
      <c r="BI45" s="134">
        <v>345</v>
      </c>
      <c r="BJ45" s="134">
        <v>375</v>
      </c>
      <c r="BK45" s="134">
        <v>-29</v>
      </c>
      <c r="BL45" s="134">
        <v>29</v>
      </c>
      <c r="BM45" s="134">
        <v>0</v>
      </c>
      <c r="BN45" s="134">
        <v>2</v>
      </c>
      <c r="BO45" s="134">
        <v>13</v>
      </c>
      <c r="BP45" s="134">
        <v>15</v>
      </c>
      <c r="BQ45" s="134">
        <v>5</v>
      </c>
      <c r="BR45" s="134">
        <v>98</v>
      </c>
      <c r="BS45" s="134">
        <v>103</v>
      </c>
      <c r="BT45" s="134">
        <v>46</v>
      </c>
      <c r="BU45" s="134">
        <v>247</v>
      </c>
      <c r="BV45" s="134">
        <v>293</v>
      </c>
      <c r="BW45" s="134">
        <v>792</v>
      </c>
      <c r="BX45" s="134">
        <v>8604</v>
      </c>
      <c r="BY45" s="134">
        <v>9396</v>
      </c>
      <c r="BZ45" s="134">
        <v>787</v>
      </c>
      <c r="CA45" s="134">
        <v>8568</v>
      </c>
      <c r="CB45" s="134">
        <v>9355</v>
      </c>
      <c r="CC45" s="134">
        <v>16555</v>
      </c>
      <c r="CD45" s="134">
        <v>0</v>
      </c>
      <c r="CE45" s="134">
        <v>36</v>
      </c>
      <c r="CF45" s="134">
        <v>5</v>
      </c>
      <c r="CG45" s="134">
        <v>29</v>
      </c>
      <c r="CH45" s="134">
        <v>34</v>
      </c>
      <c r="CI45" s="134">
        <v>5</v>
      </c>
      <c r="CJ45" s="134">
        <v>4</v>
      </c>
      <c r="CK45" s="134">
        <v>0</v>
      </c>
      <c r="CL45" s="134">
        <v>7</v>
      </c>
      <c r="CM45" s="134">
        <v>7</v>
      </c>
      <c r="CN45" s="134">
        <v>52</v>
      </c>
      <c r="CO45" s="134">
        <v>829</v>
      </c>
      <c r="CP45" s="134">
        <v>881</v>
      </c>
      <c r="CQ45" s="134">
        <v>0</v>
      </c>
      <c r="CR45" s="134">
        <v>0</v>
      </c>
      <c r="CS45" s="134">
        <v>0</v>
      </c>
      <c r="CT45" s="134">
        <v>740</v>
      </c>
      <c r="CU45" s="134">
        <v>7775</v>
      </c>
      <c r="CV45" s="134">
        <v>8515</v>
      </c>
      <c r="CW45" s="134">
        <v>52</v>
      </c>
      <c r="CX45" s="134">
        <v>372</v>
      </c>
      <c r="CY45" s="134">
        <v>424</v>
      </c>
      <c r="CZ45" s="134">
        <v>52</v>
      </c>
      <c r="DA45" s="134">
        <v>0</v>
      </c>
      <c r="DB45" s="134">
        <v>0</v>
      </c>
      <c r="DC45" s="134">
        <v>335</v>
      </c>
      <c r="DD45" s="134">
        <v>1</v>
      </c>
      <c r="DE45" s="134">
        <v>0</v>
      </c>
      <c r="DF45" s="134">
        <v>52</v>
      </c>
      <c r="DG45" s="134">
        <v>336</v>
      </c>
      <c r="DH45" s="134">
        <v>388</v>
      </c>
      <c r="DI45" s="134">
        <v>0</v>
      </c>
      <c r="DJ45" s="134">
        <v>0</v>
      </c>
      <c r="DK45" s="134">
        <v>0</v>
      </c>
      <c r="DL45" s="134">
        <v>36</v>
      </c>
      <c r="DM45" s="134">
        <v>0</v>
      </c>
      <c r="DN45" s="134">
        <v>0</v>
      </c>
      <c r="DO45" s="134">
        <v>0</v>
      </c>
      <c r="DP45" s="134">
        <v>36</v>
      </c>
      <c r="DQ45" s="134">
        <v>36</v>
      </c>
      <c r="DR45" s="134">
        <v>0</v>
      </c>
      <c r="DS45" s="134">
        <v>0</v>
      </c>
      <c r="DT45" s="135">
        <v>0</v>
      </c>
      <c r="DV45" s="136"/>
      <c r="DW45" s="137"/>
      <c r="DX45" s="136"/>
      <c r="DY45" s="136"/>
    </row>
    <row r="46" spans="1:129" s="116" customFormat="1">
      <c r="A46" s="133" t="s">
        <v>315</v>
      </c>
      <c r="B46" s="134">
        <v>1165</v>
      </c>
      <c r="C46" s="134">
        <v>389</v>
      </c>
      <c r="D46" s="134">
        <v>1165</v>
      </c>
      <c r="E46" s="134">
        <v>519</v>
      </c>
      <c r="F46" s="134">
        <v>1</v>
      </c>
      <c r="G46" s="134">
        <v>11</v>
      </c>
      <c r="H46" s="134">
        <v>12</v>
      </c>
      <c r="I46" s="134">
        <v>0</v>
      </c>
      <c r="J46" s="134">
        <v>570</v>
      </c>
      <c r="K46" s="134">
        <v>570</v>
      </c>
      <c r="L46" s="134">
        <v>0</v>
      </c>
      <c r="M46" s="134">
        <v>182</v>
      </c>
      <c r="N46" s="134">
        <v>182</v>
      </c>
      <c r="O46" s="134">
        <v>0</v>
      </c>
      <c r="P46" s="134">
        <v>388</v>
      </c>
      <c r="Q46" s="134">
        <v>388</v>
      </c>
      <c r="R46" s="134">
        <v>0</v>
      </c>
      <c r="S46" s="134">
        <v>61</v>
      </c>
      <c r="T46" s="134">
        <v>61</v>
      </c>
      <c r="U46" s="134">
        <v>0</v>
      </c>
      <c r="V46" s="134">
        <v>76</v>
      </c>
      <c r="W46" s="134">
        <v>76</v>
      </c>
      <c r="X46" s="134">
        <v>15</v>
      </c>
      <c r="Y46" s="134">
        <v>853</v>
      </c>
      <c r="Z46" s="134">
        <v>868</v>
      </c>
      <c r="AA46" s="134">
        <v>7</v>
      </c>
      <c r="AB46" s="134">
        <v>326</v>
      </c>
      <c r="AC46" s="134">
        <v>333</v>
      </c>
      <c r="AD46" s="134">
        <v>4</v>
      </c>
      <c r="AE46" s="134">
        <v>288</v>
      </c>
      <c r="AF46" s="134">
        <v>292</v>
      </c>
      <c r="AG46" s="134">
        <v>2</v>
      </c>
      <c r="AH46" s="134">
        <v>25</v>
      </c>
      <c r="AI46" s="134">
        <v>27</v>
      </c>
      <c r="AJ46" s="134">
        <v>1</v>
      </c>
      <c r="AK46" s="134">
        <v>13</v>
      </c>
      <c r="AL46" s="134">
        <v>14</v>
      </c>
      <c r="AM46" s="134">
        <v>8</v>
      </c>
      <c r="AN46" s="134">
        <v>527</v>
      </c>
      <c r="AO46" s="134">
        <v>535</v>
      </c>
      <c r="AP46" s="134">
        <v>590</v>
      </c>
      <c r="AQ46" s="134">
        <v>11557</v>
      </c>
      <c r="AR46" s="134">
        <v>12147</v>
      </c>
      <c r="AS46" s="134">
        <v>618</v>
      </c>
      <c r="AT46" s="134">
        <v>11584</v>
      </c>
      <c r="AU46" s="134">
        <v>12202</v>
      </c>
      <c r="AV46" s="134">
        <v>-28</v>
      </c>
      <c r="AW46" s="134">
        <v>-27</v>
      </c>
      <c r="AX46" s="134">
        <v>-55</v>
      </c>
      <c r="AY46" s="134">
        <v>60</v>
      </c>
      <c r="AZ46" s="134">
        <v>1098</v>
      </c>
      <c r="BA46" s="134">
        <v>1158</v>
      </c>
      <c r="BB46" s="134">
        <v>14</v>
      </c>
      <c r="BC46" s="134">
        <v>2</v>
      </c>
      <c r="BD46" s="134">
        <v>0</v>
      </c>
      <c r="BE46" s="134">
        <v>483</v>
      </c>
      <c r="BF46" s="134">
        <v>15</v>
      </c>
      <c r="BG46" s="134">
        <v>5</v>
      </c>
      <c r="BH46" s="134">
        <v>16</v>
      </c>
      <c r="BI46" s="134">
        <v>503</v>
      </c>
      <c r="BJ46" s="134">
        <v>519</v>
      </c>
      <c r="BK46" s="134">
        <v>-8</v>
      </c>
      <c r="BL46" s="134">
        <v>8</v>
      </c>
      <c r="BM46" s="134">
        <v>0</v>
      </c>
      <c r="BN46" s="134">
        <v>31</v>
      </c>
      <c r="BO46" s="134">
        <v>32</v>
      </c>
      <c r="BP46" s="134">
        <v>63</v>
      </c>
      <c r="BQ46" s="134">
        <v>5</v>
      </c>
      <c r="BR46" s="134">
        <v>137</v>
      </c>
      <c r="BS46" s="134">
        <v>142</v>
      </c>
      <c r="BT46" s="134">
        <v>16</v>
      </c>
      <c r="BU46" s="134">
        <v>418</v>
      </c>
      <c r="BV46" s="134">
        <v>434</v>
      </c>
      <c r="BW46" s="134">
        <v>650</v>
      </c>
      <c r="BX46" s="134">
        <v>12655</v>
      </c>
      <c r="BY46" s="134">
        <v>13305</v>
      </c>
      <c r="BZ46" s="134">
        <v>631</v>
      </c>
      <c r="CA46" s="134">
        <v>12141</v>
      </c>
      <c r="CB46" s="134">
        <v>12772</v>
      </c>
      <c r="CC46" s="134">
        <v>24910</v>
      </c>
      <c r="CD46" s="134">
        <v>39</v>
      </c>
      <c r="CE46" s="134">
        <v>505</v>
      </c>
      <c r="CF46" s="134">
        <v>19</v>
      </c>
      <c r="CG46" s="134">
        <v>383</v>
      </c>
      <c r="CH46" s="134">
        <v>402</v>
      </c>
      <c r="CI46" s="134">
        <v>158</v>
      </c>
      <c r="CJ46" s="134">
        <v>14</v>
      </c>
      <c r="CK46" s="134">
        <v>0</v>
      </c>
      <c r="CL46" s="134">
        <v>131</v>
      </c>
      <c r="CM46" s="134">
        <v>131</v>
      </c>
      <c r="CN46" s="134">
        <v>36</v>
      </c>
      <c r="CO46" s="134">
        <v>1067</v>
      </c>
      <c r="CP46" s="134">
        <v>1103</v>
      </c>
      <c r="CQ46" s="134">
        <v>0</v>
      </c>
      <c r="CR46" s="134">
        <v>0</v>
      </c>
      <c r="CS46" s="134">
        <v>0</v>
      </c>
      <c r="CT46" s="134">
        <v>614</v>
      </c>
      <c r="CU46" s="134">
        <v>11588</v>
      </c>
      <c r="CV46" s="134">
        <v>12202</v>
      </c>
      <c r="CW46" s="134">
        <v>47</v>
      </c>
      <c r="CX46" s="134">
        <v>535</v>
      </c>
      <c r="CY46" s="134">
        <v>582</v>
      </c>
      <c r="CZ46" s="134">
        <v>45</v>
      </c>
      <c r="DA46" s="134">
        <v>2</v>
      </c>
      <c r="DB46" s="134">
        <v>0</v>
      </c>
      <c r="DC46" s="134">
        <v>500</v>
      </c>
      <c r="DD46" s="134">
        <v>16</v>
      </c>
      <c r="DE46" s="134">
        <v>3</v>
      </c>
      <c r="DF46" s="134">
        <v>47</v>
      </c>
      <c r="DG46" s="134">
        <v>519</v>
      </c>
      <c r="DH46" s="134">
        <v>566</v>
      </c>
      <c r="DI46" s="134">
        <v>0</v>
      </c>
      <c r="DJ46" s="134">
        <v>0</v>
      </c>
      <c r="DK46" s="134">
        <v>0</v>
      </c>
      <c r="DL46" s="134">
        <v>16</v>
      </c>
      <c r="DM46" s="134">
        <v>0</v>
      </c>
      <c r="DN46" s="134">
        <v>0</v>
      </c>
      <c r="DO46" s="134">
        <v>0</v>
      </c>
      <c r="DP46" s="134">
        <v>16</v>
      </c>
      <c r="DQ46" s="134">
        <v>16</v>
      </c>
      <c r="DR46" s="134">
        <v>0</v>
      </c>
      <c r="DS46" s="134">
        <v>0</v>
      </c>
      <c r="DT46" s="135">
        <v>0</v>
      </c>
      <c r="DV46" s="136"/>
      <c r="DW46" s="137"/>
      <c r="DX46" s="136"/>
      <c r="DY46" s="136"/>
    </row>
    <row r="47" spans="1:129" s="116" customFormat="1">
      <c r="A47" s="133" t="s">
        <v>316</v>
      </c>
      <c r="B47" s="134">
        <v>1758</v>
      </c>
      <c r="C47" s="134">
        <v>782</v>
      </c>
      <c r="D47" s="134">
        <v>1521</v>
      </c>
      <c r="E47" s="134">
        <v>943</v>
      </c>
      <c r="F47" s="134">
        <v>4</v>
      </c>
      <c r="G47" s="134">
        <v>35</v>
      </c>
      <c r="H47" s="134">
        <v>39</v>
      </c>
      <c r="I47" s="134">
        <v>1</v>
      </c>
      <c r="J47" s="134">
        <v>490</v>
      </c>
      <c r="K47" s="134">
        <v>491</v>
      </c>
      <c r="L47" s="134">
        <v>0</v>
      </c>
      <c r="M47" s="134">
        <v>172</v>
      </c>
      <c r="N47" s="134">
        <v>172</v>
      </c>
      <c r="O47" s="134">
        <v>1</v>
      </c>
      <c r="P47" s="134">
        <v>318</v>
      </c>
      <c r="Q47" s="134">
        <v>319</v>
      </c>
      <c r="R47" s="134">
        <v>0</v>
      </c>
      <c r="S47" s="134">
        <v>51</v>
      </c>
      <c r="T47" s="134">
        <v>51</v>
      </c>
      <c r="U47" s="134">
        <v>0</v>
      </c>
      <c r="V47" s="134">
        <v>87</v>
      </c>
      <c r="W47" s="134">
        <v>87</v>
      </c>
      <c r="X47" s="134">
        <v>26</v>
      </c>
      <c r="Y47" s="134">
        <v>535</v>
      </c>
      <c r="Z47" s="134">
        <v>561</v>
      </c>
      <c r="AA47" s="134">
        <v>19</v>
      </c>
      <c r="AB47" s="134">
        <v>297</v>
      </c>
      <c r="AC47" s="134">
        <v>316</v>
      </c>
      <c r="AD47" s="134">
        <v>16</v>
      </c>
      <c r="AE47" s="134">
        <v>274</v>
      </c>
      <c r="AF47" s="134">
        <v>290</v>
      </c>
      <c r="AG47" s="134">
        <v>2</v>
      </c>
      <c r="AH47" s="134">
        <v>15</v>
      </c>
      <c r="AI47" s="134">
        <v>17</v>
      </c>
      <c r="AJ47" s="134">
        <v>1</v>
      </c>
      <c r="AK47" s="134">
        <v>8</v>
      </c>
      <c r="AL47" s="134">
        <v>9</v>
      </c>
      <c r="AM47" s="134">
        <v>7</v>
      </c>
      <c r="AN47" s="134">
        <v>238</v>
      </c>
      <c r="AO47" s="134">
        <v>245</v>
      </c>
      <c r="AP47" s="134">
        <v>1758</v>
      </c>
      <c r="AQ47" s="134">
        <v>14758</v>
      </c>
      <c r="AR47" s="134">
        <v>16516</v>
      </c>
      <c r="AS47" s="134">
        <v>1726</v>
      </c>
      <c r="AT47" s="134">
        <v>14827</v>
      </c>
      <c r="AU47" s="134">
        <v>16553</v>
      </c>
      <c r="AV47" s="134">
        <v>32</v>
      </c>
      <c r="AW47" s="134">
        <v>-69</v>
      </c>
      <c r="AX47" s="134">
        <v>-37</v>
      </c>
      <c r="AY47" s="134">
        <v>48</v>
      </c>
      <c r="AZ47" s="134">
        <v>1497</v>
      </c>
      <c r="BA47" s="134">
        <v>1545</v>
      </c>
      <c r="BB47" s="134">
        <v>46</v>
      </c>
      <c r="BC47" s="134">
        <v>0</v>
      </c>
      <c r="BD47" s="134">
        <v>0</v>
      </c>
      <c r="BE47" s="134">
        <v>890</v>
      </c>
      <c r="BF47" s="134">
        <v>5</v>
      </c>
      <c r="BG47" s="134">
        <v>2</v>
      </c>
      <c r="BH47" s="134">
        <v>46</v>
      </c>
      <c r="BI47" s="134">
        <v>897</v>
      </c>
      <c r="BJ47" s="134">
        <v>943</v>
      </c>
      <c r="BK47" s="134">
        <v>-46</v>
      </c>
      <c r="BL47" s="134">
        <v>46</v>
      </c>
      <c r="BM47" s="134">
        <v>0</v>
      </c>
      <c r="BN47" s="134">
        <v>1</v>
      </c>
      <c r="BO47" s="134">
        <v>31</v>
      </c>
      <c r="BP47" s="134">
        <v>32</v>
      </c>
      <c r="BQ47" s="134">
        <v>4</v>
      </c>
      <c r="BR47" s="134">
        <v>142</v>
      </c>
      <c r="BS47" s="134">
        <v>146</v>
      </c>
      <c r="BT47" s="134">
        <v>43</v>
      </c>
      <c r="BU47" s="134">
        <v>381</v>
      </c>
      <c r="BV47" s="134">
        <v>424</v>
      </c>
      <c r="BW47" s="134">
        <v>1806</v>
      </c>
      <c r="BX47" s="134">
        <v>16255</v>
      </c>
      <c r="BY47" s="134">
        <v>18061</v>
      </c>
      <c r="BZ47" s="134">
        <v>1790</v>
      </c>
      <c r="CA47" s="134">
        <v>16073</v>
      </c>
      <c r="CB47" s="134">
        <v>17863</v>
      </c>
      <c r="CC47" s="134">
        <v>36211</v>
      </c>
      <c r="CD47" s="134">
        <v>16</v>
      </c>
      <c r="CE47" s="134">
        <v>134</v>
      </c>
      <c r="CF47" s="134">
        <v>16</v>
      </c>
      <c r="CG47" s="134">
        <v>124</v>
      </c>
      <c r="CH47" s="134">
        <v>140</v>
      </c>
      <c r="CI47" s="134">
        <v>0</v>
      </c>
      <c r="CJ47" s="134">
        <v>71</v>
      </c>
      <c r="CK47" s="134">
        <v>0</v>
      </c>
      <c r="CL47" s="134">
        <v>58</v>
      </c>
      <c r="CM47" s="134">
        <v>58</v>
      </c>
      <c r="CN47" s="134">
        <v>130</v>
      </c>
      <c r="CO47" s="134">
        <v>1581</v>
      </c>
      <c r="CP47" s="134">
        <v>1711</v>
      </c>
      <c r="CQ47" s="134">
        <v>0</v>
      </c>
      <c r="CR47" s="134">
        <v>0</v>
      </c>
      <c r="CS47" s="134">
        <v>0</v>
      </c>
      <c r="CT47" s="134">
        <v>1676</v>
      </c>
      <c r="CU47" s="134">
        <v>14674</v>
      </c>
      <c r="CV47" s="134">
        <v>16350</v>
      </c>
      <c r="CW47" s="134">
        <v>119</v>
      </c>
      <c r="CX47" s="134">
        <v>857</v>
      </c>
      <c r="CY47" s="134">
        <v>976</v>
      </c>
      <c r="CZ47" s="134">
        <v>118</v>
      </c>
      <c r="DA47" s="134">
        <v>0</v>
      </c>
      <c r="DB47" s="134">
        <v>0</v>
      </c>
      <c r="DC47" s="134">
        <v>789</v>
      </c>
      <c r="DD47" s="134">
        <v>8</v>
      </c>
      <c r="DE47" s="134">
        <v>1</v>
      </c>
      <c r="DF47" s="134">
        <v>118</v>
      </c>
      <c r="DG47" s="134">
        <v>798</v>
      </c>
      <c r="DH47" s="134">
        <v>916</v>
      </c>
      <c r="DI47" s="134">
        <v>1</v>
      </c>
      <c r="DJ47" s="134">
        <v>0</v>
      </c>
      <c r="DK47" s="134">
        <v>0</v>
      </c>
      <c r="DL47" s="134">
        <v>56</v>
      </c>
      <c r="DM47" s="134">
        <v>3</v>
      </c>
      <c r="DN47" s="134">
        <v>0</v>
      </c>
      <c r="DO47" s="134">
        <v>1</v>
      </c>
      <c r="DP47" s="134">
        <v>59</v>
      </c>
      <c r="DQ47" s="134">
        <v>60</v>
      </c>
      <c r="DR47" s="134">
        <v>0</v>
      </c>
      <c r="DS47" s="134">
        <v>0</v>
      </c>
      <c r="DT47" s="135">
        <v>0</v>
      </c>
      <c r="DV47" s="136"/>
      <c r="DW47" s="137"/>
      <c r="DX47" s="136"/>
      <c r="DY47" s="136"/>
    </row>
    <row r="48" spans="1:129" s="137" customFormat="1" ht="15.75">
      <c r="A48" s="133" t="s">
        <v>358</v>
      </c>
      <c r="B48" s="134">
        <v>3163</v>
      </c>
      <c r="C48" s="134">
        <v>1090</v>
      </c>
      <c r="D48" s="134">
        <v>3307</v>
      </c>
      <c r="E48" s="134">
        <v>1784</v>
      </c>
      <c r="F48" s="134">
        <v>1</v>
      </c>
      <c r="G48" s="134">
        <v>24</v>
      </c>
      <c r="H48" s="134">
        <v>25</v>
      </c>
      <c r="I48" s="134">
        <v>2</v>
      </c>
      <c r="J48" s="134">
        <v>1111</v>
      </c>
      <c r="K48" s="134">
        <v>1113</v>
      </c>
      <c r="L48" s="134">
        <v>0</v>
      </c>
      <c r="M48" s="134">
        <v>408</v>
      </c>
      <c r="N48" s="134">
        <v>408</v>
      </c>
      <c r="O48" s="134">
        <v>2</v>
      </c>
      <c r="P48" s="134">
        <v>703</v>
      </c>
      <c r="Q48" s="134">
        <v>705</v>
      </c>
      <c r="R48" s="134">
        <v>0</v>
      </c>
      <c r="S48" s="134">
        <v>51</v>
      </c>
      <c r="T48" s="134">
        <v>51</v>
      </c>
      <c r="U48" s="134">
        <v>0</v>
      </c>
      <c r="V48" s="134">
        <v>410</v>
      </c>
      <c r="W48" s="134">
        <v>410</v>
      </c>
      <c r="X48" s="134">
        <v>32</v>
      </c>
      <c r="Y48" s="134">
        <v>1493</v>
      </c>
      <c r="Z48" s="134">
        <v>1525</v>
      </c>
      <c r="AA48" s="134">
        <v>12</v>
      </c>
      <c r="AB48" s="134">
        <v>473</v>
      </c>
      <c r="AC48" s="134">
        <v>485</v>
      </c>
      <c r="AD48" s="134">
        <v>12</v>
      </c>
      <c r="AE48" s="134">
        <v>463</v>
      </c>
      <c r="AF48" s="134">
        <v>475</v>
      </c>
      <c r="AG48" s="134">
        <v>0</v>
      </c>
      <c r="AH48" s="134">
        <v>4</v>
      </c>
      <c r="AI48" s="134">
        <v>4</v>
      </c>
      <c r="AJ48" s="134">
        <v>0</v>
      </c>
      <c r="AK48" s="134">
        <v>6</v>
      </c>
      <c r="AL48" s="134">
        <v>6</v>
      </c>
      <c r="AM48" s="134">
        <v>20</v>
      </c>
      <c r="AN48" s="134">
        <v>1020</v>
      </c>
      <c r="AO48" s="134">
        <v>1040</v>
      </c>
      <c r="AP48" s="134">
        <v>3601</v>
      </c>
      <c r="AQ48" s="134">
        <v>40127</v>
      </c>
      <c r="AR48" s="134">
        <v>43728</v>
      </c>
      <c r="AS48" s="134">
        <v>3540</v>
      </c>
      <c r="AT48" s="134">
        <v>39967</v>
      </c>
      <c r="AU48" s="134">
        <v>43507</v>
      </c>
      <c r="AV48" s="134">
        <v>61</v>
      </c>
      <c r="AW48" s="134">
        <v>160</v>
      </c>
      <c r="AX48" s="134">
        <v>221</v>
      </c>
      <c r="AY48" s="134">
        <v>142</v>
      </c>
      <c r="AZ48" s="134">
        <v>3103</v>
      </c>
      <c r="BA48" s="134">
        <v>3245</v>
      </c>
      <c r="BB48" s="134">
        <v>126</v>
      </c>
      <c r="BC48" s="134">
        <v>7</v>
      </c>
      <c r="BD48" s="134">
        <v>2</v>
      </c>
      <c r="BE48" s="134">
        <v>1578</v>
      </c>
      <c r="BF48" s="134">
        <v>28</v>
      </c>
      <c r="BG48" s="134">
        <v>43</v>
      </c>
      <c r="BH48" s="134">
        <v>135</v>
      </c>
      <c r="BI48" s="134">
        <v>1649</v>
      </c>
      <c r="BJ48" s="134">
        <v>1784</v>
      </c>
      <c r="BK48" s="134">
        <v>-115</v>
      </c>
      <c r="BL48" s="134">
        <v>115</v>
      </c>
      <c r="BM48" s="134">
        <v>0</v>
      </c>
      <c r="BN48" s="134">
        <v>10</v>
      </c>
      <c r="BO48" s="134">
        <v>74</v>
      </c>
      <c r="BP48" s="134">
        <v>84</v>
      </c>
      <c r="BQ48" s="134">
        <v>8</v>
      </c>
      <c r="BR48" s="134">
        <v>74</v>
      </c>
      <c r="BS48" s="134">
        <v>82</v>
      </c>
      <c r="BT48" s="134">
        <v>104</v>
      </c>
      <c r="BU48" s="134">
        <v>1191</v>
      </c>
      <c r="BV48" s="134">
        <v>1295</v>
      </c>
      <c r="BW48" s="134">
        <v>3743</v>
      </c>
      <c r="BX48" s="134">
        <v>43230</v>
      </c>
      <c r="BY48" s="134">
        <v>46973</v>
      </c>
      <c r="BZ48" s="134">
        <v>3641</v>
      </c>
      <c r="CA48" s="134">
        <v>41911</v>
      </c>
      <c r="CB48" s="134">
        <v>45552</v>
      </c>
      <c r="CC48" s="134">
        <v>89006</v>
      </c>
      <c r="CD48" s="134">
        <v>86</v>
      </c>
      <c r="CE48" s="134">
        <v>998</v>
      </c>
      <c r="CF48" s="134">
        <v>97</v>
      </c>
      <c r="CG48" s="134">
        <v>738</v>
      </c>
      <c r="CH48" s="134">
        <v>835</v>
      </c>
      <c r="CI48" s="134">
        <v>774</v>
      </c>
      <c r="CJ48" s="134">
        <v>20</v>
      </c>
      <c r="CK48" s="134">
        <v>5</v>
      </c>
      <c r="CL48" s="134">
        <v>581</v>
      </c>
      <c r="CM48" s="134">
        <v>586</v>
      </c>
      <c r="CN48" s="134">
        <v>224</v>
      </c>
      <c r="CO48" s="134">
        <v>3753</v>
      </c>
      <c r="CP48" s="134">
        <v>3977</v>
      </c>
      <c r="CQ48" s="134">
        <v>0</v>
      </c>
      <c r="CR48" s="134">
        <v>0</v>
      </c>
      <c r="CS48" s="134">
        <v>0</v>
      </c>
      <c r="CT48" s="134">
        <v>3519</v>
      </c>
      <c r="CU48" s="134">
        <v>39477</v>
      </c>
      <c r="CV48" s="134">
        <v>42996</v>
      </c>
      <c r="CW48" s="134">
        <v>259</v>
      </c>
      <c r="CX48" s="134">
        <v>2405</v>
      </c>
      <c r="CY48" s="134">
        <v>2664</v>
      </c>
      <c r="CZ48" s="134">
        <v>243</v>
      </c>
      <c r="DA48" s="134">
        <v>6</v>
      </c>
      <c r="DB48" s="134">
        <v>0</v>
      </c>
      <c r="DC48" s="134">
        <v>2032</v>
      </c>
      <c r="DD48" s="134">
        <v>40</v>
      </c>
      <c r="DE48" s="134">
        <v>16</v>
      </c>
      <c r="DF48" s="134">
        <v>249</v>
      </c>
      <c r="DG48" s="134">
        <v>2088</v>
      </c>
      <c r="DH48" s="134">
        <v>2337</v>
      </c>
      <c r="DI48" s="134">
        <v>10</v>
      </c>
      <c r="DJ48" s="134">
        <v>0</v>
      </c>
      <c r="DK48" s="134">
        <v>0</v>
      </c>
      <c r="DL48" s="134">
        <v>303</v>
      </c>
      <c r="DM48" s="134">
        <v>9</v>
      </c>
      <c r="DN48" s="134">
        <v>5</v>
      </c>
      <c r="DO48" s="134">
        <v>10</v>
      </c>
      <c r="DP48" s="134">
        <v>317</v>
      </c>
      <c r="DQ48" s="134">
        <v>327</v>
      </c>
      <c r="DR48" s="134">
        <v>0</v>
      </c>
      <c r="DS48" s="134">
        <v>0</v>
      </c>
      <c r="DT48" s="135">
        <v>0</v>
      </c>
      <c r="DU48" s="116"/>
      <c r="DV48" s="136"/>
      <c r="DX48" s="136"/>
      <c r="DY48" s="136"/>
    </row>
    <row r="49" spans="1:129" s="137" customFormat="1">
      <c r="A49" s="133" t="s">
        <v>318</v>
      </c>
      <c r="B49" s="134">
        <v>1029</v>
      </c>
      <c r="C49" s="134">
        <v>434</v>
      </c>
      <c r="D49" s="134">
        <v>830</v>
      </c>
      <c r="E49" s="134">
        <v>512</v>
      </c>
      <c r="F49" s="134">
        <v>1</v>
      </c>
      <c r="G49" s="134">
        <v>8</v>
      </c>
      <c r="H49" s="134">
        <v>9</v>
      </c>
      <c r="I49" s="134">
        <v>0</v>
      </c>
      <c r="J49" s="134">
        <v>242</v>
      </c>
      <c r="K49" s="134">
        <v>242</v>
      </c>
      <c r="L49" s="134">
        <v>0</v>
      </c>
      <c r="M49" s="134">
        <v>65</v>
      </c>
      <c r="N49" s="134">
        <v>65</v>
      </c>
      <c r="O49" s="134">
        <v>0</v>
      </c>
      <c r="P49" s="134">
        <v>177</v>
      </c>
      <c r="Q49" s="134">
        <v>177</v>
      </c>
      <c r="R49" s="134">
        <v>0</v>
      </c>
      <c r="S49" s="134">
        <v>36</v>
      </c>
      <c r="T49" s="134">
        <v>36</v>
      </c>
      <c r="U49" s="134">
        <v>0</v>
      </c>
      <c r="V49" s="134">
        <v>76</v>
      </c>
      <c r="W49" s="134">
        <v>76</v>
      </c>
      <c r="X49" s="134">
        <v>8</v>
      </c>
      <c r="Y49" s="134">
        <v>552</v>
      </c>
      <c r="Z49" s="134">
        <v>560</v>
      </c>
      <c r="AA49" s="134">
        <v>5</v>
      </c>
      <c r="AB49" s="134">
        <v>210</v>
      </c>
      <c r="AC49" s="134">
        <v>215</v>
      </c>
      <c r="AD49" s="134">
        <v>4</v>
      </c>
      <c r="AE49" s="134">
        <v>206</v>
      </c>
      <c r="AF49" s="134">
        <v>210</v>
      </c>
      <c r="AG49" s="134">
        <v>1</v>
      </c>
      <c r="AH49" s="134">
        <v>3</v>
      </c>
      <c r="AI49" s="134">
        <v>4</v>
      </c>
      <c r="AJ49" s="134">
        <v>0</v>
      </c>
      <c r="AK49" s="134">
        <v>1</v>
      </c>
      <c r="AL49" s="134">
        <v>1</v>
      </c>
      <c r="AM49" s="134">
        <v>3</v>
      </c>
      <c r="AN49" s="134">
        <v>342</v>
      </c>
      <c r="AO49" s="134">
        <v>345</v>
      </c>
      <c r="AP49" s="134">
        <v>952</v>
      </c>
      <c r="AQ49" s="134">
        <v>11981</v>
      </c>
      <c r="AR49" s="134">
        <v>12933</v>
      </c>
      <c r="AS49" s="134">
        <v>935</v>
      </c>
      <c r="AT49" s="134">
        <v>11896</v>
      </c>
      <c r="AU49" s="134">
        <v>12831</v>
      </c>
      <c r="AV49" s="134">
        <v>17</v>
      </c>
      <c r="AW49" s="134">
        <v>85</v>
      </c>
      <c r="AX49" s="134">
        <v>102</v>
      </c>
      <c r="AY49" s="134">
        <v>25</v>
      </c>
      <c r="AZ49" s="134">
        <v>1065</v>
      </c>
      <c r="BA49" s="134">
        <v>1090</v>
      </c>
      <c r="BB49" s="134">
        <v>13</v>
      </c>
      <c r="BC49" s="134">
        <v>0</v>
      </c>
      <c r="BD49" s="134">
        <v>0</v>
      </c>
      <c r="BE49" s="134">
        <v>499</v>
      </c>
      <c r="BF49" s="134">
        <v>0</v>
      </c>
      <c r="BG49" s="134">
        <v>0</v>
      </c>
      <c r="BH49" s="134">
        <v>13</v>
      </c>
      <c r="BI49" s="134">
        <v>499</v>
      </c>
      <c r="BJ49" s="134">
        <v>512</v>
      </c>
      <c r="BK49" s="134">
        <v>-25</v>
      </c>
      <c r="BL49" s="134">
        <v>25</v>
      </c>
      <c r="BM49" s="134">
        <v>0</v>
      </c>
      <c r="BN49" s="134">
        <v>2</v>
      </c>
      <c r="BO49" s="134">
        <v>14</v>
      </c>
      <c r="BP49" s="134">
        <v>16</v>
      </c>
      <c r="BQ49" s="134">
        <v>0</v>
      </c>
      <c r="BR49" s="134">
        <v>8</v>
      </c>
      <c r="BS49" s="134">
        <v>8</v>
      </c>
      <c r="BT49" s="134">
        <v>35</v>
      </c>
      <c r="BU49" s="134">
        <v>519</v>
      </c>
      <c r="BV49" s="134">
        <v>554</v>
      </c>
      <c r="BW49" s="134">
        <v>977</v>
      </c>
      <c r="BX49" s="134">
        <v>13046</v>
      </c>
      <c r="BY49" s="134">
        <v>14023</v>
      </c>
      <c r="BZ49" s="134">
        <v>975</v>
      </c>
      <c r="CA49" s="134">
        <v>12994</v>
      </c>
      <c r="CB49" s="134">
        <v>13969</v>
      </c>
      <c r="CC49" s="134">
        <v>24679</v>
      </c>
      <c r="CD49" s="134">
        <v>2</v>
      </c>
      <c r="CE49" s="134">
        <v>54</v>
      </c>
      <c r="CF49" s="134">
        <v>2</v>
      </c>
      <c r="CG49" s="134">
        <v>44</v>
      </c>
      <c r="CH49" s="134">
        <v>46</v>
      </c>
      <c r="CI49" s="134">
        <v>0</v>
      </c>
      <c r="CJ49" s="134">
        <v>10</v>
      </c>
      <c r="CK49" s="134">
        <v>0</v>
      </c>
      <c r="CL49" s="134">
        <v>8</v>
      </c>
      <c r="CM49" s="134">
        <v>8</v>
      </c>
      <c r="CN49" s="134">
        <v>73</v>
      </c>
      <c r="CO49" s="134">
        <v>1439</v>
      </c>
      <c r="CP49" s="134">
        <v>1512</v>
      </c>
      <c r="CQ49" s="134">
        <v>0</v>
      </c>
      <c r="CR49" s="134">
        <v>0</v>
      </c>
      <c r="CS49" s="134">
        <v>0</v>
      </c>
      <c r="CT49" s="134">
        <v>904</v>
      </c>
      <c r="CU49" s="134">
        <v>11607</v>
      </c>
      <c r="CV49" s="134">
        <v>12511</v>
      </c>
      <c r="CW49" s="134">
        <v>68</v>
      </c>
      <c r="CX49" s="134">
        <v>628</v>
      </c>
      <c r="CY49" s="134">
        <v>696</v>
      </c>
      <c r="CZ49" s="134">
        <v>64</v>
      </c>
      <c r="DA49" s="134">
        <v>0</v>
      </c>
      <c r="DB49" s="134">
        <v>0</v>
      </c>
      <c r="DC49" s="134">
        <v>587</v>
      </c>
      <c r="DD49" s="134">
        <v>1</v>
      </c>
      <c r="DE49" s="134">
        <v>0</v>
      </c>
      <c r="DF49" s="134">
        <v>64</v>
      </c>
      <c r="DG49" s="134">
        <v>588</v>
      </c>
      <c r="DH49" s="134">
        <v>652</v>
      </c>
      <c r="DI49" s="134">
        <v>4</v>
      </c>
      <c r="DJ49" s="134">
        <v>0</v>
      </c>
      <c r="DK49" s="134">
        <v>0</v>
      </c>
      <c r="DL49" s="134">
        <v>39</v>
      </c>
      <c r="DM49" s="134">
        <v>1</v>
      </c>
      <c r="DN49" s="134">
        <v>0</v>
      </c>
      <c r="DO49" s="134">
        <v>4</v>
      </c>
      <c r="DP49" s="134">
        <v>40</v>
      </c>
      <c r="DQ49" s="134">
        <v>44</v>
      </c>
      <c r="DR49" s="134">
        <v>0</v>
      </c>
      <c r="DS49" s="134">
        <v>0</v>
      </c>
      <c r="DT49" s="135">
        <v>0</v>
      </c>
      <c r="DU49" s="116"/>
      <c r="DV49" s="136"/>
      <c r="DX49" s="136"/>
      <c r="DY49" s="136"/>
    </row>
    <row r="50" spans="1:129" s="137" customFormat="1">
      <c r="A50" s="133" t="s">
        <v>319</v>
      </c>
      <c r="B50" s="134">
        <v>1085</v>
      </c>
      <c r="C50" s="134">
        <v>283</v>
      </c>
      <c r="D50" s="134">
        <v>1101</v>
      </c>
      <c r="E50" s="134">
        <v>571</v>
      </c>
      <c r="F50" s="134">
        <v>3</v>
      </c>
      <c r="G50" s="134">
        <v>26</v>
      </c>
      <c r="H50" s="134">
        <v>29</v>
      </c>
      <c r="I50" s="134">
        <v>0</v>
      </c>
      <c r="J50" s="134">
        <v>499</v>
      </c>
      <c r="K50" s="134">
        <v>499</v>
      </c>
      <c r="L50" s="134">
        <v>0</v>
      </c>
      <c r="M50" s="134">
        <v>80</v>
      </c>
      <c r="N50" s="134">
        <v>80</v>
      </c>
      <c r="O50" s="134">
        <v>0</v>
      </c>
      <c r="P50" s="134">
        <v>419</v>
      </c>
      <c r="Q50" s="134">
        <v>419</v>
      </c>
      <c r="R50" s="134">
        <v>0</v>
      </c>
      <c r="S50" s="134">
        <v>15</v>
      </c>
      <c r="T50" s="134">
        <v>15</v>
      </c>
      <c r="U50" s="134">
        <v>0</v>
      </c>
      <c r="V50" s="134">
        <v>31</v>
      </c>
      <c r="W50" s="134">
        <v>31</v>
      </c>
      <c r="X50" s="134">
        <v>14</v>
      </c>
      <c r="Y50" s="134">
        <v>1087</v>
      </c>
      <c r="Z50" s="134">
        <v>1101</v>
      </c>
      <c r="AA50" s="134">
        <v>10</v>
      </c>
      <c r="AB50" s="134">
        <v>393</v>
      </c>
      <c r="AC50" s="134">
        <v>403</v>
      </c>
      <c r="AD50" s="134">
        <v>10</v>
      </c>
      <c r="AE50" s="134">
        <v>376</v>
      </c>
      <c r="AF50" s="134">
        <v>386</v>
      </c>
      <c r="AG50" s="134">
        <v>0</v>
      </c>
      <c r="AH50" s="134">
        <v>14</v>
      </c>
      <c r="AI50" s="134">
        <v>14</v>
      </c>
      <c r="AJ50" s="134">
        <v>0</v>
      </c>
      <c r="AK50" s="134">
        <v>3</v>
      </c>
      <c r="AL50" s="134">
        <v>3</v>
      </c>
      <c r="AM50" s="134">
        <v>4</v>
      </c>
      <c r="AN50" s="134">
        <v>694</v>
      </c>
      <c r="AO50" s="134">
        <v>698</v>
      </c>
      <c r="AP50" s="134">
        <v>1074</v>
      </c>
      <c r="AQ50" s="134">
        <v>10373</v>
      </c>
      <c r="AR50" s="134">
        <v>11447</v>
      </c>
      <c r="AS50" s="134">
        <v>1074</v>
      </c>
      <c r="AT50" s="134">
        <v>10374</v>
      </c>
      <c r="AU50" s="134">
        <v>11448</v>
      </c>
      <c r="AV50" s="134">
        <v>0</v>
      </c>
      <c r="AW50" s="134">
        <v>-1</v>
      </c>
      <c r="AX50" s="134">
        <v>-1</v>
      </c>
      <c r="AY50" s="134">
        <v>59</v>
      </c>
      <c r="AZ50" s="134">
        <v>1009</v>
      </c>
      <c r="BA50" s="134">
        <v>1068</v>
      </c>
      <c r="BB50" s="134">
        <v>24</v>
      </c>
      <c r="BC50" s="134">
        <v>0</v>
      </c>
      <c r="BD50" s="134">
        <v>0</v>
      </c>
      <c r="BE50" s="134">
        <v>546</v>
      </c>
      <c r="BF50" s="134">
        <v>1</v>
      </c>
      <c r="BG50" s="134">
        <v>0</v>
      </c>
      <c r="BH50" s="134">
        <v>24</v>
      </c>
      <c r="BI50" s="134">
        <v>547</v>
      </c>
      <c r="BJ50" s="134">
        <v>571</v>
      </c>
      <c r="BK50" s="134">
        <v>-10</v>
      </c>
      <c r="BL50" s="134">
        <v>10</v>
      </c>
      <c r="BM50" s="134">
        <v>0</v>
      </c>
      <c r="BN50" s="134">
        <v>7</v>
      </c>
      <c r="BO50" s="134">
        <v>29</v>
      </c>
      <c r="BP50" s="134">
        <v>36</v>
      </c>
      <c r="BQ50" s="134">
        <v>11</v>
      </c>
      <c r="BR50" s="134">
        <v>171</v>
      </c>
      <c r="BS50" s="134">
        <v>182</v>
      </c>
      <c r="BT50" s="134">
        <v>27</v>
      </c>
      <c r="BU50" s="134">
        <v>252</v>
      </c>
      <c r="BV50" s="134">
        <v>279</v>
      </c>
      <c r="BW50" s="134">
        <v>1133</v>
      </c>
      <c r="BX50" s="134">
        <v>11382</v>
      </c>
      <c r="BY50" s="134">
        <v>12515</v>
      </c>
      <c r="BZ50" s="134">
        <v>1129</v>
      </c>
      <c r="CA50" s="134">
        <v>11343</v>
      </c>
      <c r="CB50" s="134">
        <v>12472</v>
      </c>
      <c r="CC50" s="134">
        <v>23412</v>
      </c>
      <c r="CD50" s="134">
        <v>5</v>
      </c>
      <c r="CE50" s="134">
        <v>24</v>
      </c>
      <c r="CF50" s="134">
        <v>4</v>
      </c>
      <c r="CG50" s="134">
        <v>24</v>
      </c>
      <c r="CH50" s="134">
        <v>28</v>
      </c>
      <c r="CI50" s="134">
        <v>16</v>
      </c>
      <c r="CJ50" s="134">
        <v>3</v>
      </c>
      <c r="CK50" s="134">
        <v>0</v>
      </c>
      <c r="CL50" s="134">
        <v>15</v>
      </c>
      <c r="CM50" s="134">
        <v>15</v>
      </c>
      <c r="CN50" s="134">
        <v>61</v>
      </c>
      <c r="CO50" s="134">
        <v>1097</v>
      </c>
      <c r="CP50" s="134">
        <v>1158</v>
      </c>
      <c r="CQ50" s="134">
        <v>0</v>
      </c>
      <c r="CR50" s="134">
        <v>16</v>
      </c>
      <c r="CS50" s="134">
        <v>16</v>
      </c>
      <c r="CT50" s="134">
        <v>1072</v>
      </c>
      <c r="CU50" s="134">
        <v>10285</v>
      </c>
      <c r="CV50" s="134">
        <v>11357</v>
      </c>
      <c r="CW50" s="134">
        <v>66</v>
      </c>
      <c r="CX50" s="134">
        <v>431</v>
      </c>
      <c r="CY50" s="134">
        <v>497</v>
      </c>
      <c r="CZ50" s="134">
        <v>66</v>
      </c>
      <c r="DA50" s="134">
        <v>0</v>
      </c>
      <c r="DB50" s="134">
        <v>0</v>
      </c>
      <c r="DC50" s="134">
        <v>420</v>
      </c>
      <c r="DD50" s="134">
        <v>2</v>
      </c>
      <c r="DE50" s="134">
        <v>0</v>
      </c>
      <c r="DF50" s="134">
        <v>66</v>
      </c>
      <c r="DG50" s="134">
        <v>422</v>
      </c>
      <c r="DH50" s="134">
        <v>488</v>
      </c>
      <c r="DI50" s="134">
        <v>0</v>
      </c>
      <c r="DJ50" s="134">
        <v>0</v>
      </c>
      <c r="DK50" s="134">
        <v>0</v>
      </c>
      <c r="DL50" s="134">
        <v>9</v>
      </c>
      <c r="DM50" s="134">
        <v>0</v>
      </c>
      <c r="DN50" s="134">
        <v>0</v>
      </c>
      <c r="DO50" s="134">
        <v>0</v>
      </c>
      <c r="DP50" s="134">
        <v>9</v>
      </c>
      <c r="DQ50" s="134">
        <v>9</v>
      </c>
      <c r="DR50" s="134">
        <v>0</v>
      </c>
      <c r="DS50" s="134">
        <v>0</v>
      </c>
      <c r="DT50" s="135">
        <v>0</v>
      </c>
      <c r="DU50" s="116"/>
      <c r="DV50" s="136"/>
      <c r="DX50" s="136"/>
      <c r="DY50" s="136"/>
    </row>
    <row r="51" spans="1:129" s="137" customFormat="1">
      <c r="A51" s="133" t="s">
        <v>320</v>
      </c>
      <c r="B51" s="134">
        <v>13</v>
      </c>
      <c r="C51" s="134">
        <v>2</v>
      </c>
      <c r="D51" s="134">
        <v>8</v>
      </c>
      <c r="E51" s="134">
        <v>7</v>
      </c>
      <c r="F51" s="134">
        <v>0</v>
      </c>
      <c r="G51" s="134">
        <v>0</v>
      </c>
      <c r="H51" s="134">
        <v>0</v>
      </c>
      <c r="I51" s="134">
        <v>0</v>
      </c>
      <c r="J51" s="134">
        <v>0</v>
      </c>
      <c r="K51" s="134">
        <v>0</v>
      </c>
      <c r="L51" s="134">
        <v>0</v>
      </c>
      <c r="M51" s="134">
        <v>0</v>
      </c>
      <c r="N51" s="134">
        <v>0</v>
      </c>
      <c r="O51" s="134">
        <v>0</v>
      </c>
      <c r="P51" s="134">
        <v>0</v>
      </c>
      <c r="Q51" s="134">
        <v>0</v>
      </c>
      <c r="R51" s="134">
        <v>0</v>
      </c>
      <c r="S51" s="134">
        <v>0</v>
      </c>
      <c r="T51" s="134">
        <v>0</v>
      </c>
      <c r="U51" s="134">
        <v>0</v>
      </c>
      <c r="V51" s="134">
        <v>1</v>
      </c>
      <c r="W51" s="134">
        <v>1</v>
      </c>
      <c r="X51" s="134">
        <v>1</v>
      </c>
      <c r="Y51" s="134">
        <v>7</v>
      </c>
      <c r="Z51" s="134">
        <v>8</v>
      </c>
      <c r="AA51" s="134">
        <v>1</v>
      </c>
      <c r="AB51" s="134">
        <v>4</v>
      </c>
      <c r="AC51" s="134">
        <v>5</v>
      </c>
      <c r="AD51" s="134">
        <v>1</v>
      </c>
      <c r="AE51" s="134">
        <v>4</v>
      </c>
      <c r="AF51" s="134">
        <v>5</v>
      </c>
      <c r="AG51" s="134">
        <v>0</v>
      </c>
      <c r="AH51" s="134">
        <v>0</v>
      </c>
      <c r="AI51" s="134">
        <v>0</v>
      </c>
      <c r="AJ51" s="134">
        <v>0</v>
      </c>
      <c r="AK51" s="134">
        <v>0</v>
      </c>
      <c r="AL51" s="134">
        <v>0</v>
      </c>
      <c r="AM51" s="134">
        <v>0</v>
      </c>
      <c r="AN51" s="134">
        <v>3</v>
      </c>
      <c r="AO51" s="134">
        <v>3</v>
      </c>
      <c r="AP51" s="134">
        <v>7</v>
      </c>
      <c r="AQ51" s="134">
        <v>141</v>
      </c>
      <c r="AR51" s="134">
        <v>148</v>
      </c>
      <c r="AS51" s="134">
        <v>7</v>
      </c>
      <c r="AT51" s="134">
        <v>141</v>
      </c>
      <c r="AU51" s="134">
        <v>148</v>
      </c>
      <c r="AV51" s="134">
        <v>0</v>
      </c>
      <c r="AW51" s="134">
        <v>0</v>
      </c>
      <c r="AX51" s="134">
        <v>0</v>
      </c>
      <c r="AY51" s="134">
        <v>2</v>
      </c>
      <c r="AZ51" s="134">
        <v>8</v>
      </c>
      <c r="BA51" s="134">
        <v>10</v>
      </c>
      <c r="BB51" s="134">
        <v>1</v>
      </c>
      <c r="BC51" s="134">
        <v>0</v>
      </c>
      <c r="BD51" s="134">
        <v>0</v>
      </c>
      <c r="BE51" s="134">
        <v>6</v>
      </c>
      <c r="BF51" s="134">
        <v>0</v>
      </c>
      <c r="BG51" s="134">
        <v>0</v>
      </c>
      <c r="BH51" s="134">
        <v>1</v>
      </c>
      <c r="BI51" s="134">
        <v>6</v>
      </c>
      <c r="BJ51" s="134">
        <v>7</v>
      </c>
      <c r="BK51" s="134">
        <v>1</v>
      </c>
      <c r="BL51" s="134">
        <v>-1</v>
      </c>
      <c r="BM51" s="134">
        <v>0</v>
      </c>
      <c r="BN51" s="134">
        <v>0</v>
      </c>
      <c r="BO51" s="134">
        <v>0</v>
      </c>
      <c r="BP51" s="134">
        <v>0</v>
      </c>
      <c r="BQ51" s="134">
        <v>0</v>
      </c>
      <c r="BR51" s="134">
        <v>0</v>
      </c>
      <c r="BS51" s="134">
        <v>0</v>
      </c>
      <c r="BT51" s="134">
        <v>0</v>
      </c>
      <c r="BU51" s="134">
        <v>3</v>
      </c>
      <c r="BV51" s="134">
        <v>3</v>
      </c>
      <c r="BW51" s="134">
        <v>9</v>
      </c>
      <c r="BX51" s="134">
        <v>149</v>
      </c>
      <c r="BY51" s="134">
        <v>158</v>
      </c>
      <c r="BZ51" s="134">
        <v>8</v>
      </c>
      <c r="CA51" s="134">
        <v>149</v>
      </c>
      <c r="CB51" s="134">
        <v>157</v>
      </c>
      <c r="CC51" s="134">
        <v>264</v>
      </c>
      <c r="CD51" s="134">
        <v>0</v>
      </c>
      <c r="CE51" s="134">
        <v>1</v>
      </c>
      <c r="CF51" s="134">
        <v>1</v>
      </c>
      <c r="CG51" s="134">
        <v>0</v>
      </c>
      <c r="CH51" s="134">
        <v>1</v>
      </c>
      <c r="CI51" s="134">
        <v>0</v>
      </c>
      <c r="CJ51" s="134">
        <v>0</v>
      </c>
      <c r="CK51" s="134">
        <v>0</v>
      </c>
      <c r="CL51" s="134">
        <v>0</v>
      </c>
      <c r="CM51" s="134">
        <v>0</v>
      </c>
      <c r="CN51" s="134">
        <v>1</v>
      </c>
      <c r="CO51" s="134">
        <v>9</v>
      </c>
      <c r="CP51" s="134">
        <v>10</v>
      </c>
      <c r="CQ51" s="134">
        <v>0</v>
      </c>
      <c r="CR51" s="134">
        <v>0</v>
      </c>
      <c r="CS51" s="134">
        <v>0</v>
      </c>
      <c r="CT51" s="134">
        <v>8</v>
      </c>
      <c r="CU51" s="134">
        <v>140</v>
      </c>
      <c r="CV51" s="134">
        <v>148</v>
      </c>
      <c r="CW51" s="134">
        <v>0</v>
      </c>
      <c r="CX51" s="134">
        <v>6</v>
      </c>
      <c r="CY51" s="134">
        <v>6</v>
      </c>
      <c r="CZ51" s="134">
        <v>0</v>
      </c>
      <c r="DA51" s="134">
        <v>0</v>
      </c>
      <c r="DB51" s="134">
        <v>0</v>
      </c>
      <c r="DC51" s="134">
        <v>6</v>
      </c>
      <c r="DD51" s="134">
        <v>0</v>
      </c>
      <c r="DE51" s="134">
        <v>0</v>
      </c>
      <c r="DF51" s="134">
        <v>0</v>
      </c>
      <c r="DG51" s="134">
        <v>6</v>
      </c>
      <c r="DH51" s="134">
        <v>6</v>
      </c>
      <c r="DI51" s="134">
        <v>0</v>
      </c>
      <c r="DJ51" s="134">
        <v>0</v>
      </c>
      <c r="DK51" s="134">
        <v>0</v>
      </c>
      <c r="DL51" s="134">
        <v>0</v>
      </c>
      <c r="DM51" s="134">
        <v>0</v>
      </c>
      <c r="DN51" s="134">
        <v>0</v>
      </c>
      <c r="DO51" s="134">
        <v>0</v>
      </c>
      <c r="DP51" s="134">
        <v>0</v>
      </c>
      <c r="DQ51" s="134">
        <v>0</v>
      </c>
      <c r="DR51" s="134">
        <v>0</v>
      </c>
      <c r="DS51" s="134">
        <v>0</v>
      </c>
      <c r="DT51" s="135">
        <v>0</v>
      </c>
      <c r="DU51" s="116"/>
      <c r="DV51" s="136"/>
      <c r="DX51" s="136"/>
      <c r="DY51" s="136"/>
    </row>
    <row r="52" spans="1:129" s="137" customFormat="1">
      <c r="A52" s="133" t="s">
        <v>321</v>
      </c>
      <c r="B52" s="134">
        <v>246</v>
      </c>
      <c r="C52" s="134">
        <v>94</v>
      </c>
      <c r="D52" s="134">
        <v>242</v>
      </c>
      <c r="E52" s="134">
        <v>126</v>
      </c>
      <c r="F52" s="134">
        <v>0</v>
      </c>
      <c r="G52" s="134">
        <v>3</v>
      </c>
      <c r="H52" s="134">
        <v>3</v>
      </c>
      <c r="I52" s="134">
        <v>0</v>
      </c>
      <c r="J52" s="134">
        <v>101</v>
      </c>
      <c r="K52" s="134">
        <v>101</v>
      </c>
      <c r="L52" s="134">
        <v>0</v>
      </c>
      <c r="M52" s="134">
        <v>35</v>
      </c>
      <c r="N52" s="134">
        <v>35</v>
      </c>
      <c r="O52" s="134">
        <v>0</v>
      </c>
      <c r="P52" s="134">
        <v>66</v>
      </c>
      <c r="Q52" s="134">
        <v>66</v>
      </c>
      <c r="R52" s="134">
        <v>0</v>
      </c>
      <c r="S52" s="134">
        <v>1</v>
      </c>
      <c r="T52" s="134">
        <v>1</v>
      </c>
      <c r="U52" s="134">
        <v>0</v>
      </c>
      <c r="V52" s="134">
        <v>15</v>
      </c>
      <c r="W52" s="134">
        <v>15</v>
      </c>
      <c r="X52" s="134">
        <v>2</v>
      </c>
      <c r="Y52" s="134">
        <v>239</v>
      </c>
      <c r="Z52" s="134">
        <v>241</v>
      </c>
      <c r="AA52" s="134">
        <v>1</v>
      </c>
      <c r="AB52" s="134">
        <v>94</v>
      </c>
      <c r="AC52" s="134">
        <v>95</v>
      </c>
      <c r="AD52" s="134">
        <v>1</v>
      </c>
      <c r="AE52" s="134">
        <v>81</v>
      </c>
      <c r="AF52" s="134">
        <v>82</v>
      </c>
      <c r="AG52" s="134">
        <v>0</v>
      </c>
      <c r="AH52" s="134">
        <v>4</v>
      </c>
      <c r="AI52" s="134">
        <v>4</v>
      </c>
      <c r="AJ52" s="134">
        <v>0</v>
      </c>
      <c r="AK52" s="134">
        <v>9</v>
      </c>
      <c r="AL52" s="134">
        <v>9</v>
      </c>
      <c r="AM52" s="134">
        <v>1</v>
      </c>
      <c r="AN52" s="134">
        <v>145</v>
      </c>
      <c r="AO52" s="134">
        <v>146</v>
      </c>
      <c r="AP52" s="134">
        <v>306</v>
      </c>
      <c r="AQ52" s="134">
        <v>2541</v>
      </c>
      <c r="AR52" s="134">
        <v>2847</v>
      </c>
      <c r="AS52" s="134">
        <v>306</v>
      </c>
      <c r="AT52" s="134">
        <v>2541</v>
      </c>
      <c r="AU52" s="134">
        <v>2847</v>
      </c>
      <c r="AV52" s="134">
        <v>0</v>
      </c>
      <c r="AW52" s="134">
        <v>0</v>
      </c>
      <c r="AX52" s="134">
        <v>0</v>
      </c>
      <c r="AY52" s="134">
        <v>42</v>
      </c>
      <c r="AZ52" s="134">
        <v>230</v>
      </c>
      <c r="BA52" s="134">
        <v>272</v>
      </c>
      <c r="BB52" s="134">
        <v>6</v>
      </c>
      <c r="BC52" s="134">
        <v>0</v>
      </c>
      <c r="BD52" s="134">
        <v>0</v>
      </c>
      <c r="BE52" s="134">
        <v>119</v>
      </c>
      <c r="BF52" s="134">
        <v>1</v>
      </c>
      <c r="BG52" s="134">
        <v>0</v>
      </c>
      <c r="BH52" s="134">
        <v>6</v>
      </c>
      <c r="BI52" s="134">
        <v>120</v>
      </c>
      <c r="BJ52" s="134">
        <v>126</v>
      </c>
      <c r="BK52" s="134">
        <v>9</v>
      </c>
      <c r="BL52" s="134">
        <v>-9</v>
      </c>
      <c r="BM52" s="134">
        <v>0</v>
      </c>
      <c r="BN52" s="134">
        <v>1</v>
      </c>
      <c r="BO52" s="134">
        <v>17</v>
      </c>
      <c r="BP52" s="134">
        <v>18</v>
      </c>
      <c r="BQ52" s="134">
        <v>0</v>
      </c>
      <c r="BR52" s="134">
        <v>31</v>
      </c>
      <c r="BS52" s="134">
        <v>31</v>
      </c>
      <c r="BT52" s="134">
        <v>26</v>
      </c>
      <c r="BU52" s="134">
        <v>71</v>
      </c>
      <c r="BV52" s="134">
        <v>97</v>
      </c>
      <c r="BW52" s="134">
        <v>348</v>
      </c>
      <c r="BX52" s="134">
        <v>2771</v>
      </c>
      <c r="BY52" s="134">
        <v>3119</v>
      </c>
      <c r="BZ52" s="134">
        <v>348</v>
      </c>
      <c r="CA52" s="134">
        <v>2763</v>
      </c>
      <c r="CB52" s="134">
        <v>3111</v>
      </c>
      <c r="CC52" s="134">
        <v>6354</v>
      </c>
      <c r="CD52" s="134">
        <v>4</v>
      </c>
      <c r="CE52" s="134">
        <v>4</v>
      </c>
      <c r="CF52" s="134">
        <v>0</v>
      </c>
      <c r="CG52" s="134">
        <v>6</v>
      </c>
      <c r="CH52" s="134">
        <v>6</v>
      </c>
      <c r="CI52" s="134">
        <v>3</v>
      </c>
      <c r="CJ52" s="134">
        <v>0</v>
      </c>
      <c r="CK52" s="134">
        <v>0</v>
      </c>
      <c r="CL52" s="134">
        <v>2</v>
      </c>
      <c r="CM52" s="134">
        <v>2</v>
      </c>
      <c r="CN52" s="134">
        <v>31</v>
      </c>
      <c r="CO52" s="134">
        <v>273</v>
      </c>
      <c r="CP52" s="134">
        <v>304</v>
      </c>
      <c r="CQ52" s="134">
        <v>0</v>
      </c>
      <c r="CR52" s="134">
        <v>7</v>
      </c>
      <c r="CS52" s="134">
        <v>7</v>
      </c>
      <c r="CT52" s="134">
        <v>317</v>
      </c>
      <c r="CU52" s="134">
        <v>2498</v>
      </c>
      <c r="CV52" s="134">
        <v>2815</v>
      </c>
      <c r="CW52" s="134">
        <v>32</v>
      </c>
      <c r="CX52" s="134">
        <v>100</v>
      </c>
      <c r="CY52" s="134">
        <v>132</v>
      </c>
      <c r="CZ52" s="134">
        <v>32</v>
      </c>
      <c r="DA52" s="134">
        <v>0</v>
      </c>
      <c r="DB52" s="134">
        <v>0</v>
      </c>
      <c r="DC52" s="134">
        <v>100</v>
      </c>
      <c r="DD52" s="134">
        <v>0</v>
      </c>
      <c r="DE52" s="134">
        <v>0</v>
      </c>
      <c r="DF52" s="134">
        <v>32</v>
      </c>
      <c r="DG52" s="134">
        <v>100</v>
      </c>
      <c r="DH52" s="134">
        <v>132</v>
      </c>
      <c r="DI52" s="134">
        <v>0</v>
      </c>
      <c r="DJ52" s="134">
        <v>0</v>
      </c>
      <c r="DK52" s="134">
        <v>0</v>
      </c>
      <c r="DL52" s="134">
        <v>0</v>
      </c>
      <c r="DM52" s="134">
        <v>0</v>
      </c>
      <c r="DN52" s="134">
        <v>0</v>
      </c>
      <c r="DO52" s="134">
        <v>0</v>
      </c>
      <c r="DP52" s="134">
        <v>0</v>
      </c>
      <c r="DQ52" s="134">
        <v>0</v>
      </c>
      <c r="DR52" s="134">
        <v>0</v>
      </c>
      <c r="DS52" s="134">
        <v>0</v>
      </c>
      <c r="DT52" s="135">
        <v>0</v>
      </c>
      <c r="DU52" s="116"/>
      <c r="DV52" s="136"/>
      <c r="DX52" s="136"/>
      <c r="DY52" s="136"/>
    </row>
    <row r="53" spans="1:129" s="137" customFormat="1">
      <c r="A53" s="133" t="s">
        <v>322</v>
      </c>
      <c r="B53" s="134">
        <v>1559</v>
      </c>
      <c r="C53" s="134">
        <v>494</v>
      </c>
      <c r="D53" s="134">
        <v>1376</v>
      </c>
      <c r="E53" s="134">
        <v>804</v>
      </c>
      <c r="F53" s="134">
        <v>3</v>
      </c>
      <c r="G53" s="134">
        <v>16</v>
      </c>
      <c r="H53" s="134">
        <v>19</v>
      </c>
      <c r="I53" s="134">
        <v>0</v>
      </c>
      <c r="J53" s="134">
        <v>498</v>
      </c>
      <c r="K53" s="134">
        <v>498</v>
      </c>
      <c r="L53" s="134">
        <v>0</v>
      </c>
      <c r="M53" s="134">
        <v>160</v>
      </c>
      <c r="N53" s="134">
        <v>160</v>
      </c>
      <c r="O53" s="134">
        <v>0</v>
      </c>
      <c r="P53" s="134">
        <v>338</v>
      </c>
      <c r="Q53" s="134">
        <v>338</v>
      </c>
      <c r="R53" s="134">
        <v>0</v>
      </c>
      <c r="S53" s="134">
        <v>24</v>
      </c>
      <c r="T53" s="134">
        <v>24</v>
      </c>
      <c r="U53" s="134">
        <v>0</v>
      </c>
      <c r="V53" s="134">
        <v>74</v>
      </c>
      <c r="W53" s="134">
        <v>74</v>
      </c>
      <c r="X53" s="134">
        <v>14</v>
      </c>
      <c r="Y53" s="134">
        <v>728</v>
      </c>
      <c r="Z53" s="134">
        <v>742</v>
      </c>
      <c r="AA53" s="134">
        <v>10</v>
      </c>
      <c r="AB53" s="134">
        <v>407</v>
      </c>
      <c r="AC53" s="134">
        <v>417</v>
      </c>
      <c r="AD53" s="134">
        <v>10</v>
      </c>
      <c r="AE53" s="134">
        <v>394</v>
      </c>
      <c r="AF53" s="134">
        <v>404</v>
      </c>
      <c r="AG53" s="134">
        <v>0</v>
      </c>
      <c r="AH53" s="134">
        <v>8</v>
      </c>
      <c r="AI53" s="134">
        <v>8</v>
      </c>
      <c r="AJ53" s="134">
        <v>0</v>
      </c>
      <c r="AK53" s="134">
        <v>5</v>
      </c>
      <c r="AL53" s="134">
        <v>5</v>
      </c>
      <c r="AM53" s="134">
        <v>4</v>
      </c>
      <c r="AN53" s="134">
        <v>321</v>
      </c>
      <c r="AO53" s="134">
        <v>325</v>
      </c>
      <c r="AP53" s="134">
        <v>2114</v>
      </c>
      <c r="AQ53" s="134">
        <v>17424</v>
      </c>
      <c r="AR53" s="134">
        <v>19538</v>
      </c>
      <c r="AS53" s="134">
        <v>2194</v>
      </c>
      <c r="AT53" s="134">
        <v>17075</v>
      </c>
      <c r="AU53" s="134">
        <v>19269</v>
      </c>
      <c r="AV53" s="134">
        <v>-80</v>
      </c>
      <c r="AW53" s="134">
        <v>349</v>
      </c>
      <c r="AX53" s="134">
        <v>269</v>
      </c>
      <c r="AY53" s="134">
        <v>169</v>
      </c>
      <c r="AZ53" s="134">
        <v>1427</v>
      </c>
      <c r="BA53" s="134">
        <v>1596</v>
      </c>
      <c r="BB53" s="134">
        <v>53</v>
      </c>
      <c r="BC53" s="134">
        <v>1</v>
      </c>
      <c r="BD53" s="134">
        <v>0</v>
      </c>
      <c r="BE53" s="134">
        <v>743</v>
      </c>
      <c r="BF53" s="134">
        <v>6</v>
      </c>
      <c r="BG53" s="134">
        <v>1</v>
      </c>
      <c r="BH53" s="134">
        <v>54</v>
      </c>
      <c r="BI53" s="134">
        <v>750</v>
      </c>
      <c r="BJ53" s="134">
        <v>804</v>
      </c>
      <c r="BK53" s="134">
        <v>34</v>
      </c>
      <c r="BL53" s="134">
        <v>-34</v>
      </c>
      <c r="BM53" s="134">
        <v>0</v>
      </c>
      <c r="BN53" s="134">
        <v>10</v>
      </c>
      <c r="BO53" s="134">
        <v>61</v>
      </c>
      <c r="BP53" s="134">
        <v>71</v>
      </c>
      <c r="BQ53" s="134">
        <v>3</v>
      </c>
      <c r="BR53" s="134">
        <v>96</v>
      </c>
      <c r="BS53" s="134">
        <v>99</v>
      </c>
      <c r="BT53" s="134">
        <v>68</v>
      </c>
      <c r="BU53" s="134">
        <v>554</v>
      </c>
      <c r="BV53" s="134">
        <v>622</v>
      </c>
      <c r="BW53" s="134">
        <v>2283</v>
      </c>
      <c r="BX53" s="134">
        <v>18851</v>
      </c>
      <c r="BY53" s="134">
        <v>21134</v>
      </c>
      <c r="BZ53" s="134">
        <v>2266</v>
      </c>
      <c r="CA53" s="134">
        <v>18647</v>
      </c>
      <c r="CB53" s="134">
        <v>20913</v>
      </c>
      <c r="CC53" s="134">
        <v>39134</v>
      </c>
      <c r="CD53" s="134">
        <v>187</v>
      </c>
      <c r="CE53" s="134">
        <v>159</v>
      </c>
      <c r="CF53" s="134">
        <v>17</v>
      </c>
      <c r="CG53" s="134">
        <v>139</v>
      </c>
      <c r="CH53" s="134">
        <v>156</v>
      </c>
      <c r="CI53" s="134">
        <v>86</v>
      </c>
      <c r="CJ53" s="134">
        <v>65</v>
      </c>
      <c r="CK53" s="134">
        <v>0</v>
      </c>
      <c r="CL53" s="134">
        <v>65</v>
      </c>
      <c r="CM53" s="134">
        <v>65</v>
      </c>
      <c r="CN53" s="134">
        <v>131</v>
      </c>
      <c r="CO53" s="134">
        <v>1819</v>
      </c>
      <c r="CP53" s="134">
        <v>1950</v>
      </c>
      <c r="CQ53" s="134">
        <v>0</v>
      </c>
      <c r="CR53" s="134">
        <v>0</v>
      </c>
      <c r="CS53" s="134">
        <v>0</v>
      </c>
      <c r="CT53" s="134">
        <v>2152</v>
      </c>
      <c r="CU53" s="134">
        <v>17032</v>
      </c>
      <c r="CV53" s="134">
        <v>19184</v>
      </c>
      <c r="CW53" s="134">
        <v>142</v>
      </c>
      <c r="CX53" s="134">
        <v>821</v>
      </c>
      <c r="CY53" s="134">
        <v>963</v>
      </c>
      <c r="CZ53" s="134">
        <v>139</v>
      </c>
      <c r="DA53" s="134">
        <v>1</v>
      </c>
      <c r="DB53" s="134">
        <v>0</v>
      </c>
      <c r="DC53" s="134">
        <v>790</v>
      </c>
      <c r="DD53" s="134">
        <v>2</v>
      </c>
      <c r="DE53" s="134">
        <v>1</v>
      </c>
      <c r="DF53" s="134">
        <v>140</v>
      </c>
      <c r="DG53" s="134">
        <v>793</v>
      </c>
      <c r="DH53" s="134">
        <v>933</v>
      </c>
      <c r="DI53" s="134">
        <v>2</v>
      </c>
      <c r="DJ53" s="134">
        <v>0</v>
      </c>
      <c r="DK53" s="134">
        <v>0</v>
      </c>
      <c r="DL53" s="134">
        <v>28</v>
      </c>
      <c r="DM53" s="134">
        <v>0</v>
      </c>
      <c r="DN53" s="134">
        <v>0</v>
      </c>
      <c r="DO53" s="134">
        <v>2</v>
      </c>
      <c r="DP53" s="134">
        <v>28</v>
      </c>
      <c r="DQ53" s="134">
        <v>30</v>
      </c>
      <c r="DR53" s="134">
        <v>0</v>
      </c>
      <c r="DS53" s="134">
        <v>0</v>
      </c>
      <c r="DT53" s="135">
        <v>0</v>
      </c>
      <c r="DU53" s="116"/>
      <c r="DV53" s="136"/>
      <c r="DX53" s="136"/>
      <c r="DY53" s="136"/>
    </row>
    <row r="54" spans="1:129" s="137" customFormat="1">
      <c r="A54" s="133" t="s">
        <v>323</v>
      </c>
      <c r="B54" s="134">
        <v>1035</v>
      </c>
      <c r="C54" s="134">
        <v>427</v>
      </c>
      <c r="D54" s="134">
        <v>952</v>
      </c>
      <c r="E54" s="134">
        <v>465</v>
      </c>
      <c r="F54" s="134">
        <v>0</v>
      </c>
      <c r="G54" s="134">
        <v>9</v>
      </c>
      <c r="H54" s="134">
        <v>9</v>
      </c>
      <c r="I54" s="134">
        <v>0</v>
      </c>
      <c r="J54" s="134">
        <v>433</v>
      </c>
      <c r="K54" s="134">
        <v>433</v>
      </c>
      <c r="L54" s="134">
        <v>0</v>
      </c>
      <c r="M54" s="134">
        <v>119</v>
      </c>
      <c r="N54" s="134">
        <v>119</v>
      </c>
      <c r="O54" s="134">
        <v>0</v>
      </c>
      <c r="P54" s="134">
        <v>314</v>
      </c>
      <c r="Q54" s="134">
        <v>314</v>
      </c>
      <c r="R54" s="134">
        <v>0</v>
      </c>
      <c r="S54" s="134">
        <v>51</v>
      </c>
      <c r="T54" s="134">
        <v>51</v>
      </c>
      <c r="U54" s="134">
        <v>0</v>
      </c>
      <c r="V54" s="134">
        <v>54</v>
      </c>
      <c r="W54" s="134">
        <v>54</v>
      </c>
      <c r="X54" s="134">
        <v>10</v>
      </c>
      <c r="Y54" s="134">
        <v>835</v>
      </c>
      <c r="Z54" s="134">
        <v>845</v>
      </c>
      <c r="AA54" s="134">
        <v>5</v>
      </c>
      <c r="AB54" s="134">
        <v>372</v>
      </c>
      <c r="AC54" s="134">
        <v>377</v>
      </c>
      <c r="AD54" s="134">
        <v>4</v>
      </c>
      <c r="AE54" s="134">
        <v>325</v>
      </c>
      <c r="AF54" s="134">
        <v>329</v>
      </c>
      <c r="AG54" s="134">
        <v>1</v>
      </c>
      <c r="AH54" s="134">
        <v>40</v>
      </c>
      <c r="AI54" s="134">
        <v>41</v>
      </c>
      <c r="AJ54" s="134">
        <v>0</v>
      </c>
      <c r="AK54" s="134">
        <v>7</v>
      </c>
      <c r="AL54" s="134">
        <v>7</v>
      </c>
      <c r="AM54" s="134">
        <v>5</v>
      </c>
      <c r="AN54" s="134">
        <v>463</v>
      </c>
      <c r="AO54" s="134">
        <v>468</v>
      </c>
      <c r="AP54" s="134">
        <v>1200</v>
      </c>
      <c r="AQ54" s="134">
        <v>14998</v>
      </c>
      <c r="AR54" s="134">
        <v>16198</v>
      </c>
      <c r="AS54" s="134">
        <v>1172</v>
      </c>
      <c r="AT54" s="134">
        <v>14502</v>
      </c>
      <c r="AU54" s="134">
        <v>15674</v>
      </c>
      <c r="AV54" s="134">
        <v>28</v>
      </c>
      <c r="AW54" s="134">
        <v>496</v>
      </c>
      <c r="AX54" s="134">
        <v>524</v>
      </c>
      <c r="AY54" s="134">
        <v>15</v>
      </c>
      <c r="AZ54" s="134">
        <v>1026</v>
      </c>
      <c r="BA54" s="134">
        <v>1041</v>
      </c>
      <c r="BB54" s="134">
        <v>30</v>
      </c>
      <c r="BC54" s="134">
        <v>0</v>
      </c>
      <c r="BD54" s="134">
        <v>0</v>
      </c>
      <c r="BE54" s="134">
        <v>428</v>
      </c>
      <c r="BF54" s="134">
        <v>4</v>
      </c>
      <c r="BG54" s="134">
        <v>3</v>
      </c>
      <c r="BH54" s="134">
        <v>30</v>
      </c>
      <c r="BI54" s="134">
        <v>435</v>
      </c>
      <c r="BJ54" s="134">
        <v>465</v>
      </c>
      <c r="BK54" s="134">
        <v>-43</v>
      </c>
      <c r="BL54" s="134">
        <v>43</v>
      </c>
      <c r="BM54" s="134">
        <v>0</v>
      </c>
      <c r="BN54" s="134">
        <v>2</v>
      </c>
      <c r="BO54" s="134">
        <v>29</v>
      </c>
      <c r="BP54" s="134">
        <v>31</v>
      </c>
      <c r="BQ54" s="134">
        <v>6</v>
      </c>
      <c r="BR54" s="134">
        <v>160</v>
      </c>
      <c r="BS54" s="134">
        <v>166</v>
      </c>
      <c r="BT54" s="134">
        <v>20</v>
      </c>
      <c r="BU54" s="134">
        <v>359</v>
      </c>
      <c r="BV54" s="134">
        <v>379</v>
      </c>
      <c r="BW54" s="134">
        <v>1215</v>
      </c>
      <c r="BX54" s="134">
        <v>16024</v>
      </c>
      <c r="BY54" s="134">
        <v>17239</v>
      </c>
      <c r="BZ54" s="134">
        <v>1185</v>
      </c>
      <c r="CA54" s="134">
        <v>15750</v>
      </c>
      <c r="CB54" s="134">
        <v>16935</v>
      </c>
      <c r="CC54" s="134">
        <v>30418</v>
      </c>
      <c r="CD54" s="134">
        <v>21</v>
      </c>
      <c r="CE54" s="134">
        <v>285</v>
      </c>
      <c r="CF54" s="134">
        <v>30</v>
      </c>
      <c r="CG54" s="134">
        <v>223</v>
      </c>
      <c r="CH54" s="134">
        <v>253</v>
      </c>
      <c r="CI54" s="134">
        <v>67</v>
      </c>
      <c r="CJ54" s="134">
        <v>1</v>
      </c>
      <c r="CK54" s="134">
        <v>0</v>
      </c>
      <c r="CL54" s="134">
        <v>51</v>
      </c>
      <c r="CM54" s="134">
        <v>51</v>
      </c>
      <c r="CN54" s="134">
        <v>66</v>
      </c>
      <c r="CO54" s="134">
        <v>1455</v>
      </c>
      <c r="CP54" s="134">
        <v>1521</v>
      </c>
      <c r="CQ54" s="134">
        <v>0</v>
      </c>
      <c r="CR54" s="134">
        <v>0</v>
      </c>
      <c r="CS54" s="134">
        <v>0</v>
      </c>
      <c r="CT54" s="134">
        <v>1149</v>
      </c>
      <c r="CU54" s="134">
        <v>14569</v>
      </c>
      <c r="CV54" s="134">
        <v>15718</v>
      </c>
      <c r="CW54" s="134">
        <v>103</v>
      </c>
      <c r="CX54" s="134">
        <v>668</v>
      </c>
      <c r="CY54" s="134">
        <v>771</v>
      </c>
      <c r="CZ54" s="134">
        <v>98</v>
      </c>
      <c r="DA54" s="134">
        <v>2</v>
      </c>
      <c r="DB54" s="134">
        <v>0</v>
      </c>
      <c r="DC54" s="134">
        <v>629</v>
      </c>
      <c r="DD54" s="134">
        <v>11</v>
      </c>
      <c r="DE54" s="134">
        <v>1</v>
      </c>
      <c r="DF54" s="134">
        <v>100</v>
      </c>
      <c r="DG54" s="134">
        <v>641</v>
      </c>
      <c r="DH54" s="134">
        <v>741</v>
      </c>
      <c r="DI54" s="134">
        <v>3</v>
      </c>
      <c r="DJ54" s="134">
        <v>0</v>
      </c>
      <c r="DK54" s="134">
        <v>0</v>
      </c>
      <c r="DL54" s="134">
        <v>25</v>
      </c>
      <c r="DM54" s="134">
        <v>2</v>
      </c>
      <c r="DN54" s="134">
        <v>0</v>
      </c>
      <c r="DO54" s="134">
        <v>3</v>
      </c>
      <c r="DP54" s="134">
        <v>27</v>
      </c>
      <c r="DQ54" s="134">
        <v>30</v>
      </c>
      <c r="DR54" s="134">
        <v>0</v>
      </c>
      <c r="DS54" s="134">
        <v>0</v>
      </c>
      <c r="DT54" s="135">
        <v>0</v>
      </c>
      <c r="DU54" s="116"/>
      <c r="DV54" s="136"/>
      <c r="DX54" s="136"/>
      <c r="DY54" s="136"/>
    </row>
    <row r="55" spans="1:129" s="137" customFormat="1">
      <c r="A55" s="133" t="s">
        <v>324</v>
      </c>
      <c r="B55" s="134">
        <v>2779</v>
      </c>
      <c r="C55" s="134">
        <v>644</v>
      </c>
      <c r="D55" s="134">
        <v>2800</v>
      </c>
      <c r="E55" s="134">
        <v>1748</v>
      </c>
      <c r="F55" s="134">
        <v>2</v>
      </c>
      <c r="G55" s="134">
        <v>33</v>
      </c>
      <c r="H55" s="134">
        <v>35</v>
      </c>
      <c r="I55" s="134">
        <v>1</v>
      </c>
      <c r="J55" s="134">
        <v>943</v>
      </c>
      <c r="K55" s="134">
        <v>944</v>
      </c>
      <c r="L55" s="134">
        <v>1</v>
      </c>
      <c r="M55" s="134">
        <v>404</v>
      </c>
      <c r="N55" s="134">
        <v>405</v>
      </c>
      <c r="O55" s="134">
        <v>0</v>
      </c>
      <c r="P55" s="134">
        <v>539</v>
      </c>
      <c r="Q55" s="134">
        <v>539</v>
      </c>
      <c r="R55" s="134">
        <v>0</v>
      </c>
      <c r="S55" s="134">
        <v>4</v>
      </c>
      <c r="T55" s="134">
        <v>4</v>
      </c>
      <c r="U55" s="134">
        <v>0</v>
      </c>
      <c r="V55" s="134">
        <v>108</v>
      </c>
      <c r="W55" s="134">
        <v>108</v>
      </c>
      <c r="X55" s="134">
        <v>43</v>
      </c>
      <c r="Y55" s="134">
        <v>2757</v>
      </c>
      <c r="Z55" s="134">
        <v>2800</v>
      </c>
      <c r="AA55" s="134">
        <v>18</v>
      </c>
      <c r="AB55" s="134">
        <v>1162</v>
      </c>
      <c r="AC55" s="134">
        <v>1180</v>
      </c>
      <c r="AD55" s="134">
        <v>17</v>
      </c>
      <c r="AE55" s="134">
        <v>1088</v>
      </c>
      <c r="AF55" s="134">
        <v>1105</v>
      </c>
      <c r="AG55" s="134">
        <v>0</v>
      </c>
      <c r="AH55" s="134">
        <v>44</v>
      </c>
      <c r="AI55" s="134">
        <v>44</v>
      </c>
      <c r="AJ55" s="134">
        <v>1</v>
      </c>
      <c r="AK55" s="134">
        <v>30</v>
      </c>
      <c r="AL55" s="134">
        <v>31</v>
      </c>
      <c r="AM55" s="134">
        <v>25</v>
      </c>
      <c r="AN55" s="134">
        <v>1595</v>
      </c>
      <c r="AO55" s="134">
        <v>1620</v>
      </c>
      <c r="AP55" s="134">
        <v>4808</v>
      </c>
      <c r="AQ55" s="134">
        <v>31979</v>
      </c>
      <c r="AR55" s="134">
        <v>36787</v>
      </c>
      <c r="AS55" s="134">
        <v>4809</v>
      </c>
      <c r="AT55" s="134">
        <v>31983</v>
      </c>
      <c r="AU55" s="134">
        <v>36792</v>
      </c>
      <c r="AV55" s="134">
        <v>-1</v>
      </c>
      <c r="AW55" s="134">
        <v>-4</v>
      </c>
      <c r="AX55" s="134">
        <v>-5</v>
      </c>
      <c r="AY55" s="134">
        <v>200</v>
      </c>
      <c r="AZ55" s="134">
        <v>2880</v>
      </c>
      <c r="BA55" s="134">
        <v>3080</v>
      </c>
      <c r="BB55" s="134">
        <v>55</v>
      </c>
      <c r="BC55" s="134">
        <v>3</v>
      </c>
      <c r="BD55" s="134">
        <v>1</v>
      </c>
      <c r="BE55" s="134">
        <v>1680</v>
      </c>
      <c r="BF55" s="134">
        <v>6</v>
      </c>
      <c r="BG55" s="134">
        <v>3</v>
      </c>
      <c r="BH55" s="134">
        <v>59</v>
      </c>
      <c r="BI55" s="134">
        <v>1689</v>
      </c>
      <c r="BJ55" s="134">
        <v>1748</v>
      </c>
      <c r="BK55" s="134">
        <v>-24</v>
      </c>
      <c r="BL55" s="134">
        <v>24</v>
      </c>
      <c r="BM55" s="134">
        <v>0</v>
      </c>
      <c r="BN55" s="134">
        <v>27</v>
      </c>
      <c r="BO55" s="134">
        <v>95</v>
      </c>
      <c r="BP55" s="134">
        <v>122</v>
      </c>
      <c r="BQ55" s="134">
        <v>39</v>
      </c>
      <c r="BR55" s="134">
        <v>469</v>
      </c>
      <c r="BS55" s="134">
        <v>508</v>
      </c>
      <c r="BT55" s="134">
        <v>99</v>
      </c>
      <c r="BU55" s="134">
        <v>603</v>
      </c>
      <c r="BV55" s="134">
        <v>702</v>
      </c>
      <c r="BW55" s="134">
        <v>5008</v>
      </c>
      <c r="BX55" s="134">
        <v>34859</v>
      </c>
      <c r="BY55" s="134">
        <v>39867</v>
      </c>
      <c r="BZ55" s="134">
        <v>4973</v>
      </c>
      <c r="CA55" s="134">
        <v>34665</v>
      </c>
      <c r="CB55" s="134">
        <v>39638</v>
      </c>
      <c r="CC55" s="134">
        <v>82606</v>
      </c>
      <c r="CD55" s="134">
        <v>14</v>
      </c>
      <c r="CE55" s="134">
        <v>214</v>
      </c>
      <c r="CF55" s="134">
        <v>34</v>
      </c>
      <c r="CG55" s="134">
        <v>162</v>
      </c>
      <c r="CH55" s="134">
        <v>196</v>
      </c>
      <c r="CI55" s="134">
        <v>34</v>
      </c>
      <c r="CJ55" s="134">
        <v>7</v>
      </c>
      <c r="CK55" s="134">
        <v>1</v>
      </c>
      <c r="CL55" s="134">
        <v>32</v>
      </c>
      <c r="CM55" s="134">
        <v>33</v>
      </c>
      <c r="CN55" s="134">
        <v>251</v>
      </c>
      <c r="CO55" s="134">
        <v>3190</v>
      </c>
      <c r="CP55" s="134">
        <v>3441</v>
      </c>
      <c r="CQ55" s="134">
        <v>0</v>
      </c>
      <c r="CR55" s="134">
        <v>1</v>
      </c>
      <c r="CS55" s="134">
        <v>1</v>
      </c>
      <c r="CT55" s="134">
        <v>4757</v>
      </c>
      <c r="CU55" s="134">
        <v>31669</v>
      </c>
      <c r="CV55" s="134">
        <v>36426</v>
      </c>
      <c r="CW55" s="134">
        <v>356</v>
      </c>
      <c r="CX55" s="134">
        <v>1532</v>
      </c>
      <c r="CY55" s="134">
        <v>1888</v>
      </c>
      <c r="CZ55" s="134">
        <v>349</v>
      </c>
      <c r="DA55" s="134">
        <v>5</v>
      </c>
      <c r="DB55" s="134">
        <v>0</v>
      </c>
      <c r="DC55" s="134">
        <v>1507</v>
      </c>
      <c r="DD55" s="134">
        <v>8</v>
      </c>
      <c r="DE55" s="134">
        <v>0</v>
      </c>
      <c r="DF55" s="134">
        <v>354</v>
      </c>
      <c r="DG55" s="134">
        <v>1515</v>
      </c>
      <c r="DH55" s="134">
        <v>1869</v>
      </c>
      <c r="DI55" s="134">
        <v>2</v>
      </c>
      <c r="DJ55" s="134">
        <v>0</v>
      </c>
      <c r="DK55" s="134">
        <v>0</v>
      </c>
      <c r="DL55" s="134">
        <v>17</v>
      </c>
      <c r="DM55" s="134">
        <v>0</v>
      </c>
      <c r="DN55" s="134">
        <v>0</v>
      </c>
      <c r="DO55" s="134">
        <v>2</v>
      </c>
      <c r="DP55" s="134">
        <v>17</v>
      </c>
      <c r="DQ55" s="134">
        <v>19</v>
      </c>
      <c r="DR55" s="134">
        <v>0</v>
      </c>
      <c r="DS55" s="134">
        <v>0</v>
      </c>
      <c r="DT55" s="135">
        <v>0</v>
      </c>
      <c r="DU55" s="116"/>
      <c r="DV55" s="136"/>
      <c r="DX55" s="136"/>
      <c r="DY55" s="136"/>
    </row>
    <row r="56" spans="1:129" s="137" customFormat="1">
      <c r="A56" s="133" t="s">
        <v>325</v>
      </c>
      <c r="B56" s="134">
        <v>382</v>
      </c>
      <c r="C56" s="134">
        <v>135</v>
      </c>
      <c r="D56" s="134">
        <v>374</v>
      </c>
      <c r="E56" s="134">
        <v>207</v>
      </c>
      <c r="F56" s="134">
        <v>0</v>
      </c>
      <c r="G56" s="134">
        <v>6</v>
      </c>
      <c r="H56" s="134">
        <v>6</v>
      </c>
      <c r="I56" s="134">
        <v>0</v>
      </c>
      <c r="J56" s="134">
        <v>147</v>
      </c>
      <c r="K56" s="134">
        <v>147</v>
      </c>
      <c r="L56" s="134">
        <v>0</v>
      </c>
      <c r="M56" s="134">
        <v>33</v>
      </c>
      <c r="N56" s="134">
        <v>33</v>
      </c>
      <c r="O56" s="134">
        <v>0</v>
      </c>
      <c r="P56" s="134">
        <v>114</v>
      </c>
      <c r="Q56" s="134">
        <v>114</v>
      </c>
      <c r="R56" s="134">
        <v>0</v>
      </c>
      <c r="S56" s="134">
        <v>1</v>
      </c>
      <c r="T56" s="134">
        <v>1</v>
      </c>
      <c r="U56" s="134">
        <v>0</v>
      </c>
      <c r="V56" s="134">
        <v>20</v>
      </c>
      <c r="W56" s="134">
        <v>20</v>
      </c>
      <c r="X56" s="134">
        <v>12</v>
      </c>
      <c r="Y56" s="134">
        <v>362</v>
      </c>
      <c r="Z56" s="134">
        <v>374</v>
      </c>
      <c r="AA56" s="134">
        <v>6</v>
      </c>
      <c r="AB56" s="134">
        <v>161</v>
      </c>
      <c r="AC56" s="134">
        <v>167</v>
      </c>
      <c r="AD56" s="134">
        <v>5</v>
      </c>
      <c r="AE56" s="134">
        <v>150</v>
      </c>
      <c r="AF56" s="134">
        <v>155</v>
      </c>
      <c r="AG56" s="134">
        <v>1</v>
      </c>
      <c r="AH56" s="134">
        <v>5</v>
      </c>
      <c r="AI56" s="134">
        <v>6</v>
      </c>
      <c r="AJ56" s="134">
        <v>0</v>
      </c>
      <c r="AK56" s="134">
        <v>6</v>
      </c>
      <c r="AL56" s="134">
        <v>6</v>
      </c>
      <c r="AM56" s="134">
        <v>6</v>
      </c>
      <c r="AN56" s="134">
        <v>201</v>
      </c>
      <c r="AO56" s="134">
        <v>207</v>
      </c>
      <c r="AP56" s="134">
        <v>631</v>
      </c>
      <c r="AQ56" s="134">
        <v>4390</v>
      </c>
      <c r="AR56" s="134">
        <v>5021</v>
      </c>
      <c r="AS56" s="134">
        <v>631</v>
      </c>
      <c r="AT56" s="134">
        <v>4390</v>
      </c>
      <c r="AU56" s="134">
        <v>5021</v>
      </c>
      <c r="AV56" s="134">
        <v>0</v>
      </c>
      <c r="AW56" s="134">
        <v>0</v>
      </c>
      <c r="AX56" s="134">
        <v>0</v>
      </c>
      <c r="AY56" s="134">
        <v>17</v>
      </c>
      <c r="AZ56" s="134">
        <v>401</v>
      </c>
      <c r="BA56" s="134">
        <v>418</v>
      </c>
      <c r="BB56" s="134">
        <v>16</v>
      </c>
      <c r="BC56" s="134">
        <v>0</v>
      </c>
      <c r="BD56" s="134">
        <v>0</v>
      </c>
      <c r="BE56" s="134">
        <v>187</v>
      </c>
      <c r="BF56" s="134">
        <v>2</v>
      </c>
      <c r="BG56" s="134">
        <v>2</v>
      </c>
      <c r="BH56" s="134">
        <v>16</v>
      </c>
      <c r="BI56" s="134">
        <v>191</v>
      </c>
      <c r="BJ56" s="134">
        <v>207</v>
      </c>
      <c r="BK56" s="134">
        <v>-26</v>
      </c>
      <c r="BL56" s="134">
        <v>26</v>
      </c>
      <c r="BM56" s="134">
        <v>0</v>
      </c>
      <c r="BN56" s="134">
        <v>6</v>
      </c>
      <c r="BO56" s="134">
        <v>15</v>
      </c>
      <c r="BP56" s="134">
        <v>21</v>
      </c>
      <c r="BQ56" s="134">
        <v>1</v>
      </c>
      <c r="BR56" s="134">
        <v>54</v>
      </c>
      <c r="BS56" s="134">
        <v>55</v>
      </c>
      <c r="BT56" s="134">
        <v>20</v>
      </c>
      <c r="BU56" s="134">
        <v>115</v>
      </c>
      <c r="BV56" s="134">
        <v>135</v>
      </c>
      <c r="BW56" s="134">
        <v>648</v>
      </c>
      <c r="BX56" s="134">
        <v>4791</v>
      </c>
      <c r="BY56" s="134">
        <v>5439</v>
      </c>
      <c r="BZ56" s="134">
        <v>638</v>
      </c>
      <c r="CA56" s="134">
        <v>4732</v>
      </c>
      <c r="CB56" s="134">
        <v>5370</v>
      </c>
      <c r="CC56" s="134">
        <v>12308</v>
      </c>
      <c r="CD56" s="134">
        <v>5</v>
      </c>
      <c r="CE56" s="134">
        <v>58</v>
      </c>
      <c r="CF56" s="134">
        <v>10</v>
      </c>
      <c r="CG56" s="134">
        <v>43</v>
      </c>
      <c r="CH56" s="134">
        <v>53</v>
      </c>
      <c r="CI56" s="134">
        <v>17</v>
      </c>
      <c r="CJ56" s="134">
        <v>4</v>
      </c>
      <c r="CK56" s="134">
        <v>0</v>
      </c>
      <c r="CL56" s="134">
        <v>16</v>
      </c>
      <c r="CM56" s="134">
        <v>16</v>
      </c>
      <c r="CN56" s="134">
        <v>41</v>
      </c>
      <c r="CO56" s="134">
        <v>474</v>
      </c>
      <c r="CP56" s="134">
        <v>515</v>
      </c>
      <c r="CQ56" s="134">
        <v>0</v>
      </c>
      <c r="CR56" s="134">
        <v>0</v>
      </c>
      <c r="CS56" s="134">
        <v>0</v>
      </c>
      <c r="CT56" s="134">
        <v>607</v>
      </c>
      <c r="CU56" s="134">
        <v>4317</v>
      </c>
      <c r="CV56" s="134">
        <v>4924</v>
      </c>
      <c r="CW56" s="134">
        <v>45</v>
      </c>
      <c r="CX56" s="134">
        <v>210</v>
      </c>
      <c r="CY56" s="134">
        <v>255</v>
      </c>
      <c r="CZ56" s="134">
        <v>44</v>
      </c>
      <c r="DA56" s="134">
        <v>1</v>
      </c>
      <c r="DB56" s="134">
        <v>0</v>
      </c>
      <c r="DC56" s="134">
        <v>202</v>
      </c>
      <c r="DD56" s="134">
        <v>1</v>
      </c>
      <c r="DE56" s="134">
        <v>1</v>
      </c>
      <c r="DF56" s="134">
        <v>45</v>
      </c>
      <c r="DG56" s="134">
        <v>204</v>
      </c>
      <c r="DH56" s="134">
        <v>249</v>
      </c>
      <c r="DI56" s="134">
        <v>0</v>
      </c>
      <c r="DJ56" s="134">
        <v>0</v>
      </c>
      <c r="DK56" s="134">
        <v>0</v>
      </c>
      <c r="DL56" s="134">
        <v>6</v>
      </c>
      <c r="DM56" s="134">
        <v>0</v>
      </c>
      <c r="DN56" s="134">
        <v>0</v>
      </c>
      <c r="DO56" s="134">
        <v>0</v>
      </c>
      <c r="DP56" s="134">
        <v>6</v>
      </c>
      <c r="DQ56" s="134">
        <v>6</v>
      </c>
      <c r="DR56" s="134">
        <v>0</v>
      </c>
      <c r="DS56" s="134">
        <v>0</v>
      </c>
      <c r="DT56" s="135">
        <v>0</v>
      </c>
      <c r="DU56" s="116"/>
      <c r="DV56" s="136"/>
      <c r="DX56" s="136"/>
      <c r="DY56" s="136"/>
    </row>
    <row r="57" spans="1:129" s="137" customFormat="1">
      <c r="A57" s="133" t="s">
        <v>326</v>
      </c>
      <c r="B57" s="134">
        <v>343</v>
      </c>
      <c r="C57" s="134">
        <v>53</v>
      </c>
      <c r="D57" s="134">
        <v>357</v>
      </c>
      <c r="E57" s="134">
        <v>182</v>
      </c>
      <c r="F57" s="134">
        <v>0</v>
      </c>
      <c r="G57" s="134">
        <v>7</v>
      </c>
      <c r="H57" s="134">
        <v>7</v>
      </c>
      <c r="I57" s="134">
        <v>0</v>
      </c>
      <c r="J57" s="134">
        <v>150</v>
      </c>
      <c r="K57" s="134">
        <v>150</v>
      </c>
      <c r="L57" s="134">
        <v>0</v>
      </c>
      <c r="M57" s="134">
        <v>26</v>
      </c>
      <c r="N57" s="134">
        <v>26</v>
      </c>
      <c r="O57" s="134">
        <v>0</v>
      </c>
      <c r="P57" s="134">
        <v>124</v>
      </c>
      <c r="Q57" s="134">
        <v>124</v>
      </c>
      <c r="R57" s="134">
        <v>0</v>
      </c>
      <c r="S57" s="134">
        <v>8</v>
      </c>
      <c r="T57" s="134">
        <v>8</v>
      </c>
      <c r="U57" s="134">
        <v>0</v>
      </c>
      <c r="V57" s="134">
        <v>25</v>
      </c>
      <c r="W57" s="134">
        <v>25</v>
      </c>
      <c r="X57" s="134">
        <v>7</v>
      </c>
      <c r="Y57" s="134">
        <v>350</v>
      </c>
      <c r="Z57" s="134">
        <v>357</v>
      </c>
      <c r="AA57" s="134">
        <v>4</v>
      </c>
      <c r="AB57" s="134">
        <v>128</v>
      </c>
      <c r="AC57" s="134">
        <v>132</v>
      </c>
      <c r="AD57" s="134">
        <v>4</v>
      </c>
      <c r="AE57" s="134">
        <v>121</v>
      </c>
      <c r="AF57" s="134">
        <v>125</v>
      </c>
      <c r="AG57" s="134">
        <v>0</v>
      </c>
      <c r="AH57" s="134">
        <v>2</v>
      </c>
      <c r="AI57" s="134">
        <v>2</v>
      </c>
      <c r="AJ57" s="134">
        <v>0</v>
      </c>
      <c r="AK57" s="134">
        <v>5</v>
      </c>
      <c r="AL57" s="134">
        <v>5</v>
      </c>
      <c r="AM57" s="134">
        <v>3</v>
      </c>
      <c r="AN57" s="134">
        <v>222</v>
      </c>
      <c r="AO57" s="134">
        <v>225</v>
      </c>
      <c r="AP57" s="134">
        <v>415</v>
      </c>
      <c r="AQ57" s="134">
        <v>3511</v>
      </c>
      <c r="AR57" s="134">
        <v>3926</v>
      </c>
      <c r="AS57" s="134">
        <v>415</v>
      </c>
      <c r="AT57" s="134">
        <v>3511</v>
      </c>
      <c r="AU57" s="134">
        <v>3926</v>
      </c>
      <c r="AV57" s="134">
        <v>0</v>
      </c>
      <c r="AW57" s="134">
        <v>0</v>
      </c>
      <c r="AX57" s="134">
        <v>0</v>
      </c>
      <c r="AY57" s="134">
        <v>32</v>
      </c>
      <c r="AZ57" s="134">
        <v>347</v>
      </c>
      <c r="BA57" s="134">
        <v>379</v>
      </c>
      <c r="BB57" s="134">
        <v>10</v>
      </c>
      <c r="BC57" s="134">
        <v>0</v>
      </c>
      <c r="BD57" s="134">
        <v>0</v>
      </c>
      <c r="BE57" s="134">
        <v>172</v>
      </c>
      <c r="BF57" s="134">
        <v>0</v>
      </c>
      <c r="BG57" s="134">
        <v>0</v>
      </c>
      <c r="BH57" s="134">
        <v>10</v>
      </c>
      <c r="BI57" s="134">
        <v>172</v>
      </c>
      <c r="BJ57" s="134">
        <v>182</v>
      </c>
      <c r="BK57" s="134">
        <v>7</v>
      </c>
      <c r="BL57" s="134">
        <v>-7</v>
      </c>
      <c r="BM57" s="134">
        <v>0</v>
      </c>
      <c r="BN57" s="134">
        <v>8</v>
      </c>
      <c r="BO57" s="134">
        <v>22</v>
      </c>
      <c r="BP57" s="134">
        <v>30</v>
      </c>
      <c r="BQ57" s="134">
        <v>2</v>
      </c>
      <c r="BR57" s="134">
        <v>50</v>
      </c>
      <c r="BS57" s="134">
        <v>52</v>
      </c>
      <c r="BT57" s="134">
        <v>5</v>
      </c>
      <c r="BU57" s="134">
        <v>110</v>
      </c>
      <c r="BV57" s="134">
        <v>115</v>
      </c>
      <c r="BW57" s="134">
        <v>447</v>
      </c>
      <c r="BX57" s="134">
        <v>3858</v>
      </c>
      <c r="BY57" s="134">
        <v>4305</v>
      </c>
      <c r="BZ57" s="134">
        <v>446</v>
      </c>
      <c r="CA57" s="134">
        <v>3848</v>
      </c>
      <c r="CB57" s="134">
        <v>4294</v>
      </c>
      <c r="CC57" s="134">
        <v>9251</v>
      </c>
      <c r="CD57" s="134">
        <v>0</v>
      </c>
      <c r="CE57" s="134">
        <v>10</v>
      </c>
      <c r="CF57" s="134">
        <v>1</v>
      </c>
      <c r="CG57" s="134">
        <v>9</v>
      </c>
      <c r="CH57" s="134">
        <v>10</v>
      </c>
      <c r="CI57" s="134">
        <v>1</v>
      </c>
      <c r="CJ57" s="134">
        <v>0</v>
      </c>
      <c r="CK57" s="134">
        <v>0</v>
      </c>
      <c r="CL57" s="134">
        <v>1</v>
      </c>
      <c r="CM57" s="134">
        <v>1</v>
      </c>
      <c r="CN57" s="134">
        <v>18</v>
      </c>
      <c r="CO57" s="134">
        <v>396</v>
      </c>
      <c r="CP57" s="134">
        <v>414</v>
      </c>
      <c r="CQ57" s="134">
        <v>0</v>
      </c>
      <c r="CR57" s="134">
        <v>13</v>
      </c>
      <c r="CS57" s="134">
        <v>13</v>
      </c>
      <c r="CT57" s="134">
        <v>429</v>
      </c>
      <c r="CU57" s="134">
        <v>3462</v>
      </c>
      <c r="CV57" s="134">
        <v>3891</v>
      </c>
      <c r="CW57" s="134">
        <v>21</v>
      </c>
      <c r="CX57" s="134">
        <v>97</v>
      </c>
      <c r="CY57" s="134">
        <v>118</v>
      </c>
      <c r="CZ57" s="134">
        <v>21</v>
      </c>
      <c r="DA57" s="134">
        <v>0</v>
      </c>
      <c r="DB57" s="134">
        <v>0</v>
      </c>
      <c r="DC57" s="134">
        <v>90</v>
      </c>
      <c r="DD57" s="134">
        <v>1</v>
      </c>
      <c r="DE57" s="134">
        <v>0</v>
      </c>
      <c r="DF57" s="134">
        <v>21</v>
      </c>
      <c r="DG57" s="134">
        <v>91</v>
      </c>
      <c r="DH57" s="134">
        <v>112</v>
      </c>
      <c r="DI57" s="134">
        <v>0</v>
      </c>
      <c r="DJ57" s="134">
        <v>0</v>
      </c>
      <c r="DK57" s="134">
        <v>0</v>
      </c>
      <c r="DL57" s="134">
        <v>6</v>
      </c>
      <c r="DM57" s="134">
        <v>0</v>
      </c>
      <c r="DN57" s="134">
        <v>0</v>
      </c>
      <c r="DO57" s="134">
        <v>0</v>
      </c>
      <c r="DP57" s="134">
        <v>6</v>
      </c>
      <c r="DQ57" s="134">
        <v>6</v>
      </c>
      <c r="DR57" s="134">
        <v>0</v>
      </c>
      <c r="DS57" s="134">
        <v>0</v>
      </c>
      <c r="DT57" s="135">
        <v>0</v>
      </c>
      <c r="DU57" s="116"/>
      <c r="DV57" s="136"/>
      <c r="DX57" s="136"/>
      <c r="DY57" s="136"/>
    </row>
    <row r="58" spans="1:129" s="137" customFormat="1">
      <c r="A58" s="133" t="s">
        <v>327</v>
      </c>
      <c r="B58" s="134">
        <v>97</v>
      </c>
      <c r="C58" s="134">
        <v>14</v>
      </c>
      <c r="D58" s="134">
        <v>90</v>
      </c>
      <c r="E58" s="134">
        <v>55</v>
      </c>
      <c r="F58" s="134">
        <v>0</v>
      </c>
      <c r="G58" s="134">
        <v>1</v>
      </c>
      <c r="H58" s="134">
        <v>1</v>
      </c>
      <c r="I58" s="134">
        <v>0</v>
      </c>
      <c r="J58" s="134">
        <v>31</v>
      </c>
      <c r="K58" s="134">
        <v>31</v>
      </c>
      <c r="L58" s="134">
        <v>0</v>
      </c>
      <c r="M58" s="134">
        <v>7</v>
      </c>
      <c r="N58" s="134">
        <v>7</v>
      </c>
      <c r="O58" s="134">
        <v>0</v>
      </c>
      <c r="P58" s="134">
        <v>24</v>
      </c>
      <c r="Q58" s="134">
        <v>24</v>
      </c>
      <c r="R58" s="134">
        <v>0</v>
      </c>
      <c r="S58" s="134">
        <v>0</v>
      </c>
      <c r="T58" s="134">
        <v>0</v>
      </c>
      <c r="U58" s="134">
        <v>0</v>
      </c>
      <c r="V58" s="134">
        <v>4</v>
      </c>
      <c r="W58" s="134">
        <v>4</v>
      </c>
      <c r="X58" s="134">
        <v>1</v>
      </c>
      <c r="Y58" s="134">
        <v>89</v>
      </c>
      <c r="Z58" s="134">
        <v>90</v>
      </c>
      <c r="AA58" s="134">
        <v>1</v>
      </c>
      <c r="AB58" s="134">
        <v>45</v>
      </c>
      <c r="AC58" s="134">
        <v>46</v>
      </c>
      <c r="AD58" s="134">
        <v>1</v>
      </c>
      <c r="AE58" s="134">
        <v>32</v>
      </c>
      <c r="AF58" s="134">
        <v>33</v>
      </c>
      <c r="AG58" s="134">
        <v>0</v>
      </c>
      <c r="AH58" s="134">
        <v>9</v>
      </c>
      <c r="AI58" s="134">
        <v>9</v>
      </c>
      <c r="AJ58" s="134">
        <v>0</v>
      </c>
      <c r="AK58" s="134">
        <v>4</v>
      </c>
      <c r="AL58" s="134">
        <v>4</v>
      </c>
      <c r="AM58" s="134">
        <v>0</v>
      </c>
      <c r="AN58" s="134">
        <v>44</v>
      </c>
      <c r="AO58" s="134">
        <v>44</v>
      </c>
      <c r="AP58" s="134">
        <v>59</v>
      </c>
      <c r="AQ58" s="134">
        <v>834</v>
      </c>
      <c r="AR58" s="134">
        <v>893</v>
      </c>
      <c r="AS58" s="134">
        <v>59</v>
      </c>
      <c r="AT58" s="134">
        <v>834</v>
      </c>
      <c r="AU58" s="134">
        <v>893</v>
      </c>
      <c r="AV58" s="134">
        <v>0</v>
      </c>
      <c r="AW58" s="134">
        <v>0</v>
      </c>
      <c r="AX58" s="134">
        <v>0</v>
      </c>
      <c r="AY58" s="134">
        <v>11</v>
      </c>
      <c r="AZ58" s="134">
        <v>89</v>
      </c>
      <c r="BA58" s="134">
        <v>100</v>
      </c>
      <c r="BB58" s="134">
        <v>1</v>
      </c>
      <c r="BC58" s="134">
        <v>0</v>
      </c>
      <c r="BD58" s="134">
        <v>0</v>
      </c>
      <c r="BE58" s="134">
        <v>54</v>
      </c>
      <c r="BF58" s="134">
        <v>0</v>
      </c>
      <c r="BG58" s="134">
        <v>0</v>
      </c>
      <c r="BH58" s="134">
        <v>1</v>
      </c>
      <c r="BI58" s="134">
        <v>54</v>
      </c>
      <c r="BJ58" s="134">
        <v>55</v>
      </c>
      <c r="BK58" s="134">
        <v>6</v>
      </c>
      <c r="BL58" s="134">
        <v>-6</v>
      </c>
      <c r="BM58" s="134">
        <v>0</v>
      </c>
      <c r="BN58" s="134">
        <v>1</v>
      </c>
      <c r="BO58" s="134">
        <v>10</v>
      </c>
      <c r="BP58" s="134">
        <v>11</v>
      </c>
      <c r="BQ58" s="134">
        <v>1</v>
      </c>
      <c r="BR58" s="134">
        <v>16</v>
      </c>
      <c r="BS58" s="134">
        <v>17</v>
      </c>
      <c r="BT58" s="134">
        <v>2</v>
      </c>
      <c r="BU58" s="134">
        <v>15</v>
      </c>
      <c r="BV58" s="134">
        <v>17</v>
      </c>
      <c r="BW58" s="134">
        <v>70</v>
      </c>
      <c r="BX58" s="134">
        <v>923</v>
      </c>
      <c r="BY58" s="134">
        <v>993</v>
      </c>
      <c r="BZ58" s="134">
        <v>70</v>
      </c>
      <c r="CA58" s="134">
        <v>921</v>
      </c>
      <c r="CB58" s="134">
        <v>991</v>
      </c>
      <c r="CC58" s="134">
        <v>1725</v>
      </c>
      <c r="CD58" s="134">
        <v>0</v>
      </c>
      <c r="CE58" s="134">
        <v>2</v>
      </c>
      <c r="CF58" s="134">
        <v>0</v>
      </c>
      <c r="CG58" s="134">
        <v>2</v>
      </c>
      <c r="CH58" s="134">
        <v>2</v>
      </c>
      <c r="CI58" s="134">
        <v>0</v>
      </c>
      <c r="CJ58" s="134">
        <v>0</v>
      </c>
      <c r="CK58" s="134">
        <v>0</v>
      </c>
      <c r="CL58" s="134">
        <v>0</v>
      </c>
      <c r="CM58" s="134">
        <v>0</v>
      </c>
      <c r="CN58" s="134">
        <v>11</v>
      </c>
      <c r="CO58" s="134">
        <v>90</v>
      </c>
      <c r="CP58" s="134">
        <v>101</v>
      </c>
      <c r="CQ58" s="134">
        <v>0</v>
      </c>
      <c r="CR58" s="134">
        <v>0</v>
      </c>
      <c r="CS58" s="134">
        <v>0</v>
      </c>
      <c r="CT58" s="134">
        <v>59</v>
      </c>
      <c r="CU58" s="134">
        <v>833</v>
      </c>
      <c r="CV58" s="134">
        <v>892</v>
      </c>
      <c r="CW58" s="134">
        <v>5</v>
      </c>
      <c r="CX58" s="134">
        <v>42</v>
      </c>
      <c r="CY58" s="134">
        <v>47</v>
      </c>
      <c r="CZ58" s="134">
        <v>5</v>
      </c>
      <c r="DA58" s="134">
        <v>0</v>
      </c>
      <c r="DB58" s="134">
        <v>0</v>
      </c>
      <c r="DC58" s="134">
        <v>41</v>
      </c>
      <c r="DD58" s="134">
        <v>0</v>
      </c>
      <c r="DE58" s="134">
        <v>0</v>
      </c>
      <c r="DF58" s="134">
        <v>5</v>
      </c>
      <c r="DG58" s="134">
        <v>41</v>
      </c>
      <c r="DH58" s="134">
        <v>46</v>
      </c>
      <c r="DI58" s="134">
        <v>0</v>
      </c>
      <c r="DJ58" s="134">
        <v>0</v>
      </c>
      <c r="DK58" s="134">
        <v>0</v>
      </c>
      <c r="DL58" s="134">
        <v>1</v>
      </c>
      <c r="DM58" s="134">
        <v>0</v>
      </c>
      <c r="DN58" s="134">
        <v>0</v>
      </c>
      <c r="DO58" s="134">
        <v>0</v>
      </c>
      <c r="DP58" s="134">
        <v>1</v>
      </c>
      <c r="DQ58" s="134">
        <v>1</v>
      </c>
      <c r="DR58" s="134">
        <v>0</v>
      </c>
      <c r="DS58" s="134">
        <v>0</v>
      </c>
      <c r="DT58" s="135">
        <v>0</v>
      </c>
      <c r="DU58" s="116"/>
      <c r="DV58" s="136"/>
      <c r="DX58" s="136"/>
      <c r="DY58" s="136"/>
    </row>
    <row r="59" spans="1:129" s="137" customFormat="1">
      <c r="A59" s="133" t="s">
        <v>328</v>
      </c>
      <c r="B59" s="134">
        <v>2426</v>
      </c>
      <c r="C59" s="134">
        <v>222</v>
      </c>
      <c r="D59" s="134">
        <v>2252</v>
      </c>
      <c r="E59" s="134">
        <v>1790</v>
      </c>
      <c r="F59" s="134">
        <v>4</v>
      </c>
      <c r="G59" s="134">
        <v>129</v>
      </c>
      <c r="H59" s="134">
        <v>133</v>
      </c>
      <c r="I59" s="134">
        <v>2</v>
      </c>
      <c r="J59" s="134">
        <v>392</v>
      </c>
      <c r="K59" s="134">
        <v>394</v>
      </c>
      <c r="L59" s="134">
        <v>0</v>
      </c>
      <c r="M59" s="134">
        <v>219</v>
      </c>
      <c r="N59" s="134">
        <v>219</v>
      </c>
      <c r="O59" s="134">
        <v>2</v>
      </c>
      <c r="P59" s="134">
        <v>173</v>
      </c>
      <c r="Q59" s="134">
        <v>175</v>
      </c>
      <c r="R59" s="134">
        <v>0</v>
      </c>
      <c r="S59" s="134">
        <v>101</v>
      </c>
      <c r="T59" s="134">
        <v>101</v>
      </c>
      <c r="U59" s="134">
        <v>0</v>
      </c>
      <c r="V59" s="134">
        <v>68</v>
      </c>
      <c r="W59" s="134">
        <v>68</v>
      </c>
      <c r="X59" s="134">
        <v>30</v>
      </c>
      <c r="Y59" s="134">
        <v>1022</v>
      </c>
      <c r="Z59" s="134">
        <v>1052</v>
      </c>
      <c r="AA59" s="134">
        <v>9</v>
      </c>
      <c r="AB59" s="134">
        <v>241</v>
      </c>
      <c r="AC59" s="134">
        <v>250</v>
      </c>
      <c r="AD59" s="134">
        <v>7</v>
      </c>
      <c r="AE59" s="134">
        <v>203</v>
      </c>
      <c r="AF59" s="134">
        <v>210</v>
      </c>
      <c r="AG59" s="134">
        <v>1</v>
      </c>
      <c r="AH59" s="134">
        <v>32</v>
      </c>
      <c r="AI59" s="134">
        <v>33</v>
      </c>
      <c r="AJ59" s="134">
        <v>1</v>
      </c>
      <c r="AK59" s="134">
        <v>6</v>
      </c>
      <c r="AL59" s="134">
        <v>7</v>
      </c>
      <c r="AM59" s="134">
        <v>21</v>
      </c>
      <c r="AN59" s="134">
        <v>781</v>
      </c>
      <c r="AO59" s="134">
        <v>802</v>
      </c>
      <c r="AP59" s="134">
        <v>6809</v>
      </c>
      <c r="AQ59" s="134">
        <v>41045</v>
      </c>
      <c r="AR59" s="134">
        <v>47854</v>
      </c>
      <c r="AS59" s="134">
        <v>7254</v>
      </c>
      <c r="AT59" s="134">
        <v>44558</v>
      </c>
      <c r="AU59" s="134">
        <v>51812</v>
      </c>
      <c r="AV59" s="134">
        <v>-445</v>
      </c>
      <c r="AW59" s="134">
        <v>-3513</v>
      </c>
      <c r="AX59" s="134">
        <v>-3958</v>
      </c>
      <c r="AY59" s="134">
        <v>240</v>
      </c>
      <c r="AZ59" s="134">
        <v>3406</v>
      </c>
      <c r="BA59" s="134">
        <v>3646</v>
      </c>
      <c r="BB59" s="134">
        <v>123</v>
      </c>
      <c r="BC59" s="134">
        <v>4</v>
      </c>
      <c r="BD59" s="134">
        <v>1</v>
      </c>
      <c r="BE59" s="134">
        <v>1627</v>
      </c>
      <c r="BF59" s="134">
        <v>29</v>
      </c>
      <c r="BG59" s="134">
        <v>6</v>
      </c>
      <c r="BH59" s="134">
        <v>128</v>
      </c>
      <c r="BI59" s="134">
        <v>1662</v>
      </c>
      <c r="BJ59" s="134">
        <v>1790</v>
      </c>
      <c r="BK59" s="134">
        <v>-96</v>
      </c>
      <c r="BL59" s="134">
        <v>96</v>
      </c>
      <c r="BM59" s="134">
        <v>0</v>
      </c>
      <c r="BN59" s="134">
        <v>15</v>
      </c>
      <c r="BO59" s="134">
        <v>75</v>
      </c>
      <c r="BP59" s="134">
        <v>90</v>
      </c>
      <c r="BQ59" s="134">
        <v>31</v>
      </c>
      <c r="BR59" s="134">
        <v>460</v>
      </c>
      <c r="BS59" s="134">
        <v>491</v>
      </c>
      <c r="BT59" s="134">
        <v>162</v>
      </c>
      <c r="BU59" s="134">
        <v>1113</v>
      </c>
      <c r="BV59" s="134">
        <v>1275</v>
      </c>
      <c r="BW59" s="134">
        <v>7049</v>
      </c>
      <c r="BX59" s="134">
        <v>44451</v>
      </c>
      <c r="BY59" s="134">
        <v>51500</v>
      </c>
      <c r="BZ59" s="134">
        <v>6977</v>
      </c>
      <c r="CA59" s="134">
        <v>43546</v>
      </c>
      <c r="CB59" s="134">
        <v>50523</v>
      </c>
      <c r="CC59" s="134">
        <v>118181</v>
      </c>
      <c r="CD59" s="134">
        <v>107</v>
      </c>
      <c r="CE59" s="134">
        <v>879</v>
      </c>
      <c r="CF59" s="134">
        <v>70</v>
      </c>
      <c r="CG59" s="134">
        <v>706</v>
      </c>
      <c r="CH59" s="134">
        <v>776</v>
      </c>
      <c r="CI59" s="134">
        <v>253</v>
      </c>
      <c r="CJ59" s="134">
        <v>2</v>
      </c>
      <c r="CK59" s="134">
        <v>2</v>
      </c>
      <c r="CL59" s="134">
        <v>199</v>
      </c>
      <c r="CM59" s="134">
        <v>201</v>
      </c>
      <c r="CN59" s="134">
        <v>391</v>
      </c>
      <c r="CO59" s="134">
        <v>3664</v>
      </c>
      <c r="CP59" s="134">
        <v>4055</v>
      </c>
      <c r="CQ59" s="134">
        <v>0</v>
      </c>
      <c r="CR59" s="134">
        <v>0</v>
      </c>
      <c r="CS59" s="134">
        <v>0</v>
      </c>
      <c r="CT59" s="134">
        <v>6658</v>
      </c>
      <c r="CU59" s="134">
        <v>40787</v>
      </c>
      <c r="CV59" s="134">
        <v>47445</v>
      </c>
      <c r="CW59" s="134">
        <v>457</v>
      </c>
      <c r="CX59" s="134">
        <v>2135</v>
      </c>
      <c r="CY59" s="134">
        <v>2592</v>
      </c>
      <c r="CZ59" s="134">
        <v>452</v>
      </c>
      <c r="DA59" s="134">
        <v>3</v>
      </c>
      <c r="DB59" s="134">
        <v>0</v>
      </c>
      <c r="DC59" s="134">
        <v>2002</v>
      </c>
      <c r="DD59" s="134">
        <v>26</v>
      </c>
      <c r="DE59" s="134">
        <v>4</v>
      </c>
      <c r="DF59" s="134">
        <v>455</v>
      </c>
      <c r="DG59" s="134">
        <v>2032</v>
      </c>
      <c r="DH59" s="134">
        <v>2487</v>
      </c>
      <c r="DI59" s="134">
        <v>2</v>
      </c>
      <c r="DJ59" s="134">
        <v>0</v>
      </c>
      <c r="DK59" s="134">
        <v>0</v>
      </c>
      <c r="DL59" s="134">
        <v>98</v>
      </c>
      <c r="DM59" s="134">
        <v>5</v>
      </c>
      <c r="DN59" s="134">
        <v>0</v>
      </c>
      <c r="DO59" s="134">
        <v>2</v>
      </c>
      <c r="DP59" s="134">
        <v>103</v>
      </c>
      <c r="DQ59" s="134">
        <v>105</v>
      </c>
      <c r="DR59" s="134">
        <v>0</v>
      </c>
      <c r="DS59" s="134">
        <v>0</v>
      </c>
      <c r="DT59" s="135">
        <v>0</v>
      </c>
      <c r="DU59" s="116"/>
      <c r="DV59" s="136"/>
      <c r="DX59" s="136"/>
      <c r="DY59" s="136"/>
    </row>
    <row r="60" spans="1:129" s="137" customFormat="1">
      <c r="A60" s="133" t="s">
        <v>329</v>
      </c>
      <c r="B60" s="134">
        <v>222</v>
      </c>
      <c r="C60" s="134">
        <v>0</v>
      </c>
      <c r="D60" s="134">
        <v>222</v>
      </c>
      <c r="E60" s="134">
        <v>142</v>
      </c>
      <c r="F60" s="134">
        <v>0</v>
      </c>
      <c r="G60" s="134">
        <v>6</v>
      </c>
      <c r="H60" s="134">
        <v>6</v>
      </c>
      <c r="I60" s="134">
        <v>0</v>
      </c>
      <c r="J60" s="134">
        <v>62</v>
      </c>
      <c r="K60" s="134">
        <v>62</v>
      </c>
      <c r="L60" s="134">
        <v>0</v>
      </c>
      <c r="M60" s="134">
        <v>16</v>
      </c>
      <c r="N60" s="134">
        <v>16</v>
      </c>
      <c r="O60" s="134">
        <v>0</v>
      </c>
      <c r="P60" s="134">
        <v>46</v>
      </c>
      <c r="Q60" s="134">
        <v>46</v>
      </c>
      <c r="R60" s="134">
        <v>0</v>
      </c>
      <c r="S60" s="134">
        <v>0</v>
      </c>
      <c r="T60" s="134">
        <v>0</v>
      </c>
      <c r="U60" s="134">
        <v>0</v>
      </c>
      <c r="V60" s="134">
        <v>18</v>
      </c>
      <c r="W60" s="134">
        <v>18</v>
      </c>
      <c r="X60" s="134">
        <v>8</v>
      </c>
      <c r="Y60" s="134">
        <v>214</v>
      </c>
      <c r="Z60" s="134">
        <v>222</v>
      </c>
      <c r="AA60" s="134">
        <v>3</v>
      </c>
      <c r="AB60" s="134">
        <v>85</v>
      </c>
      <c r="AC60" s="134">
        <v>88</v>
      </c>
      <c r="AD60" s="134">
        <v>3</v>
      </c>
      <c r="AE60" s="134">
        <v>83</v>
      </c>
      <c r="AF60" s="134">
        <v>86</v>
      </c>
      <c r="AG60" s="134">
        <v>0</v>
      </c>
      <c r="AH60" s="134">
        <v>2</v>
      </c>
      <c r="AI60" s="134">
        <v>2</v>
      </c>
      <c r="AJ60" s="134">
        <v>0</v>
      </c>
      <c r="AK60" s="134">
        <v>0</v>
      </c>
      <c r="AL60" s="134">
        <v>0</v>
      </c>
      <c r="AM60" s="134">
        <v>5</v>
      </c>
      <c r="AN60" s="134">
        <v>129</v>
      </c>
      <c r="AO60" s="134">
        <v>134</v>
      </c>
      <c r="AP60" s="134">
        <v>237</v>
      </c>
      <c r="AQ60" s="134">
        <v>2319</v>
      </c>
      <c r="AR60" s="134">
        <v>2556</v>
      </c>
      <c r="AS60" s="134">
        <v>237</v>
      </c>
      <c r="AT60" s="134">
        <v>2319</v>
      </c>
      <c r="AU60" s="134">
        <v>2556</v>
      </c>
      <c r="AV60" s="134">
        <v>0</v>
      </c>
      <c r="AW60" s="134">
        <v>0</v>
      </c>
      <c r="AX60" s="134">
        <v>0</v>
      </c>
      <c r="AY60" s="134">
        <v>8</v>
      </c>
      <c r="AZ60" s="134">
        <v>222</v>
      </c>
      <c r="BA60" s="134">
        <v>230</v>
      </c>
      <c r="BB60" s="134">
        <v>11</v>
      </c>
      <c r="BC60" s="134">
        <v>0</v>
      </c>
      <c r="BD60" s="134">
        <v>0</v>
      </c>
      <c r="BE60" s="134">
        <v>131</v>
      </c>
      <c r="BF60" s="134">
        <v>0</v>
      </c>
      <c r="BG60" s="134">
        <v>0</v>
      </c>
      <c r="BH60" s="134">
        <v>11</v>
      </c>
      <c r="BI60" s="134">
        <v>131</v>
      </c>
      <c r="BJ60" s="134">
        <v>142</v>
      </c>
      <c r="BK60" s="134">
        <v>-12</v>
      </c>
      <c r="BL60" s="134">
        <v>12</v>
      </c>
      <c r="BM60" s="134">
        <v>0</v>
      </c>
      <c r="BN60" s="134">
        <v>4</v>
      </c>
      <c r="BO60" s="134">
        <v>8</v>
      </c>
      <c r="BP60" s="134">
        <v>12</v>
      </c>
      <c r="BQ60" s="134">
        <v>1</v>
      </c>
      <c r="BR60" s="134">
        <v>40</v>
      </c>
      <c r="BS60" s="134">
        <v>41</v>
      </c>
      <c r="BT60" s="134">
        <v>4</v>
      </c>
      <c r="BU60" s="134">
        <v>31</v>
      </c>
      <c r="BV60" s="134">
        <v>35</v>
      </c>
      <c r="BW60" s="134">
        <v>245</v>
      </c>
      <c r="BX60" s="134">
        <v>2541</v>
      </c>
      <c r="BY60" s="134">
        <v>2786</v>
      </c>
      <c r="BZ60" s="134">
        <v>245</v>
      </c>
      <c r="CA60" s="134">
        <v>2537</v>
      </c>
      <c r="CB60" s="134">
        <v>2782</v>
      </c>
      <c r="CC60" s="134">
        <v>4873</v>
      </c>
      <c r="CD60" s="134">
        <v>1</v>
      </c>
      <c r="CE60" s="134">
        <v>2</v>
      </c>
      <c r="CF60" s="134">
        <v>0</v>
      </c>
      <c r="CG60" s="134">
        <v>2</v>
      </c>
      <c r="CH60" s="134">
        <v>2</v>
      </c>
      <c r="CI60" s="134">
        <v>3</v>
      </c>
      <c r="CJ60" s="134">
        <v>0</v>
      </c>
      <c r="CK60" s="134">
        <v>0</v>
      </c>
      <c r="CL60" s="134">
        <v>2</v>
      </c>
      <c r="CM60" s="134">
        <v>2</v>
      </c>
      <c r="CN60" s="134">
        <v>12</v>
      </c>
      <c r="CO60" s="134">
        <v>238</v>
      </c>
      <c r="CP60" s="134">
        <v>250</v>
      </c>
      <c r="CQ60" s="134">
        <v>11</v>
      </c>
      <c r="CR60" s="134">
        <v>188</v>
      </c>
      <c r="CS60" s="134">
        <v>199</v>
      </c>
      <c r="CT60" s="134">
        <v>233</v>
      </c>
      <c r="CU60" s="134">
        <v>2303</v>
      </c>
      <c r="CV60" s="134">
        <v>2536</v>
      </c>
      <c r="CW60" s="134">
        <v>9</v>
      </c>
      <c r="CX60" s="134">
        <v>77</v>
      </c>
      <c r="CY60" s="134">
        <v>86</v>
      </c>
      <c r="CZ60" s="134">
        <v>9</v>
      </c>
      <c r="DA60" s="134">
        <v>0</v>
      </c>
      <c r="DB60" s="134">
        <v>0</v>
      </c>
      <c r="DC60" s="134">
        <v>76</v>
      </c>
      <c r="DD60" s="134">
        <v>0</v>
      </c>
      <c r="DE60" s="134">
        <v>0</v>
      </c>
      <c r="DF60" s="134">
        <v>9</v>
      </c>
      <c r="DG60" s="134">
        <v>76</v>
      </c>
      <c r="DH60" s="134">
        <v>85</v>
      </c>
      <c r="DI60" s="134">
        <v>0</v>
      </c>
      <c r="DJ60" s="134">
        <v>0</v>
      </c>
      <c r="DK60" s="134">
        <v>0</v>
      </c>
      <c r="DL60" s="134">
        <v>1</v>
      </c>
      <c r="DM60" s="134">
        <v>0</v>
      </c>
      <c r="DN60" s="134">
        <v>0</v>
      </c>
      <c r="DO60" s="134">
        <v>0</v>
      </c>
      <c r="DP60" s="134">
        <v>1</v>
      </c>
      <c r="DQ60" s="134">
        <v>1</v>
      </c>
      <c r="DR60" s="134">
        <v>0</v>
      </c>
      <c r="DS60" s="134">
        <v>0</v>
      </c>
      <c r="DT60" s="135">
        <v>0</v>
      </c>
      <c r="DU60" s="116"/>
      <c r="DV60" s="136"/>
      <c r="DX60" s="136"/>
      <c r="DY60" s="136"/>
    </row>
    <row r="61" spans="1:129" s="137" customFormat="1">
      <c r="A61" s="133" t="s">
        <v>330</v>
      </c>
      <c r="B61" s="134">
        <v>2719</v>
      </c>
      <c r="C61" s="134">
        <v>380</v>
      </c>
      <c r="D61" s="134">
        <v>1887</v>
      </c>
      <c r="E61" s="134">
        <v>1240</v>
      </c>
      <c r="F61" s="134">
        <v>3</v>
      </c>
      <c r="G61" s="134">
        <v>17</v>
      </c>
      <c r="H61" s="134">
        <v>20</v>
      </c>
      <c r="I61" s="134">
        <v>1</v>
      </c>
      <c r="J61" s="134">
        <v>562</v>
      </c>
      <c r="K61" s="134">
        <v>563</v>
      </c>
      <c r="L61" s="134">
        <v>0</v>
      </c>
      <c r="M61" s="134">
        <v>237</v>
      </c>
      <c r="N61" s="134">
        <v>237</v>
      </c>
      <c r="O61" s="134">
        <v>1</v>
      </c>
      <c r="P61" s="134">
        <v>325</v>
      </c>
      <c r="Q61" s="134">
        <v>326</v>
      </c>
      <c r="R61" s="134">
        <v>0</v>
      </c>
      <c r="S61" s="134">
        <v>50</v>
      </c>
      <c r="T61" s="134">
        <v>50</v>
      </c>
      <c r="U61" s="134">
        <v>0</v>
      </c>
      <c r="V61" s="134">
        <v>84</v>
      </c>
      <c r="W61" s="134">
        <v>84</v>
      </c>
      <c r="X61" s="134">
        <v>28</v>
      </c>
      <c r="Y61" s="134">
        <v>1565</v>
      </c>
      <c r="Z61" s="134">
        <v>1593</v>
      </c>
      <c r="AA61" s="134">
        <v>17</v>
      </c>
      <c r="AB61" s="134">
        <v>853</v>
      </c>
      <c r="AC61" s="134">
        <v>870</v>
      </c>
      <c r="AD61" s="134">
        <v>16</v>
      </c>
      <c r="AE61" s="134">
        <v>822</v>
      </c>
      <c r="AF61" s="134">
        <v>838</v>
      </c>
      <c r="AG61" s="134">
        <v>1</v>
      </c>
      <c r="AH61" s="134">
        <v>13</v>
      </c>
      <c r="AI61" s="134">
        <v>14</v>
      </c>
      <c r="AJ61" s="134">
        <v>0</v>
      </c>
      <c r="AK61" s="134">
        <v>18</v>
      </c>
      <c r="AL61" s="134">
        <v>18</v>
      </c>
      <c r="AM61" s="134">
        <v>11</v>
      </c>
      <c r="AN61" s="134">
        <v>712</v>
      </c>
      <c r="AO61" s="134">
        <v>723</v>
      </c>
      <c r="AP61" s="134">
        <v>2538</v>
      </c>
      <c r="AQ61" s="134">
        <v>29746</v>
      </c>
      <c r="AR61" s="134">
        <v>32284</v>
      </c>
      <c r="AS61" s="134">
        <v>2521</v>
      </c>
      <c r="AT61" s="134">
        <v>29347</v>
      </c>
      <c r="AU61" s="134">
        <v>31868</v>
      </c>
      <c r="AV61" s="134">
        <v>17</v>
      </c>
      <c r="AW61" s="134">
        <v>399</v>
      </c>
      <c r="AX61" s="134">
        <v>416</v>
      </c>
      <c r="AY61" s="134">
        <v>98</v>
      </c>
      <c r="AZ61" s="134">
        <v>2485</v>
      </c>
      <c r="BA61" s="134">
        <v>2583</v>
      </c>
      <c r="BB61" s="134">
        <v>45</v>
      </c>
      <c r="BC61" s="134">
        <v>2</v>
      </c>
      <c r="BD61" s="134">
        <v>0</v>
      </c>
      <c r="BE61" s="134">
        <v>1168</v>
      </c>
      <c r="BF61" s="134">
        <v>17</v>
      </c>
      <c r="BG61" s="134">
        <v>8</v>
      </c>
      <c r="BH61" s="134">
        <v>47</v>
      </c>
      <c r="BI61" s="134">
        <v>1193</v>
      </c>
      <c r="BJ61" s="134">
        <v>1240</v>
      </c>
      <c r="BK61" s="134">
        <v>-27</v>
      </c>
      <c r="BL61" s="134">
        <v>27</v>
      </c>
      <c r="BM61" s="134">
        <v>0</v>
      </c>
      <c r="BN61" s="134">
        <v>3</v>
      </c>
      <c r="BO61" s="134">
        <v>30</v>
      </c>
      <c r="BP61" s="134">
        <v>33</v>
      </c>
      <c r="BQ61" s="134">
        <v>17</v>
      </c>
      <c r="BR61" s="134">
        <v>360</v>
      </c>
      <c r="BS61" s="134">
        <v>377</v>
      </c>
      <c r="BT61" s="134">
        <v>58</v>
      </c>
      <c r="BU61" s="134">
        <v>875</v>
      </c>
      <c r="BV61" s="134">
        <v>933</v>
      </c>
      <c r="BW61" s="134">
        <v>2636</v>
      </c>
      <c r="BX61" s="134">
        <v>32231</v>
      </c>
      <c r="BY61" s="134">
        <v>34867</v>
      </c>
      <c r="BZ61" s="134">
        <v>2617</v>
      </c>
      <c r="CA61" s="134">
        <v>31693</v>
      </c>
      <c r="CB61" s="134">
        <v>34310</v>
      </c>
      <c r="CC61" s="134">
        <v>70091</v>
      </c>
      <c r="CD61" s="134">
        <v>50</v>
      </c>
      <c r="CE61" s="134">
        <v>583</v>
      </c>
      <c r="CF61" s="134">
        <v>19</v>
      </c>
      <c r="CG61" s="134">
        <v>317</v>
      </c>
      <c r="CH61" s="134">
        <v>336</v>
      </c>
      <c r="CI61" s="134">
        <v>278</v>
      </c>
      <c r="CJ61" s="134">
        <v>0</v>
      </c>
      <c r="CK61" s="134">
        <v>0</v>
      </c>
      <c r="CL61" s="134">
        <v>221</v>
      </c>
      <c r="CM61" s="134">
        <v>221</v>
      </c>
      <c r="CN61" s="134">
        <v>135</v>
      </c>
      <c r="CO61" s="134">
        <v>2886</v>
      </c>
      <c r="CP61" s="134">
        <v>3021</v>
      </c>
      <c r="CQ61" s="134">
        <v>0</v>
      </c>
      <c r="CR61" s="134">
        <v>0</v>
      </c>
      <c r="CS61" s="134">
        <v>0</v>
      </c>
      <c r="CT61" s="134">
        <v>2501</v>
      </c>
      <c r="CU61" s="134">
        <v>29345</v>
      </c>
      <c r="CV61" s="134">
        <v>31846</v>
      </c>
      <c r="CW61" s="134">
        <v>198</v>
      </c>
      <c r="CX61" s="134">
        <v>1448</v>
      </c>
      <c r="CY61" s="134">
        <v>1646</v>
      </c>
      <c r="CZ61" s="134">
        <v>195</v>
      </c>
      <c r="DA61" s="134">
        <v>0</v>
      </c>
      <c r="DB61" s="134">
        <v>0</v>
      </c>
      <c r="DC61" s="134">
        <v>1350</v>
      </c>
      <c r="DD61" s="134">
        <v>17</v>
      </c>
      <c r="DE61" s="134">
        <v>13</v>
      </c>
      <c r="DF61" s="134">
        <v>195</v>
      </c>
      <c r="DG61" s="134">
        <v>1380</v>
      </c>
      <c r="DH61" s="134">
        <v>1575</v>
      </c>
      <c r="DI61" s="134">
        <v>3</v>
      </c>
      <c r="DJ61" s="134">
        <v>0</v>
      </c>
      <c r="DK61" s="134">
        <v>0</v>
      </c>
      <c r="DL61" s="134">
        <v>66</v>
      </c>
      <c r="DM61" s="134">
        <v>2</v>
      </c>
      <c r="DN61" s="134">
        <v>0</v>
      </c>
      <c r="DO61" s="134">
        <v>3</v>
      </c>
      <c r="DP61" s="134">
        <v>68</v>
      </c>
      <c r="DQ61" s="134">
        <v>71</v>
      </c>
      <c r="DR61" s="134">
        <v>0</v>
      </c>
      <c r="DS61" s="134">
        <v>0</v>
      </c>
      <c r="DT61" s="135">
        <v>0</v>
      </c>
      <c r="DU61" s="116"/>
      <c r="DV61" s="136"/>
      <c r="DX61" s="136"/>
      <c r="DY61" s="136"/>
    </row>
    <row r="62" spans="1:129" s="137" customFormat="1">
      <c r="A62" s="133" t="s">
        <v>331</v>
      </c>
      <c r="B62" s="134">
        <v>1238</v>
      </c>
      <c r="C62" s="134">
        <v>431</v>
      </c>
      <c r="D62" s="134">
        <v>787</v>
      </c>
      <c r="E62" s="134">
        <v>468</v>
      </c>
      <c r="F62" s="134">
        <v>0</v>
      </c>
      <c r="G62" s="134">
        <v>36</v>
      </c>
      <c r="H62" s="134">
        <v>36</v>
      </c>
      <c r="I62" s="134">
        <v>0</v>
      </c>
      <c r="J62" s="134">
        <v>274</v>
      </c>
      <c r="K62" s="134">
        <v>274</v>
      </c>
      <c r="L62" s="134">
        <v>0</v>
      </c>
      <c r="M62" s="134">
        <v>60</v>
      </c>
      <c r="N62" s="134">
        <v>60</v>
      </c>
      <c r="O62" s="134">
        <v>0</v>
      </c>
      <c r="P62" s="134">
        <v>214</v>
      </c>
      <c r="Q62" s="134">
        <v>214</v>
      </c>
      <c r="R62" s="134">
        <v>0</v>
      </c>
      <c r="S62" s="134">
        <v>34</v>
      </c>
      <c r="T62" s="134">
        <v>34</v>
      </c>
      <c r="U62" s="134">
        <v>0</v>
      </c>
      <c r="V62" s="134">
        <v>45</v>
      </c>
      <c r="W62" s="134">
        <v>45</v>
      </c>
      <c r="X62" s="134">
        <v>7</v>
      </c>
      <c r="Y62" s="134">
        <v>258</v>
      </c>
      <c r="Z62" s="134">
        <v>265</v>
      </c>
      <c r="AA62" s="134">
        <v>7</v>
      </c>
      <c r="AB62" s="134">
        <v>258</v>
      </c>
      <c r="AC62" s="134">
        <v>265</v>
      </c>
      <c r="AD62" s="134">
        <v>7</v>
      </c>
      <c r="AE62" s="134">
        <v>244</v>
      </c>
      <c r="AF62" s="134">
        <v>251</v>
      </c>
      <c r="AG62" s="134">
        <v>0</v>
      </c>
      <c r="AH62" s="134">
        <v>10</v>
      </c>
      <c r="AI62" s="134">
        <v>10</v>
      </c>
      <c r="AJ62" s="134">
        <v>0</v>
      </c>
      <c r="AK62" s="134">
        <v>4</v>
      </c>
      <c r="AL62" s="134">
        <v>4</v>
      </c>
      <c r="AM62" s="134">
        <v>0</v>
      </c>
      <c r="AN62" s="134">
        <v>0</v>
      </c>
      <c r="AO62" s="134">
        <v>0</v>
      </c>
      <c r="AP62" s="134">
        <v>761</v>
      </c>
      <c r="AQ62" s="134">
        <v>8058</v>
      </c>
      <c r="AR62" s="134">
        <v>8819</v>
      </c>
      <c r="AS62" s="134">
        <v>758</v>
      </c>
      <c r="AT62" s="134">
        <v>8052</v>
      </c>
      <c r="AU62" s="134">
        <v>8810</v>
      </c>
      <c r="AV62" s="134">
        <v>3</v>
      </c>
      <c r="AW62" s="134">
        <v>6</v>
      </c>
      <c r="AX62" s="134">
        <v>9</v>
      </c>
      <c r="AY62" s="134">
        <v>40</v>
      </c>
      <c r="AZ62" s="134">
        <v>839</v>
      </c>
      <c r="BA62" s="134">
        <v>879</v>
      </c>
      <c r="BB62" s="134">
        <v>16</v>
      </c>
      <c r="BC62" s="134">
        <v>2</v>
      </c>
      <c r="BD62" s="134">
        <v>0</v>
      </c>
      <c r="BE62" s="134">
        <v>444</v>
      </c>
      <c r="BF62" s="134">
        <v>3</v>
      </c>
      <c r="BG62" s="134">
        <v>3</v>
      </c>
      <c r="BH62" s="134">
        <v>18</v>
      </c>
      <c r="BI62" s="134">
        <v>450</v>
      </c>
      <c r="BJ62" s="134">
        <v>468</v>
      </c>
      <c r="BK62" s="134">
        <v>-15</v>
      </c>
      <c r="BL62" s="134">
        <v>15</v>
      </c>
      <c r="BM62" s="134">
        <v>0</v>
      </c>
      <c r="BN62" s="134">
        <v>2</v>
      </c>
      <c r="BO62" s="134">
        <v>26</v>
      </c>
      <c r="BP62" s="134">
        <v>28</v>
      </c>
      <c r="BQ62" s="134">
        <v>5</v>
      </c>
      <c r="BR62" s="134">
        <v>67</v>
      </c>
      <c r="BS62" s="134">
        <v>72</v>
      </c>
      <c r="BT62" s="134">
        <v>30</v>
      </c>
      <c r="BU62" s="134">
        <v>281</v>
      </c>
      <c r="BV62" s="134">
        <v>311</v>
      </c>
      <c r="BW62" s="134">
        <v>801</v>
      </c>
      <c r="BX62" s="134">
        <v>8897</v>
      </c>
      <c r="BY62" s="134">
        <v>9698</v>
      </c>
      <c r="BZ62" s="134">
        <v>751</v>
      </c>
      <c r="CA62" s="134">
        <v>8702</v>
      </c>
      <c r="CB62" s="134">
        <v>9453</v>
      </c>
      <c r="CC62" s="134">
        <v>18086</v>
      </c>
      <c r="CD62" s="134">
        <v>11</v>
      </c>
      <c r="CE62" s="134">
        <v>299</v>
      </c>
      <c r="CF62" s="134">
        <v>50</v>
      </c>
      <c r="CG62" s="134">
        <v>143</v>
      </c>
      <c r="CH62" s="134">
        <v>193</v>
      </c>
      <c r="CI62" s="134">
        <v>76</v>
      </c>
      <c r="CJ62" s="134">
        <v>0</v>
      </c>
      <c r="CK62" s="134">
        <v>0</v>
      </c>
      <c r="CL62" s="134">
        <v>52</v>
      </c>
      <c r="CM62" s="134">
        <v>52</v>
      </c>
      <c r="CN62" s="134">
        <v>50</v>
      </c>
      <c r="CO62" s="134">
        <v>903</v>
      </c>
      <c r="CP62" s="134">
        <v>953</v>
      </c>
      <c r="CQ62" s="134">
        <v>0</v>
      </c>
      <c r="CR62" s="134">
        <v>0</v>
      </c>
      <c r="CS62" s="134">
        <v>0</v>
      </c>
      <c r="CT62" s="134">
        <v>751</v>
      </c>
      <c r="CU62" s="134">
        <v>7994</v>
      </c>
      <c r="CV62" s="134">
        <v>8745</v>
      </c>
      <c r="CW62" s="134">
        <v>59</v>
      </c>
      <c r="CX62" s="134">
        <v>463</v>
      </c>
      <c r="CY62" s="134">
        <v>522</v>
      </c>
      <c r="CZ62" s="134">
        <v>51</v>
      </c>
      <c r="DA62" s="134">
        <v>5</v>
      </c>
      <c r="DB62" s="134">
        <v>0</v>
      </c>
      <c r="DC62" s="134">
        <v>365</v>
      </c>
      <c r="DD62" s="134">
        <v>4</v>
      </c>
      <c r="DE62" s="134">
        <v>0</v>
      </c>
      <c r="DF62" s="134">
        <v>56</v>
      </c>
      <c r="DG62" s="134">
        <v>369</v>
      </c>
      <c r="DH62" s="134">
        <v>425</v>
      </c>
      <c r="DI62" s="134">
        <v>3</v>
      </c>
      <c r="DJ62" s="134">
        <v>0</v>
      </c>
      <c r="DK62" s="134">
        <v>0</v>
      </c>
      <c r="DL62" s="134">
        <v>89</v>
      </c>
      <c r="DM62" s="134">
        <v>5</v>
      </c>
      <c r="DN62" s="134">
        <v>0</v>
      </c>
      <c r="DO62" s="134">
        <v>3</v>
      </c>
      <c r="DP62" s="134">
        <v>94</v>
      </c>
      <c r="DQ62" s="134">
        <v>97</v>
      </c>
      <c r="DR62" s="134">
        <v>0</v>
      </c>
      <c r="DS62" s="134">
        <v>0</v>
      </c>
      <c r="DT62" s="135">
        <v>0</v>
      </c>
      <c r="DU62" s="116"/>
      <c r="DV62" s="136"/>
      <c r="DX62" s="136"/>
      <c r="DY62" s="136"/>
    </row>
    <row r="63" spans="1:129" s="137" customFormat="1" ht="18" customHeight="1" thickBot="1">
      <c r="A63" s="138" t="s">
        <v>332</v>
      </c>
      <c r="B63" s="139">
        <v>432</v>
      </c>
      <c r="C63" s="139">
        <v>74</v>
      </c>
      <c r="D63" s="139">
        <v>471</v>
      </c>
      <c r="E63" s="139">
        <v>296</v>
      </c>
      <c r="F63" s="139">
        <v>0</v>
      </c>
      <c r="G63" s="139">
        <v>4</v>
      </c>
      <c r="H63" s="139">
        <v>4</v>
      </c>
      <c r="I63" s="139">
        <v>1</v>
      </c>
      <c r="J63" s="139">
        <v>154</v>
      </c>
      <c r="K63" s="139">
        <v>155</v>
      </c>
      <c r="L63" s="139">
        <v>1</v>
      </c>
      <c r="M63" s="139">
        <v>46</v>
      </c>
      <c r="N63" s="139">
        <v>47</v>
      </c>
      <c r="O63" s="139">
        <v>0</v>
      </c>
      <c r="P63" s="139">
        <v>108</v>
      </c>
      <c r="Q63" s="139">
        <v>108</v>
      </c>
      <c r="R63" s="139">
        <v>0</v>
      </c>
      <c r="S63" s="139">
        <v>0</v>
      </c>
      <c r="T63" s="139">
        <v>0</v>
      </c>
      <c r="U63" s="139">
        <v>0</v>
      </c>
      <c r="V63" s="139">
        <v>20</v>
      </c>
      <c r="W63" s="139">
        <v>20</v>
      </c>
      <c r="X63" s="139">
        <v>10</v>
      </c>
      <c r="Y63" s="139">
        <v>461</v>
      </c>
      <c r="Z63" s="139">
        <v>471</v>
      </c>
      <c r="AA63" s="139">
        <v>4</v>
      </c>
      <c r="AB63" s="139">
        <v>221</v>
      </c>
      <c r="AC63" s="139">
        <v>225</v>
      </c>
      <c r="AD63" s="139">
        <v>3</v>
      </c>
      <c r="AE63" s="139">
        <v>218</v>
      </c>
      <c r="AF63" s="139">
        <v>221</v>
      </c>
      <c r="AG63" s="139">
        <v>0</v>
      </c>
      <c r="AH63" s="139">
        <v>3</v>
      </c>
      <c r="AI63" s="139">
        <v>3</v>
      </c>
      <c r="AJ63" s="139">
        <v>1</v>
      </c>
      <c r="AK63" s="139">
        <v>0</v>
      </c>
      <c r="AL63" s="139">
        <v>1</v>
      </c>
      <c r="AM63" s="139">
        <v>6</v>
      </c>
      <c r="AN63" s="139">
        <v>240</v>
      </c>
      <c r="AO63" s="139">
        <v>246</v>
      </c>
      <c r="AP63" s="139">
        <v>747</v>
      </c>
      <c r="AQ63" s="139">
        <v>4874</v>
      </c>
      <c r="AR63" s="139">
        <v>5621</v>
      </c>
      <c r="AS63" s="139">
        <v>747</v>
      </c>
      <c r="AT63" s="139">
        <v>4874</v>
      </c>
      <c r="AU63" s="139">
        <v>5621</v>
      </c>
      <c r="AV63" s="139">
        <v>0</v>
      </c>
      <c r="AW63" s="139">
        <v>0</v>
      </c>
      <c r="AX63" s="139">
        <v>0</v>
      </c>
      <c r="AY63" s="139">
        <v>37</v>
      </c>
      <c r="AZ63" s="139">
        <v>460</v>
      </c>
      <c r="BA63" s="139">
        <v>497</v>
      </c>
      <c r="BB63" s="139">
        <v>10</v>
      </c>
      <c r="BC63" s="139">
        <v>0</v>
      </c>
      <c r="BD63" s="139">
        <v>0</v>
      </c>
      <c r="BE63" s="139">
        <v>286</v>
      </c>
      <c r="BF63" s="139">
        <v>0</v>
      </c>
      <c r="BG63" s="139">
        <v>0</v>
      </c>
      <c r="BH63" s="139">
        <v>10</v>
      </c>
      <c r="BI63" s="139">
        <v>286</v>
      </c>
      <c r="BJ63" s="139">
        <v>296</v>
      </c>
      <c r="BK63" s="139">
        <v>0</v>
      </c>
      <c r="BL63" s="139">
        <v>0</v>
      </c>
      <c r="BM63" s="139">
        <v>0</v>
      </c>
      <c r="BN63" s="139">
        <v>7</v>
      </c>
      <c r="BO63" s="139">
        <v>30</v>
      </c>
      <c r="BP63" s="139">
        <v>37</v>
      </c>
      <c r="BQ63" s="139">
        <v>2</v>
      </c>
      <c r="BR63" s="139">
        <v>63</v>
      </c>
      <c r="BS63" s="139">
        <v>65</v>
      </c>
      <c r="BT63" s="139">
        <v>18</v>
      </c>
      <c r="BU63" s="139">
        <v>81</v>
      </c>
      <c r="BV63" s="139">
        <v>99</v>
      </c>
      <c r="BW63" s="139">
        <v>784</v>
      </c>
      <c r="BX63" s="139">
        <v>5334</v>
      </c>
      <c r="BY63" s="139">
        <v>6118</v>
      </c>
      <c r="BZ63" s="139">
        <v>777</v>
      </c>
      <c r="CA63" s="139">
        <v>5304</v>
      </c>
      <c r="CB63" s="139">
        <v>6081</v>
      </c>
      <c r="CC63" s="139">
        <v>13142</v>
      </c>
      <c r="CD63" s="139">
        <v>2</v>
      </c>
      <c r="CE63" s="139">
        <v>43</v>
      </c>
      <c r="CF63" s="139">
        <v>7</v>
      </c>
      <c r="CG63" s="139">
        <v>23</v>
      </c>
      <c r="CH63" s="139">
        <v>30</v>
      </c>
      <c r="CI63" s="139">
        <v>7</v>
      </c>
      <c r="CJ63" s="139">
        <v>0</v>
      </c>
      <c r="CK63" s="139">
        <v>0</v>
      </c>
      <c r="CL63" s="139">
        <v>7</v>
      </c>
      <c r="CM63" s="139">
        <v>7</v>
      </c>
      <c r="CN63" s="139">
        <v>44</v>
      </c>
      <c r="CO63" s="139">
        <v>480</v>
      </c>
      <c r="CP63" s="139">
        <v>524</v>
      </c>
      <c r="CQ63" s="139">
        <v>0</v>
      </c>
      <c r="CR63" s="139">
        <v>21</v>
      </c>
      <c r="CS63" s="139">
        <v>21</v>
      </c>
      <c r="CT63" s="139">
        <v>740</v>
      </c>
      <c r="CU63" s="139">
        <v>4854</v>
      </c>
      <c r="CV63" s="139">
        <v>5594</v>
      </c>
      <c r="CW63" s="139">
        <v>56</v>
      </c>
      <c r="CX63" s="139">
        <v>160</v>
      </c>
      <c r="CY63" s="139">
        <v>216</v>
      </c>
      <c r="CZ63" s="139">
        <v>56</v>
      </c>
      <c r="DA63" s="139">
        <v>0</v>
      </c>
      <c r="DB63" s="139">
        <v>0</v>
      </c>
      <c r="DC63" s="139">
        <v>154</v>
      </c>
      <c r="DD63" s="139">
        <v>3</v>
      </c>
      <c r="DE63" s="139">
        <v>0</v>
      </c>
      <c r="DF63" s="139">
        <v>56</v>
      </c>
      <c r="DG63" s="139">
        <v>157</v>
      </c>
      <c r="DH63" s="139">
        <v>213</v>
      </c>
      <c r="DI63" s="139">
        <v>0</v>
      </c>
      <c r="DJ63" s="139">
        <v>0</v>
      </c>
      <c r="DK63" s="139">
        <v>0</v>
      </c>
      <c r="DL63" s="139">
        <v>3</v>
      </c>
      <c r="DM63" s="139">
        <v>0</v>
      </c>
      <c r="DN63" s="139">
        <v>0</v>
      </c>
      <c r="DO63" s="139">
        <v>0</v>
      </c>
      <c r="DP63" s="139">
        <v>3</v>
      </c>
      <c r="DQ63" s="139">
        <v>3</v>
      </c>
      <c r="DR63" s="139">
        <v>0</v>
      </c>
      <c r="DS63" s="139">
        <v>0</v>
      </c>
      <c r="DT63" s="140">
        <v>0</v>
      </c>
      <c r="DU63" s="116"/>
      <c r="DV63" s="141" t="s">
        <v>333</v>
      </c>
      <c r="DX63" s="136"/>
      <c r="DY63" s="136"/>
    </row>
    <row r="64" spans="1:129" s="137" customFormat="1" ht="15.75" thickTop="1">
      <c r="A64" s="142" t="s">
        <v>334</v>
      </c>
      <c r="B64" s="143">
        <f>SUBTOTAL(109,Sep17Data[Cell 1])</f>
        <v>151498</v>
      </c>
      <c r="C64" s="143">
        <f>SUBTOTAL(109,Sep17Data[Cell 2])</f>
        <v>49296</v>
      </c>
      <c r="D64" s="143">
        <f>SUBTOTAL(109,Sep17Data[Cell 3])</f>
        <v>148093</v>
      </c>
      <c r="E64" s="143">
        <f>SUBTOTAL(109,Sep17Data[Cell 4])</f>
        <v>90947</v>
      </c>
      <c r="F64" s="143">
        <f>SUBTOTAL(109,Sep17Data[Cell 5])</f>
        <v>134</v>
      </c>
      <c r="G64" s="143">
        <f>SUBTOTAL(109,Sep17Data[Cell 6])</f>
        <v>1653</v>
      </c>
      <c r="H64" s="143">
        <f>SUBTOTAL(109,Sep17Data[Cell 7])</f>
        <v>1787</v>
      </c>
      <c r="I64" s="143">
        <f>SUBTOTAL(109,Sep17Data[Cell 8])</f>
        <v>169</v>
      </c>
      <c r="J64" s="143">
        <f>SUBTOTAL(109,Sep17Data[Cell 9])</f>
        <v>50730</v>
      </c>
      <c r="K64" s="143">
        <f>SUBTOTAL(109,Sep17Data[Cell 10])</f>
        <v>50899</v>
      </c>
      <c r="L64" s="143">
        <f>SUBTOTAL(109,Sep17Data[Cell 11])</f>
        <v>101</v>
      </c>
      <c r="M64" s="143">
        <f>SUBTOTAL(109,Sep17Data[Cell 12])</f>
        <v>20419</v>
      </c>
      <c r="N64" s="143">
        <f>SUBTOTAL(109,Sep17Data[Cell 13])</f>
        <v>20520</v>
      </c>
      <c r="O64" s="143">
        <f>SUBTOTAL(109,Sep17Data[Cell 14])</f>
        <v>68</v>
      </c>
      <c r="P64" s="143">
        <f>SUBTOTAL(109,Sep17Data[Cell 15])</f>
        <v>30311</v>
      </c>
      <c r="Q64" s="143">
        <f>SUBTOTAL(109,Sep17Data[Cell 16])</f>
        <v>30379</v>
      </c>
      <c r="R64" s="143">
        <f>SUBTOTAL(109,Sep17Data[Cell 17])</f>
        <v>6</v>
      </c>
      <c r="S64" s="143">
        <f>SUBTOTAL(109,Sep17Data[Cell 18])</f>
        <v>2106</v>
      </c>
      <c r="T64" s="143">
        <f>SUBTOTAL(109,Sep17Data[Cell 19])</f>
        <v>2112</v>
      </c>
      <c r="U64" s="143">
        <f>SUBTOTAL(109,Sep17Data[Cell 20])</f>
        <v>53</v>
      </c>
      <c r="V64" s="143">
        <f>SUBTOTAL(109,Sep17Data[Cell 21])</f>
        <v>6194</v>
      </c>
      <c r="W64" s="143">
        <f>SUBTOTAL(109,Sep17Data[Cell 22])</f>
        <v>6247</v>
      </c>
      <c r="X64" s="143">
        <f>SUBTOTAL(109,Sep17Data[Cell 23])</f>
        <v>4352</v>
      </c>
      <c r="Y64" s="143">
        <f>SUBTOTAL(109,Sep17Data[Cell 24])</f>
        <v>128536</v>
      </c>
      <c r="Z64" s="143">
        <f>SUBTOTAL(109,Sep17Data[Cell 25])</f>
        <v>132888</v>
      </c>
      <c r="AA64" s="143">
        <f>SUBTOTAL(109,Sep17Data[Cell 26])</f>
        <v>2630</v>
      </c>
      <c r="AB64" s="143">
        <f>SUBTOTAL(109,Sep17Data[Cell 27])</f>
        <v>50419</v>
      </c>
      <c r="AC64" s="143">
        <f>SUBTOTAL(109,Sep17Data[Cell 28])</f>
        <v>53049</v>
      </c>
      <c r="AD64" s="143">
        <f>SUBTOTAL(109,Sep17Data[Cell 29])</f>
        <v>2294</v>
      </c>
      <c r="AE64" s="143">
        <f>SUBTOTAL(109,Sep17Data[Cell 30])</f>
        <v>46957</v>
      </c>
      <c r="AF64" s="143">
        <f>SUBTOTAL(109,Sep17Data[Cell 31])</f>
        <v>49251</v>
      </c>
      <c r="AG64" s="143">
        <f>SUBTOTAL(109,Sep17Data[Cell 32])</f>
        <v>133</v>
      </c>
      <c r="AH64" s="143">
        <f>SUBTOTAL(109,Sep17Data[Cell 33])</f>
        <v>1837</v>
      </c>
      <c r="AI64" s="143">
        <f>SUBTOTAL(109,Sep17Data[Cell 34])</f>
        <v>1970</v>
      </c>
      <c r="AJ64" s="143">
        <f>SUBTOTAL(109,Sep17Data[Cell 35])</f>
        <v>203</v>
      </c>
      <c r="AK64" s="143">
        <f>SUBTOTAL(109,Sep17Data[Cell 36])</f>
        <v>1625</v>
      </c>
      <c r="AL64" s="143">
        <f>SUBTOTAL(109,Sep17Data[Cell 37])</f>
        <v>1828</v>
      </c>
      <c r="AM64" s="143">
        <f>SUBTOTAL(109,Sep17Data[Cell 38])</f>
        <v>1722</v>
      </c>
      <c r="AN64" s="143">
        <f>SUBTOTAL(109,Sep17Data[Cell 39])</f>
        <v>78117</v>
      </c>
      <c r="AO64" s="143">
        <f>SUBTOTAL(109,Sep17Data[Cell 40])</f>
        <v>79839</v>
      </c>
      <c r="AP64" s="143">
        <f>SUBTOTAL(109,Sep17Data[Cell 41])</f>
        <v>224313</v>
      </c>
      <c r="AQ64" s="143">
        <f>SUBTOTAL(109,Sep17Data[Cell 42])</f>
        <v>1577383</v>
      </c>
      <c r="AR64" s="143">
        <f>SUBTOTAL(109,Sep17Data[Cell 43])</f>
        <v>1801696</v>
      </c>
      <c r="AS64" s="143">
        <f>SUBTOTAL(109,Sep17Data[Cell 44])</f>
        <v>225215</v>
      </c>
      <c r="AT64" s="143">
        <f>SUBTOTAL(109,Sep17Data[Cell 45])</f>
        <v>1588108</v>
      </c>
      <c r="AU64" s="143">
        <f>SUBTOTAL(109,Sep17Data[Cell 46])</f>
        <v>1813323</v>
      </c>
      <c r="AV64" s="143">
        <f>SUBTOTAL(109,Sep17Data[Cell 47])</f>
        <v>-902</v>
      </c>
      <c r="AW64" s="143">
        <f>SUBTOTAL(109,Sep17Data[Cell 48])</f>
        <v>-10725</v>
      </c>
      <c r="AX64" s="143">
        <f>SUBTOTAL(109,Sep17Data[Cell 49])</f>
        <v>-11627</v>
      </c>
      <c r="AY64" s="143">
        <f>SUBTOTAL(109,Sep17Data[Cell 50])</f>
        <v>9859</v>
      </c>
      <c r="AZ64" s="143">
        <f>SUBTOTAL(109,Sep17Data[Cell 51])</f>
        <v>141349</v>
      </c>
      <c r="BA64" s="143">
        <f>SUBTOTAL(109,Sep17Data[Cell 52])</f>
        <v>151208</v>
      </c>
      <c r="BB64" s="143">
        <f>SUBTOTAL(109,Sep17Data[Cell 53])</f>
        <v>5456</v>
      </c>
      <c r="BC64" s="143">
        <f>SUBTOTAL(109,Sep17Data[Cell 54])</f>
        <v>109</v>
      </c>
      <c r="BD64" s="143">
        <f>SUBTOTAL(109,Sep17Data[Cell 55])</f>
        <v>12</v>
      </c>
      <c r="BE64" s="143">
        <f>SUBTOTAL(109,Sep17Data[Cell 56])</f>
        <v>83810</v>
      </c>
      <c r="BF64" s="143">
        <f>SUBTOTAL(109,Sep17Data[Cell 57])</f>
        <v>997</v>
      </c>
      <c r="BG64" s="143">
        <f>SUBTOTAL(109,Sep17Data[Cell 58])</f>
        <v>563</v>
      </c>
      <c r="BH64" s="143">
        <f>SUBTOTAL(109,Sep17Data[Cell 59])</f>
        <v>5577</v>
      </c>
      <c r="BI64" s="143">
        <f>SUBTOTAL(109,Sep17Data[Cell 60])</f>
        <v>85370</v>
      </c>
      <c r="BJ64" s="143">
        <f>SUBTOTAL(109,Sep17Data[Cell 61])</f>
        <v>90947</v>
      </c>
      <c r="BK64" s="143">
        <f>SUBTOTAL(109,Sep17Data[Cell 62])</f>
        <v>-2854</v>
      </c>
      <c r="BL64" s="143">
        <f>SUBTOTAL(109,Sep17Data[Cell 63])</f>
        <v>2854</v>
      </c>
      <c r="BM64" s="143">
        <f>SUBTOTAL(109,Sep17Data[Cell 64])</f>
        <v>0</v>
      </c>
      <c r="BN64" s="143">
        <f>SUBTOTAL(109,Sep17Data[Cell 65])</f>
        <v>545</v>
      </c>
      <c r="BO64" s="143">
        <f>SUBTOTAL(109,Sep17Data[Cell 66])</f>
        <v>2637</v>
      </c>
      <c r="BP64" s="143">
        <f>SUBTOTAL(109,Sep17Data[Cell 67])</f>
        <v>3182</v>
      </c>
      <c r="BQ64" s="143">
        <f>SUBTOTAL(109,Sep17Data[Cell 68])</f>
        <v>950</v>
      </c>
      <c r="BR64" s="143">
        <f>SUBTOTAL(109,Sep17Data[Cell 69])</f>
        <v>12816</v>
      </c>
      <c r="BS64" s="143">
        <f>SUBTOTAL(109,Sep17Data[Cell 70])</f>
        <v>13766</v>
      </c>
      <c r="BT64" s="143">
        <f>SUBTOTAL(109,Sep17Data[Cell 71])</f>
        <v>5641</v>
      </c>
      <c r="BU64" s="143">
        <f>SUBTOTAL(109,Sep17Data[Cell 72])</f>
        <v>37672</v>
      </c>
      <c r="BV64" s="143">
        <f>SUBTOTAL(109,Sep17Data[Cell 73])</f>
        <v>43313</v>
      </c>
      <c r="BW64" s="143">
        <f>SUBTOTAL(109,Sep17Data[Cell 74])</f>
        <v>234172</v>
      </c>
      <c r="BX64" s="143">
        <f>SUBTOTAL(109,Sep17Data[Cell 75])</f>
        <v>1718732</v>
      </c>
      <c r="BY64" s="143">
        <f>SUBTOTAL(109,Sep17Data[Cell 76])</f>
        <v>1952904</v>
      </c>
      <c r="BZ64" s="143">
        <f>SUBTOTAL(109,Sep17Data[Cell 77])</f>
        <v>229475</v>
      </c>
      <c r="CA64" s="143">
        <f>SUBTOTAL(109,Sep17Data[Cell 78])</f>
        <v>1689936</v>
      </c>
      <c r="CB64" s="143">
        <f>SUBTOTAL(109,Sep17Data[Cell 79])</f>
        <v>1919411</v>
      </c>
      <c r="CC64" s="143">
        <f>SUBTOTAL(109,Sep17Data[Cell 80])</f>
        <v>3991470</v>
      </c>
      <c r="CD64" s="143">
        <f>SUBTOTAL(109,Sep17Data[Cell 81])</f>
        <v>2440</v>
      </c>
      <c r="CE64" s="143">
        <f>SUBTOTAL(109,Sep17Data[Cell 82])</f>
        <v>28782</v>
      </c>
      <c r="CF64" s="143">
        <f>SUBTOTAL(109,Sep17Data[Cell 83])</f>
        <v>4459</v>
      </c>
      <c r="CG64" s="143">
        <f>SUBTOTAL(109,Sep17Data[Cell 84])</f>
        <v>19233</v>
      </c>
      <c r="CH64" s="143">
        <f>SUBTOTAL(109,Sep17Data[Cell 85])</f>
        <v>23692</v>
      </c>
      <c r="CI64" s="143">
        <f>SUBTOTAL(109,Sep17Data[Cell 86])</f>
        <v>11848</v>
      </c>
      <c r="CJ64" s="143">
        <f>SUBTOTAL(109,Sep17Data[Cell 87])</f>
        <v>1054</v>
      </c>
      <c r="CK64" s="143">
        <f>SUBTOTAL(109,Sep17Data[Cell 88])</f>
        <v>238</v>
      </c>
      <c r="CL64" s="143">
        <f>SUBTOTAL(109,Sep17Data[Cell 89])</f>
        <v>9563</v>
      </c>
      <c r="CM64" s="143">
        <f>SUBTOTAL(109,Sep17Data[Cell 90])</f>
        <v>9801</v>
      </c>
      <c r="CN64" s="143">
        <f>SUBTOTAL(109,Sep17Data[Cell 91])</f>
        <v>12630</v>
      </c>
      <c r="CO64" s="143">
        <f>SUBTOTAL(109,Sep17Data[Cell 92])</f>
        <v>137905</v>
      </c>
      <c r="CP64" s="143">
        <f>SUBTOTAL(109,Sep17Data[Cell 93])</f>
        <v>150535</v>
      </c>
      <c r="CQ64" s="143">
        <f>SUBTOTAL(109,Sep17Data[Cell 94])</f>
        <v>52</v>
      </c>
      <c r="CR64" s="143">
        <f>SUBTOTAL(109,Sep17Data[Cell 95])</f>
        <v>840</v>
      </c>
      <c r="CS64" s="143">
        <f>SUBTOTAL(109,Sep17Data[Cell 96])</f>
        <v>892</v>
      </c>
      <c r="CT64" s="143">
        <f>SUBTOTAL(109,Sep17Data[Cell 97])</f>
        <v>221542</v>
      </c>
      <c r="CU64" s="143">
        <f>SUBTOTAL(109,Sep17Data[Cell 98])</f>
        <v>1580827</v>
      </c>
      <c r="CV64" s="143">
        <f>SUBTOTAL(109,Sep17Data[Cell 99])</f>
        <v>1802369</v>
      </c>
      <c r="CW64" s="143">
        <f>SUBTOTAL(109,Sep17Data[Cell 100])</f>
        <v>14996</v>
      </c>
      <c r="CX64" s="143">
        <f>SUBTOTAL(109,Sep17Data[Cell 101])</f>
        <v>73300</v>
      </c>
      <c r="CY64" s="143">
        <f>SUBTOTAL(109,Sep17Data[Cell 102])</f>
        <v>88296</v>
      </c>
      <c r="CZ64" s="143">
        <f>SUBTOTAL(109,Sep17Data[Cell 103])</f>
        <v>14400</v>
      </c>
      <c r="DA64" s="143">
        <f>SUBTOTAL(109,Sep17Data[Cell 104])</f>
        <v>303</v>
      </c>
      <c r="DB64" s="143">
        <f>SUBTOTAL(109,Sep17Data[Cell 105])</f>
        <v>14</v>
      </c>
      <c r="DC64" s="143">
        <f>SUBTOTAL(109,Sep17Data[Cell 106])</f>
        <v>67538</v>
      </c>
      <c r="DD64" s="143">
        <f>SUBTOTAL(109,Sep17Data[Cell 107])</f>
        <v>987</v>
      </c>
      <c r="DE64" s="143">
        <f>SUBTOTAL(109,Sep17Data[Cell 108])</f>
        <v>265</v>
      </c>
      <c r="DF64" s="143">
        <f>SUBTOTAL(109,Sep17Data[Cell 109])</f>
        <v>14717</v>
      </c>
      <c r="DG64" s="143">
        <f>SUBTOTAL(109,Sep17Data[Cell 110])</f>
        <v>68790</v>
      </c>
      <c r="DH64" s="143">
        <f>SUBTOTAL(109,Sep17Data[Cell 111])</f>
        <v>83507</v>
      </c>
      <c r="DI64" s="143">
        <f>SUBTOTAL(109,Sep17Data[Cell 112])</f>
        <v>274</v>
      </c>
      <c r="DJ64" s="143">
        <f>SUBTOTAL(109,Sep17Data[Cell 113])</f>
        <v>4</v>
      </c>
      <c r="DK64" s="143">
        <f>SUBTOTAL(109,Sep17Data[Cell 114])</f>
        <v>1</v>
      </c>
      <c r="DL64" s="143">
        <f>SUBTOTAL(109,Sep17Data[Cell 115])</f>
        <v>4368</v>
      </c>
      <c r="DM64" s="143">
        <f>SUBTOTAL(109,Sep17Data[Cell 116])</f>
        <v>114</v>
      </c>
      <c r="DN64" s="143">
        <f>SUBTOTAL(109,Sep17Data[Cell 117])</f>
        <v>28</v>
      </c>
      <c r="DO64" s="143">
        <f>SUBTOTAL(109,Sep17Data[Cell 118])</f>
        <v>279</v>
      </c>
      <c r="DP64" s="143">
        <f>SUBTOTAL(109,Sep17Data[Cell 119])</f>
        <v>4510</v>
      </c>
      <c r="DQ64" s="143">
        <f>SUBTOTAL(109,Sep17Data[Cell 120])</f>
        <v>4789</v>
      </c>
      <c r="DR64" s="143">
        <f>SUBTOTAL(109,Sep17Data[Cell 121])</f>
        <v>9</v>
      </c>
      <c r="DS64" s="143">
        <f>SUBTOTAL(109,Sep17Data[Cell 122])</f>
        <v>55</v>
      </c>
      <c r="DT64" s="143">
        <f>SUBTOTAL(109,Sep17Data[Cell 123])</f>
        <v>64</v>
      </c>
      <c r="DU64" s="116"/>
      <c r="DV64" s="144">
        <v>25400345</v>
      </c>
      <c r="DX64" s="136"/>
      <c r="DY64" s="136"/>
    </row>
  </sheetData>
  <conditionalFormatting sqref="B6:DT63">
    <cfRule type="containsBlanks" dxfId="1015" priority="1">
      <formula>LEN(TRIM(B6))=0</formula>
    </cfRule>
  </conditionalFormatting>
  <dataValidations count="123">
    <dataValidation allowBlank="1" prompt="Part D.  RECERTIFICATIONS_x000a_ Item 10. Overdue recertifications during the month_x000a_ Column C. Total" sqref="DT5"/>
    <dataValidation allowBlank="1" prompt="Part D.  RECERTIFICATIONS_x000a_ Item 10. Overdue recertifications during the month_x000a_ Column B. NACF" sqref="DS5"/>
    <dataValidation allowBlank="1" prompt="Part D.  RECERTIFICATIONS_x000a_ Item 10. Overdue recertifications during the month_x000a_ Column A. PACF" sqref="DR5"/>
    <dataValidation allowBlank="1" prompt="Part D.  RECERTIFICATIONS_x000a_ Item 9B. Determined ineligible_x000a_ Column C. Total" sqref="DQ5"/>
    <dataValidation allowBlank="1" prompt="Part D.  RECERTIFICATIONS_x000a_ Item 9B. Determined ineligible_x000a_ Column B. NACF" sqref="DP5"/>
    <dataValidation allowBlank="1" prompt="Part D.  RECERTIFICATIONS_x000a_ Item 9B. Determined ineligible_x000a_ Column A. PACF" sqref="DO5"/>
    <dataValidation allowBlank="1" prompt="Part D.  RECERTIFICATIONS_x000a_ Item 9B. Determined ineligible_x000a_ Column NACF: State" sqref="DN5"/>
    <dataValidation allowBlank="1" prompt="Part D.  RECERTIFICATIONS_x000a_ Item 9B. Determined ineligible_x000a_ Column NACF: Federal/State" sqref="DM5"/>
    <dataValidation allowBlank="1" prompt="Part D.  RECERTIFICATIONS_x000a_ Item 9B. Determined ineligible_x000a_ Column NACF: Federal" sqref="DL5"/>
    <dataValidation allowBlank="1" prompt="Part D.  RECERTIFICATIONS_x000a_ Item 9B. Determined ineligible_x000a_ Column PACF: State" sqref="DK5"/>
    <dataValidation allowBlank="1" prompt="Part D.  RECERTIFICATIONS_x000a_ Item 9B. Determined ineligible_x000a_ Column PACF: Federal/State" sqref="DJ5"/>
    <dataValidation allowBlank="1" prompt="Part D.  RECERTIFICATIONS_x000a_ Item 9B. Determined ineligible_x000a_ Column PACF: Federal" sqref="DI5"/>
    <dataValidation allowBlank="1" prompt="Part D.  RECERTIFICATIONS_x000a_ Item 9A. Determined continuing eligible_x000a_ Column C. Total" sqref="DH5"/>
    <dataValidation allowBlank="1" prompt="Part D.  RECERTIFICATIONS_x000a_ Item 9A. Determined continuing eligible_x000a_ Column B. NACF" sqref="DG5"/>
    <dataValidation allowBlank="1" prompt="Part D.  RECERTIFICATIONS_x000a_ Item 9A. Determined continuing eligible_x000a_ Column A. PACF" sqref="DF5"/>
    <dataValidation allowBlank="1" prompt="Part D.  RECERTIFICATIONS_x000a_ Item 9A. Determined continuing eligible_x000a_ Column NACF: State" sqref="DE5"/>
    <dataValidation allowBlank="1" prompt="Part D.  RECERTIFICATIONS_x000a_ Item 9A. Determined continuing eligible_x000a_ Column NACF: Federal/State" sqref="DD5"/>
    <dataValidation allowBlank="1" prompt="Part D.  RECERTIFICATIONS_x000a_ Item 9A. Determined continuing eligible_x000a_ Column NACF: Federal" sqref="DC5"/>
    <dataValidation allowBlank="1" prompt="Part D.  RECERTIFICATIONS_x000a_ Item 9A. Determined continuing eligible_x000a_ Column PACF: State" sqref="DB5"/>
    <dataValidation allowBlank="1" prompt="Part D.  RECERTIFICATIONS_x000a_ Item 9A. Determined continuing eligible_x000a_ Column PACF: Federal/State" sqref="DA5"/>
    <dataValidation allowBlank="1" prompt="Part D.  RECERTIFICATIONS_x000a_ Item 9A. Determined continuing eligible_x000a_ Column PACF: Federal" sqref="CZ5"/>
    <dataValidation allowBlank="1" prompt="Part D.  RECERTIFICATIONS_x000a_ Item 9. Recertifications disposed of during the month _x000a_ Column C. Total" sqref="CY5"/>
    <dataValidation allowBlank="1" prompt="Part D.  RECERTIFICATIONS_x000a_ Item 9. Recertifications disposed of during the month _x000a_ Column B. NACF" sqref="CX5"/>
    <dataValidation allowBlank="1" prompt="Part D.  RECERTIFICATIONS_x000a_ Item 9. Recertifications disposed of during the month _x000a_ Column A. PACF" sqref="CW5"/>
    <dataValidation allowBlank="1" prompt="Part C.  CERTIFIED CASELOAD MOVEMENT_x000a_ Item 8. Cases brought forward at the end of the month_x000a_ Column C. Total" sqref="CV5"/>
    <dataValidation allowBlank="1" prompt="Part C.  CERTIFIED CASELOAD MOVEMENT_x000a_ Item 8. Cases brought forward at the end of the month_x000a_ Column B. NACF" sqref="CU5"/>
    <dataValidation allowBlank="1" prompt="Part C.  CERTIFIED CASELOAD MOVEMENT_x000a_ Item 8. Cases brought forward at the end of the month_x000a_ Column A. PACF" sqref="CT5"/>
    <dataValidation allowBlank="1" prompt="Part C.  CERTIFIED CASELOAD MOVEMENT_x000a_ Item 7A. Households discontinued due to recipient failure to complete application process for ongoing benefits (Expedited services only)_x000a_ Column C. Total" sqref="CS5"/>
    <dataValidation allowBlank="1" prompt="Part C.  CERTIFIED CASELOAD MOVEMENT_x000a_ Item 7A. Households discontinued due to recipient failure to complete application process for ongoing benefits (Expedited services only)_x000a_ Column B. NACF" sqref="CR5"/>
    <dataValidation allowBlank="1" prompt="Part C.  CERTIFIED CASELOAD MOVEMENT_x000a_ Item 7A. Households discontinued due to recipient failure to complete application process for ongoing benefits (Expedited services only)_x000a_ Column A. PACF" sqref="CQ5"/>
    <dataValidation allowBlank="1" prompt="Part C.  CERTIFIED CASELOAD MOVEMENT_x000a_ Item 7. Cases discontinued during the month_x000a_ Column C. Total" sqref="CP5"/>
    <dataValidation allowBlank="1" prompt="Part C.  CERTIFIED CASELOAD MOVEMENT_x000a_ Item 7. Cases discontinued during the month_x000a_ Column B. NACF" sqref="CO5"/>
    <dataValidation allowBlank="1" prompt="Part C.  CERTIFIED CASELOAD MOVEMENT_x000a_ Item 7. Cases discontinued during the month_x000a_ Column A. PACF" sqref="CN5"/>
    <dataValidation allowBlank="1" prompt="Part C.  CERTIFIED CASELOAD MOVEMENT_x000a_ Item 6C. Pure state cases_x000a_ Column C. Total" sqref="CM5"/>
    <dataValidation allowBlank="1" prompt="Part C.  CERTIFIED CASELOAD MOVEMENT_x000a_ Item 6C. Pure state cases_x000a_ Column B. NACF" sqref="CL5"/>
    <dataValidation allowBlank="1" prompt="Part C.  CERTIFIED CASELOAD MOVEMENT_x000a_ Item 6C. Pure state cases_x000a_ Column A. PACF" sqref="CK5"/>
    <dataValidation allowBlank="1" prompt="Part C.  CERTIFIED CASELOAD MOVEMENT_x000a_ Item 6C. Pure state cases_x000a_ Column State Persons: Families" sqref="CJ5"/>
    <dataValidation allowBlank="1" prompt="Part C.  CERTIFIED CASELOAD MOVEMENT_x000a_ Item 6C. Pure state cases_x000a_ Column State Persons: Single" sqref="CI5"/>
    <dataValidation allowBlank="1" prompt="Part C.  CERTIFIED CASELOAD MOVEMENT_x000a_ Item 6B. Federal/State combined cases_x000a_ Column C. Total" sqref="CH5"/>
    <dataValidation allowBlank="1" prompt="Part C.  CERTIFIED CASELOAD MOVEMENT_x000a_ Item 6B. Federal/State combined cases_x000a_ Column B. NACF" sqref="CG5"/>
    <dataValidation allowBlank="1" prompt="Part C.  CERTIFIED CASELOAD MOVEMENT_x000a_ Item 6B. Federal/State combined cases_x000a_ Column A. PACF" sqref="CF5"/>
    <dataValidation allowBlank="1" prompt="Part C.  CERTIFIED CASELOAD MOVEMENT_x000a_ Item 6B. Federal/State combined cases_x000a_ Column State Persons: Families" sqref="CE5"/>
    <dataValidation allowBlank="1" prompt="Part C.  CERTIFIED CASELOAD MOVEMENT_x000a_ Item 6B. Federal/State combined cases_x000a_ Column State Persons: Single" sqref="CD5"/>
    <dataValidation allowBlank="1" prompt="Part C.  CERTIFIED CASELOAD MOVEMENT_x000a_ Item 6A.1) Federal persons in Item 6A cases plus federal persons in Item 6B cases_x000a_ Column Federal Persons" sqref="CC5"/>
    <dataValidation allowBlank="1" prompt="Part C.  CERTIFIED CASELOAD MOVEMENT_x000a_ Item 6A. Pure federal cases_x000a_ Column C. Total" sqref="CB5"/>
    <dataValidation allowBlank="1" prompt="Part C.  CERTIFIED CASELOAD MOVEMENT_x000a_ Item 6A. Pure federal cases_x000a_ Column B. NACF" sqref="CA5"/>
    <dataValidation allowBlank="1" prompt="Part C.  CERTIFIED CASELOAD MOVEMENT_x000a_ Item 6A. Pure federal cases_x000a_ Column A. PACF" sqref="BZ5"/>
    <dataValidation allowBlank="1" prompt="Part C.  CERTIFIED CASELOAD MOVEMENT_x000a_ Item 6. Total cases open during the month _x000a_ Column C. Total" sqref="BY5"/>
    <dataValidation allowBlank="1" prompt="Part C.  CERTIFIED CASELOAD MOVEMENT_x000a_ Item 6. Total cases open during the month _x000a_ Column B. NACF" sqref="BX5"/>
    <dataValidation allowBlank="1" prompt="Part C.  CERTIFIED CASELOAD MOVEMENT_x000a_ Item 6. Total cases open during the month _x000a_ Column A. PACF" sqref="BW5"/>
    <dataValidation allowBlank="1" prompt="Part C.  CERTIFIED CASELOAD MOVEMENT_x000a_ Item 5E. Other Approvals_x000a_ Column C. Total" sqref="BV5"/>
    <dataValidation allowBlank="1" prompt="Part C.  CERTIFIED CASELOAD MOVEMENT_x000a_ Item 5E. Other Approvals_x000a_ Column B. NACF" sqref="BU5"/>
    <dataValidation allowBlank="1" prompt="Part C.  CERTIFIED CASELOAD MOVEMENT_x000a_ Item 5E. Other Approvals_x000a_ Column A. PACF" sqref="BT5"/>
    <dataValidation allowBlank="1" prompt="Part C.  CERTIFIED CASELOAD MOVEMENT_x000a_ Item 5D. Cases with eligibility reinstated and benefits pro-rated during the month_x000a_ Column C. Total" sqref="BS5"/>
    <dataValidation allowBlank="1" prompt="Part C.  CERTIFIED CASELOAD MOVEMENT_x000a_ Item 5D. Cases with eligibility reinstated and benefits pro-rated during the month_x000a_ Column B. NACF" sqref="BR5"/>
    <dataValidation allowBlank="1" prompt="Part C.  CERTIFIED CASELOAD MOVEMENT_x000a_ Item 5D. Cases with eligibility reinstated and benefits pro-rated during the month_x000a_ Column A. PACF" sqref="BQ5"/>
    <dataValidation allowBlank="1" prompt="Part C.  CERTIFIED CASELOAD MOVEMENT_x000a_ Item 5C. Inter-County Transfers_x000a_ Column C. Total" sqref="BP5"/>
    <dataValidation allowBlank="1" prompt="Part C.  CERTIFIED CASELOAD MOVEMENT_x000a_ Item 5C. Inter-County Transfers_x000a_ Column B. NACF" sqref="BO5"/>
    <dataValidation allowBlank="1" prompt="Part C.  CERTIFIED CASELOAD MOVEMENT_x000a_ Item 5C. Inter-County Transfers_x000a_ Column A. PACF" sqref="BN5"/>
    <dataValidation allowBlank="1" prompt="Part C.  CERTIFIED CASELOAD MOVEMENT_x000a_ Item 5B. Change in asssistance status from PACF or NACF_x000a_ Column C. Total" sqref="BM5"/>
    <dataValidation allowBlank="1" prompt="Part C.  CERTIFIED CASELOAD MOVEMENT_x000a_ Item 5B. Change in asssistance status from PACF or NACF_x000a_ Column B. NACF" sqref="BL5"/>
    <dataValidation allowBlank="1" prompt="Part C.  CERTIFIED CASELOAD MOVEMENT_x000a_ Item 5B. Change in asssistance status from PACF or NACF_x000a_ Column A. PACF" sqref="BK5"/>
    <dataValidation allowBlank="1" prompt="Part C.  CERTIFIED CASELOAD MOVEMENT_x000a_ Item 5A. Applications Approved_x000a_ Column C. Total" sqref="BJ5"/>
    <dataValidation allowBlank="1" prompt="Part C.  CERTIFIED CASELOAD MOVEMENT_x000a_ Item 5A. Applications Approved_x000a_ Column B. NACF" sqref="BI5"/>
    <dataValidation allowBlank="1" prompt="Part C.  CERTIFIED CASELOAD MOVEMENT_x000a_ Item 5A. Applications Approved_x000a_ Column A. PACF" sqref="BH5"/>
    <dataValidation allowBlank="1" prompt="Part C.  CERTIFIED CASELOAD MOVEMENT_x000a_ Item 5A. Applications Approved_x000a_ Column NACF (State)" sqref="BG5"/>
    <dataValidation allowBlank="1" prompt="Part C.  CERTIFIED CASELOAD MOVEMENT_x000a_ Item 5A. Applications Approved_x000a_ Column NACF (Federal/State)" sqref="BF5"/>
    <dataValidation allowBlank="1" prompt="Part C.  CERTIFIED CASELOAD MOVEMENT_x000a_ Item 5A. Applications Approved_x000a_ Column NACF (Federal)" sqref="BE5"/>
    <dataValidation allowBlank="1" prompt="Part C.  CERTIFIED CASELOAD MOVEMENT_x000a_ Item 5A. Applications Approved_x000a_ Column PACF (State)" sqref="BD5"/>
    <dataValidation allowBlank="1" prompt="Part C.  CERTIFIED CASELOAD MOVEMENT_x000a_ Item 5A. Applications Approved_x000a_ Column PACF (Federal/State)" sqref="BC5"/>
    <dataValidation allowBlank="1" prompt="Part C.  CERTIFIED CASELOAD MOVEMENT_x000a_ Item 5A. Applications Approved_x000a_ Column PACF (Federal)" sqref="BB5"/>
    <dataValidation allowBlank="1" prompt="Part C.  CERTIFIED CASELOAD MOVEMENT_x000a_ Item 5. Cases added during the month _x000a_ Column C. Total" sqref="BA5"/>
    <dataValidation allowBlank="1" prompt="Part C.  CERTIFIED CASELOAD MOVEMENT_x000a_ Item 5. Cases added during the month _x000a_ Column B. NACF" sqref="AZ5"/>
    <dataValidation allowBlank="1" prompt="Part C.  CERTIFIED CASELOAD MOVEMENT_x000a_ Item 5. Cases added during the month _x000a_ Column A. PACF" sqref="AY5"/>
    <dataValidation allowBlank="1" prompt="Part C.  CERTIFIED CASELOAD MOVEMENT_x000a_ Item 4B. Adjustment_x000a_ Column C. Total" sqref="AX5"/>
    <dataValidation allowBlank="1" prompt="Part C.  CERTIFIED CASELOAD MOVEMENT_x000a_ Item 4B. Adjustment_x000a_ Column B. NACF" sqref="AW5"/>
    <dataValidation allowBlank="1" prompt="Part C.  CERTIFIED CASELOAD MOVEMENT_x000a_ Item 4B. Adjustment_x000a_ Column A. PACF" sqref="AV5"/>
    <dataValidation allowBlank="1" prompt="Part C.  CERTIFIED CASELOAD MOVEMENT_x000a_ Item 4A. Item 8 from last month's report, as reported to CDSS_x000a_ Column C. Total" sqref="AU5"/>
    <dataValidation allowBlank="1" prompt="Part C.  CERTIFIED CASELOAD MOVEMENT_x000a_ Item 4A. Item 8 from last month's report, as reported to CDSS_x000a_ Column B. NACF" sqref="AT5"/>
    <dataValidation allowBlank="1" prompt="Part C.  CERTIFIED CASELOAD MOVEMENT_x000a_ Item 4A. Item 8 from last month's report, as reported to CDSS_x000a_ Column A. PACF" sqref="AS5"/>
    <dataValidation allowBlank="1" prompt="Part C.  CERTIFIED CASELOAD MOVEMENT_x000a_ Item 4. Cases brought forward at the beginning of the month_x000a_ Column C. Total" sqref="AR5"/>
    <dataValidation allowBlank="1" prompt="Part C.  CERTIFIED CASELOAD MOVEMENT_x000a_ Item 4. Cases brought forward at the beginning of the month_x000a_ Column B. NACF" sqref="AQ5"/>
    <dataValidation allowBlank="1" prompt="Part C.  CERTIFIED CASELOAD MOVEMENT_x000a_ Item 4. Cases brought forward at the beginning of the month_x000a_ Column A. PACF" sqref="AP5"/>
    <dataValidation allowBlank="1" prompt="Part B.  APPLICATIONS PROCESSED UNDER EXPEDITED SERVICES (ES)_x000a_ Item 3B. Found not entitled to expedited services_x000a_ Column C. Total" sqref="AO5"/>
    <dataValidation allowBlank="1" prompt="Part B.  APPLICATIONS PROCESSED UNDER EXPEDITED SERVICES (ES)_x000a_ Item 3B. Found not entitled to expedited services_x000a_ Column B. NACF" sqref="AN5"/>
    <dataValidation allowBlank="1" prompt="Part B.  APPLICATIONS PROCESSED UNDER EXPEDITED SERVICES (ES)_x000a_ Item 3B. Found not entitled to expedited services_x000a_ Column A. PACF" sqref="AM5"/>
    <dataValidation allowBlank="1" prompt="Part B.  APPLICATIONS PROCESSED UNDER EXPEDITED SERVICES (ES)_x000a_ Item 3A.3) Benefits issued in over 7 days_x000a_ Column C. Total" sqref="AL5"/>
    <dataValidation allowBlank="1" prompt="Part B.  APPLICATIONS PROCESSED UNDER EXPEDITED SERVICES (ES)_x000a_ Item 3A.3) Benefits issued in over 7 days_x000a_ Column B. NACF" sqref="AK5"/>
    <dataValidation allowBlank="1" prompt="Part B.  APPLICATIONS PROCESSED UNDER EXPEDITED SERVICES (ES)_x000a_ Item 3A.3) Benefits issued in over 7 days_x000a_ Column A. PACF" sqref="AJ5"/>
    <dataValidation allowBlank="1" prompt="Part B.  APPLICATIONS PROCESSED UNDER EXPEDITED SERVICES (ES)_x000a_ Item 3A.2) Benefits issued in 4 to 7 days_x000a_ Column C. Total" sqref="AI5"/>
    <dataValidation allowBlank="1" prompt="Part B.  APPLICATIONS PROCESSED UNDER EXPEDITED SERVICES (ES)_x000a_ Item 3A.2) Benefits issued in 4 to 7 days_x000a_ Column B. NACF" sqref="AH5"/>
    <dataValidation allowBlank="1" prompt="Part B.  APPLICATIONS PROCESSED UNDER EXPEDITED SERVICES (ES)_x000a_ Item 3A.2) Benefits issued in 4 to 7 days_x000a_ Column A. PACF" sqref="AG5"/>
    <dataValidation allowBlank="1" prompt="Part B.  APPLICATIONS PROCESSED UNDER EXPEDITED SERVICES (ES)_x000a_ Item 3A.1) Benefits issued in 1 to 3 days_x000a_ Column C. Total" sqref="AF5"/>
    <dataValidation allowBlank="1" prompt="Part B.  APPLICATIONS PROCESSED UNDER EXPEDITED SERVICES (ES)_x000a_ Item 3A.1) Benefits issued in 1 to 3 days_x000a_ Column B. NACF" sqref="AE5"/>
    <dataValidation allowBlank="1" prompt="Part B.  APPLICATIONS PROCESSED UNDER EXPEDITED SERVICES (ES)_x000a_ Item 3A.1) Benefits issued in 1 to 3 days_x000a_ Column A. PACF" sqref="AD5"/>
    <dataValidation allowBlank="1" prompt="Part B.  APPLICATIONS PROCESSED UNDER EXPEDITED SERVICES (ES)_x000a_ Item 3A. Found entitled to expedited services_x000a_ Column C. Total" sqref="AC5"/>
    <dataValidation allowBlank="1" prompt="Part B.  APPLICATIONS PROCESSED UNDER EXPEDITED SERVICES (ES)_x000a_ Item 3A. Found entitled to expedited services_x000a_ Column B. NACF" sqref="AB5"/>
    <dataValidation allowBlank="1" prompt="Part B.  APPLICATIONS PROCESSED UNDER EXPEDITED SERVICES (ES)_x000a_ Item 3A. Found entitled to expedited services_x000a_ Column A. PACF" sqref="AA5"/>
    <dataValidation allowBlank="1" prompt="Part B.  APPLICATIONS PROCESSED UNDER EXPEDITED SERVICES (ES)_x000a_ Item 3. Of the applications disposed of during the month in Item 2, applications processed under expedited services_x000a_ Column C. Total" sqref="Z5"/>
    <dataValidation allowBlank="1" prompt="Part B.  APPLICATIONS PROCESSED UNDER EXPEDITED SERVICES (ES)_x000a_ Item 3. Of the applications disposed of during the month in Item 2, applications processed under expedited services_x000a_ Column B. NACF" sqref="Y5"/>
    <dataValidation allowBlank="1" prompt="Part B.  APPLICATIONS PROCESSED UNDER EXPEDITED SERVICES (ES)_x000a_ Item 3. Of the applications disposed of during the month in Item 2, applications processed under expedited services_x000a_ Column A. PACF" sqref="X5"/>
    <dataValidation allowBlank="1" prompt="Part A.  APPLICATIONS FOR CALFRESH_x000a_ Item 2C. Applications withdrawn_x000a_ Column C. Total" sqref="W5"/>
    <dataValidation allowBlank="1" prompt="Part A.  APPLICATIONS FOR CALFRESH_x000a_ Item 2C. Applications withdrawn_x000a_ Column B. NACF" sqref="V5"/>
    <dataValidation allowBlank="1" prompt="Part A.  APPLICATIONS FOR CALFRESH_x000a_ Item 2C. Applications withdrawn_x000a_ Column A. PACF" sqref="U5"/>
    <dataValidation allowBlank="1" prompt="Part A.  APPLICATIONS FOR CALFRESH_x000a_ Item 2B.3) Applications denied in over 30 days_x000a_ Column C. Total" sqref="T5"/>
    <dataValidation allowBlank="1" prompt="Part A.  APPLICATIONS FOR CALFRESH_x000a_ Item 2B.3) Applications denied in over 30 days_x000a_ Column B. NACF" sqref="S5"/>
    <dataValidation allowBlank="1" prompt="Part A.  APPLICATIONS FOR CALFRESH_x000a_ Item 2B.3) Applications denied in over 30 days_x000a_ Column A. PACF" sqref="R5"/>
    <dataValidation allowBlank="1" prompt="Part A.  APPLICATIONS FOR CALFRESH_x000a_ Item 2B.2) Applications denied for procedural reasons_x000a_ Column C. Total" sqref="Q5"/>
    <dataValidation allowBlank="1" prompt="Part A.  APPLICATIONS FOR CALFRESH_x000a_ Item 2B.2) Applications denied for procedural reasons_x000a_ Column B. NACF" sqref="P5"/>
    <dataValidation allowBlank="1" prompt="Part A.  APPLICATIONS FOR CALFRESH_x000a_ Item 2B.2) Applications denied for procedural reasons_x000a_ Column A. PACF" sqref="O5"/>
    <dataValidation allowBlank="1" prompt="Part A.  APPLICATIONS FOR CALFRESH_x000a_ Item 2B.1) Applications denied because determined ineligible_x000a_ Column C. Total" sqref="N5"/>
    <dataValidation allowBlank="1" prompt="Part A.  APPLICATIONS FOR CALFRESH_x000a_ Item 2B.1) Applications denied because determined ineligible_x000a_ Column B. NACF" sqref="M5"/>
    <dataValidation allowBlank="1" prompt="Part A.  APPLICATIONS FOR CALFRESH_x000a_ Item 2B.1) Applications denied because determined ineligible_x000a_ Column A. PACF" sqref="L5"/>
    <dataValidation allowBlank="1" prompt="Part A.  APPLICATIONS FOR CALFRESH_x000a_ Item 2B. Applications denied (Item 2B1 plus Item 2B2)_x000a_ Column C. Total" sqref="K5"/>
    <dataValidation allowBlank="1" prompt="Part A.  APPLICATIONS FOR CALFRESH_x000a_ Item 2B. Applications denied (Item 2B1 plus Item 2B2)_x000a_ Column B. NACF" sqref="J5"/>
    <dataValidation allowBlank="1" prompt="Part A.  APPLICATIONS FOR CALFRESH_x000a_ Item 2B. Applications denied (Item 2B1 plus Item 2B2)_x000a_ Column A. PACF" sqref="I5"/>
    <dataValidation allowBlank="1" prompt="Part A.  APPLICATIONS FOR CALFRESH_x000a_ Item 2A.1) Applications approved in over 30 days_x000a_ Column C. Total" sqref="H5"/>
    <dataValidation allowBlank="1" prompt="Part A.  APPLICATIONS FOR CALFRESH_x000a_ Item 2A.1) Applications approved in over 30 days _x000a_ Column B. NACF" sqref="G5"/>
    <dataValidation allowBlank="1" prompt="Part A.  APPLICATIONS FOR CALFRESH_x000a_ Item 2A.1) Applications approved in over 30 days _x000a_ Column A. PACF" sqref="F5"/>
    <dataValidation allowBlank="1" prompt="Part A.  APPLICATIONS FOR CALFRESH_x000a_ Item 2A. Applications approved _x000a_ Column Total" sqref="E5"/>
    <dataValidation allowBlank="1" prompt="Part A.  APPLICATIONS FOR CALFRESH_x000a_ Item 2. Applications disposed of during the month _x000a_ Column Total" sqref="D5"/>
    <dataValidation allowBlank="1" prompt="Part A.  APPLICATIONS FOR CALFRESH_x000a_ Item 1A. Online applications received during the month_x000a_ Column Total" sqref="C5"/>
    <dataValidation allowBlank="1" prompt="Part A.  APPLICATIONS FOR CALFRESH_x000a_ Item 1. Applications received during the month_x000a_ Column Total" sqref="B5"/>
  </dataValidations>
  <printOptions horizontalCentered="1"/>
  <pageMargins left="0.25" right="0.25" top="0.81708333333333305" bottom="0.5" header="0.25" footer="0.25"/>
  <pageSetup scale="10" orientation="portrait" r:id="rId1"/>
  <headerFooter scaleWithDoc="0" alignWithMargins="0"/>
  <rowBreaks count="1" manualBreakCount="1">
    <brk id="64" max="16383" man="1"/>
  </rowBreaks>
  <colBreaks count="12" manualBreakCount="12">
    <brk id="7" max="64" man="1"/>
    <brk id="13" max="64" man="1"/>
    <brk id="19" max="64" man="1"/>
    <brk id="25" max="64" man="1"/>
    <brk id="31" max="64" man="1"/>
    <brk id="37" max="64" man="1"/>
    <brk id="43" max="64" man="1"/>
    <brk id="49" max="1048575" man="1"/>
    <brk id="55" max="1048575" man="1"/>
    <brk id="61" max="1048575" man="1"/>
    <brk id="80" max="64" man="1"/>
    <brk id="115" max="64" man="1"/>
  </colBreaks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4">
    <pageSetUpPr fitToPage="1"/>
  </sheetPr>
  <dimension ref="A1:AO57"/>
  <sheetViews>
    <sheetView showGridLines="0" zoomScaleNormal="100" workbookViewId="0"/>
  </sheetViews>
  <sheetFormatPr defaultColWidth="9" defaultRowHeight="12.75"/>
  <cols>
    <col min="1" max="1" width="2.7109375" style="111" customWidth="1"/>
    <col min="2" max="2" width="2.7109375" style="31" customWidth="1"/>
    <col min="3" max="3" width="2.7109375" style="22" customWidth="1"/>
    <col min="4" max="4" width="17.140625" style="22" customWidth="1"/>
    <col min="5" max="5" width="8.5703125" style="21" customWidth="1"/>
    <col min="6" max="6" width="3" style="22" customWidth="1"/>
    <col min="7" max="7" width="8.5703125" style="22" customWidth="1"/>
    <col min="8" max="8" width="3" style="22" customWidth="1"/>
    <col min="9" max="9" width="8.5703125" style="23" customWidth="1"/>
    <col min="10" max="10" width="3" style="21" customWidth="1"/>
    <col min="11" max="11" width="8.5703125" style="22" customWidth="1"/>
    <col min="12" max="12" width="3" style="22" customWidth="1"/>
    <col min="13" max="13" width="12.85546875" style="21" customWidth="1"/>
    <col min="14" max="14" width="3" style="23" customWidth="1"/>
    <col min="15" max="15" width="8.5703125" style="22" customWidth="1"/>
    <col min="16" max="16" width="3" style="21" customWidth="1"/>
    <col min="17" max="17" width="8.42578125" style="21" customWidth="1"/>
    <col min="18" max="18" width="3" style="22" customWidth="1"/>
    <col min="19" max="19" width="8.5703125" style="23" customWidth="1"/>
    <col min="20" max="20" width="3" style="22" customWidth="1"/>
    <col min="21" max="21" width="8.5703125" style="21" customWidth="1"/>
    <col min="22" max="22" width="3" style="21" customWidth="1"/>
    <col min="23" max="23" width="11.140625" style="22" customWidth="1"/>
    <col min="24" max="24" width="2.7109375" style="21" customWidth="1"/>
    <col min="25" max="25" width="2.42578125" style="22" customWidth="1"/>
    <col min="26" max="26" width="2.140625" style="22" customWidth="1"/>
    <col min="27" max="27" width="2.7109375" style="22" customWidth="1"/>
    <col min="28" max="28" width="3" style="23" customWidth="1"/>
    <col min="29" max="29" width="10.85546875" style="24" customWidth="1"/>
    <col min="30" max="30" width="3" style="23" customWidth="1"/>
    <col min="31" max="31" width="10.85546875" style="25" customWidth="1"/>
    <col min="32" max="32" width="9" style="26" customWidth="1"/>
    <col min="33" max="33" width="3.7109375" style="26" customWidth="1"/>
    <col min="34" max="41" width="9" style="26"/>
    <col min="42" max="16384" width="9" style="22"/>
  </cols>
  <sheetData>
    <row r="1" spans="1:41">
      <c r="A1" s="15" t="s">
        <v>94</v>
      </c>
      <c r="B1" s="16"/>
      <c r="C1" s="17"/>
      <c r="D1" s="17"/>
      <c r="E1" s="18"/>
      <c r="F1" s="17"/>
      <c r="G1" s="17"/>
      <c r="H1" s="17"/>
      <c r="I1" s="19"/>
      <c r="J1" s="18"/>
      <c r="K1" s="17"/>
      <c r="L1" s="17"/>
      <c r="M1" s="18"/>
      <c r="N1" s="19"/>
      <c r="O1" s="17"/>
      <c r="P1" s="18"/>
      <c r="Q1" s="18"/>
      <c r="R1" s="17"/>
      <c r="S1" s="19"/>
      <c r="T1" s="17"/>
      <c r="U1" s="18"/>
      <c r="V1" s="18"/>
      <c r="W1" s="20"/>
    </row>
    <row r="2" spans="1:41" s="31" customFormat="1" ht="21" customHeight="1">
      <c r="A2" s="203" t="s">
        <v>7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7"/>
      <c r="Q2" s="27"/>
      <c r="R2" s="27"/>
      <c r="S2" s="27"/>
      <c r="T2" s="27"/>
      <c r="U2" s="27"/>
      <c r="V2" s="28"/>
      <c r="W2" s="29"/>
      <c r="X2" s="30"/>
      <c r="Y2" s="30"/>
      <c r="Z2" s="30"/>
      <c r="AA2" s="30"/>
      <c r="AB2" s="30"/>
      <c r="AC2" s="30"/>
      <c r="AD2" s="30"/>
      <c r="AE2" s="30"/>
    </row>
    <row r="3" spans="1:41" s="35" customFormat="1" ht="16.149999999999999" customHeight="1">
      <c r="A3" s="32" t="s">
        <v>8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4"/>
    </row>
    <row r="4" spans="1:41" s="31" customFormat="1" ht="15.6" customHeight="1">
      <c r="A4" s="32" t="s">
        <v>9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28"/>
      <c r="W4" s="29"/>
      <c r="X4" s="30"/>
      <c r="Y4" s="30"/>
      <c r="Z4" s="30"/>
      <c r="AA4" s="30"/>
      <c r="AB4" s="30"/>
      <c r="AC4" s="30"/>
      <c r="AD4" s="30"/>
      <c r="AE4" s="30"/>
    </row>
    <row r="5" spans="1:41" ht="6" customHeight="1">
      <c r="A5" s="36"/>
      <c r="B5" s="37"/>
      <c r="C5" s="37"/>
      <c r="D5" s="37"/>
      <c r="E5" s="38"/>
      <c r="F5" s="37"/>
      <c r="G5" s="37"/>
      <c r="H5" s="37"/>
      <c r="I5" s="39"/>
      <c r="J5" s="38"/>
      <c r="K5" s="37"/>
      <c r="L5" s="37"/>
      <c r="M5" s="38"/>
      <c r="N5" s="39"/>
      <c r="O5" s="37"/>
      <c r="P5" s="38"/>
      <c r="Q5" s="38"/>
      <c r="R5" s="37"/>
      <c r="S5" s="39"/>
      <c r="T5" s="37"/>
      <c r="U5" s="38"/>
      <c r="V5" s="38"/>
      <c r="W5" s="40"/>
      <c r="X5" s="26"/>
      <c r="Y5" s="26"/>
      <c r="Z5" s="26"/>
      <c r="AA5" s="26"/>
      <c r="AB5" s="26"/>
      <c r="AC5" s="26"/>
      <c r="AD5" s="26"/>
      <c r="AE5" s="26"/>
      <c r="AF5" s="22"/>
      <c r="AG5" s="22"/>
      <c r="AH5" s="22"/>
      <c r="AI5" s="22"/>
      <c r="AJ5" s="22"/>
      <c r="AK5" s="22"/>
      <c r="AL5" s="22"/>
      <c r="AM5" s="22"/>
      <c r="AN5" s="22"/>
      <c r="AO5" s="22"/>
    </row>
    <row r="6" spans="1:41" s="42" customFormat="1" ht="23.25">
      <c r="A6" s="205" t="s">
        <v>10</v>
      </c>
      <c r="B6" s="206"/>
      <c r="C6" s="206"/>
      <c r="D6" s="206"/>
      <c r="E6" s="206"/>
      <c r="F6" s="206"/>
      <c r="G6" s="206"/>
      <c r="H6" s="206"/>
      <c r="I6" s="206"/>
      <c r="J6" s="206"/>
      <c r="K6" s="206"/>
      <c r="L6" s="207" t="s">
        <v>341</v>
      </c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9"/>
      <c r="X6" s="41"/>
      <c r="Y6" s="41"/>
      <c r="Z6" s="41"/>
      <c r="AA6" s="41"/>
      <c r="AB6" s="41"/>
      <c r="AC6" s="41"/>
      <c r="AD6" s="41"/>
      <c r="AE6" s="41"/>
    </row>
    <row r="7" spans="1:41" s="26" customFormat="1" ht="15.75" customHeight="1">
      <c r="A7" s="176" t="s">
        <v>12</v>
      </c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8"/>
      <c r="R7" s="182"/>
      <c r="S7" s="210"/>
      <c r="T7" s="210"/>
      <c r="U7" s="183"/>
      <c r="V7" s="182" t="s">
        <v>13</v>
      </c>
      <c r="W7" s="183"/>
    </row>
    <row r="8" spans="1:41" s="30" customFormat="1">
      <c r="A8" s="43" t="s">
        <v>14</v>
      </c>
      <c r="B8" s="197" t="s">
        <v>15</v>
      </c>
      <c r="C8" s="197"/>
      <c r="D8" s="197"/>
      <c r="E8" s="197"/>
      <c r="F8" s="197"/>
      <c r="G8" s="197"/>
      <c r="H8" s="197"/>
      <c r="I8" s="197"/>
      <c r="J8" s="197"/>
      <c r="K8" s="197"/>
      <c r="L8" s="197"/>
      <c r="M8" s="197"/>
      <c r="N8" s="197"/>
      <c r="O8" s="197"/>
      <c r="P8" s="197"/>
      <c r="Q8" s="198"/>
      <c r="R8" s="44"/>
      <c r="S8" s="45"/>
      <c r="T8" s="45"/>
      <c r="U8" s="46"/>
      <c r="V8" s="47">
        <v>1</v>
      </c>
      <c r="W8" s="48">
        <v>161692</v>
      </c>
      <c r="X8" s="26"/>
      <c r="Y8" s="26"/>
      <c r="Z8" s="26"/>
      <c r="AA8" s="26"/>
      <c r="AB8" s="26"/>
      <c r="AC8" s="26"/>
      <c r="AD8" s="26"/>
      <c r="AE8" s="26"/>
    </row>
    <row r="9" spans="1:41" s="55" customFormat="1">
      <c r="A9" s="43"/>
      <c r="B9" s="49" t="s">
        <v>16</v>
      </c>
      <c r="C9" s="189" t="s">
        <v>17</v>
      </c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90"/>
      <c r="R9" s="50"/>
      <c r="S9" s="51"/>
      <c r="T9" s="51"/>
      <c r="U9" s="52"/>
      <c r="V9" s="53">
        <v>2</v>
      </c>
      <c r="W9" s="54">
        <v>53494</v>
      </c>
      <c r="X9" s="26"/>
      <c r="Y9" s="26"/>
      <c r="Z9" s="26"/>
      <c r="AA9" s="26"/>
      <c r="AB9" s="26"/>
      <c r="AC9" s="26"/>
      <c r="AD9" s="26"/>
      <c r="AE9" s="26"/>
    </row>
    <row r="10" spans="1:41" s="55" customFormat="1">
      <c r="A10" s="43" t="s">
        <v>18</v>
      </c>
      <c r="B10" s="201" t="s">
        <v>19</v>
      </c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2"/>
      <c r="R10" s="50"/>
      <c r="S10" s="51"/>
      <c r="T10" s="51"/>
      <c r="U10" s="52"/>
      <c r="V10" s="70">
        <v>3</v>
      </c>
      <c r="W10" s="152">
        <v>154199</v>
      </c>
      <c r="X10" s="26"/>
      <c r="Y10" s="26"/>
      <c r="Z10" s="26"/>
      <c r="AA10" s="26"/>
      <c r="AB10" s="26"/>
      <c r="AC10" s="26"/>
      <c r="AD10" s="26"/>
      <c r="AE10" s="26"/>
    </row>
    <row r="11" spans="1:41" s="55" customFormat="1">
      <c r="A11" s="43"/>
      <c r="B11" s="56" t="s">
        <v>20</v>
      </c>
      <c r="C11" s="189" t="s">
        <v>21</v>
      </c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90"/>
      <c r="R11" s="57"/>
      <c r="S11" s="58"/>
      <c r="T11" s="58"/>
      <c r="U11" s="59"/>
      <c r="V11" s="60">
        <v>4</v>
      </c>
      <c r="W11" s="48">
        <v>95187</v>
      </c>
      <c r="X11" s="26"/>
      <c r="Y11" s="26"/>
      <c r="Z11" s="26"/>
      <c r="AA11" s="26"/>
      <c r="AB11" s="26"/>
      <c r="AC11" s="26"/>
      <c r="AD11" s="26"/>
      <c r="AE11" s="26"/>
    </row>
    <row r="12" spans="1:41" s="55" customFormat="1">
      <c r="A12" s="43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61"/>
      <c r="R12" s="182" t="s">
        <v>22</v>
      </c>
      <c r="S12" s="183"/>
      <c r="T12" s="182" t="s">
        <v>23</v>
      </c>
      <c r="U12" s="183"/>
      <c r="V12" s="182" t="s">
        <v>24</v>
      </c>
      <c r="W12" s="183"/>
      <c r="X12" s="26"/>
      <c r="Y12" s="26"/>
      <c r="Z12" s="26"/>
      <c r="AA12" s="26"/>
      <c r="AB12" s="26"/>
      <c r="AC12" s="26"/>
      <c r="AD12" s="26"/>
      <c r="AE12" s="26"/>
    </row>
    <row r="13" spans="1:41" s="55" customFormat="1">
      <c r="A13" s="43"/>
      <c r="B13" s="56"/>
      <c r="C13" s="56" t="s">
        <v>25</v>
      </c>
      <c r="D13" s="189" t="s">
        <v>26</v>
      </c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90"/>
      <c r="R13" s="47">
        <v>5</v>
      </c>
      <c r="S13" s="48">
        <v>164</v>
      </c>
      <c r="T13" s="47">
        <v>6</v>
      </c>
      <c r="U13" s="48">
        <v>1755</v>
      </c>
      <c r="V13" s="62">
        <v>7</v>
      </c>
      <c r="W13" s="153">
        <v>1919</v>
      </c>
      <c r="X13" s="26"/>
      <c r="Y13" s="26"/>
      <c r="Z13" s="26"/>
      <c r="AA13" s="26"/>
      <c r="AB13" s="26"/>
      <c r="AC13" s="26"/>
      <c r="AD13" s="26"/>
      <c r="AE13" s="26"/>
    </row>
    <row r="14" spans="1:41" s="55" customFormat="1">
      <c r="A14" s="63"/>
      <c r="B14" s="64" t="s">
        <v>27</v>
      </c>
      <c r="C14" s="189" t="s">
        <v>28</v>
      </c>
      <c r="D14" s="189"/>
      <c r="E14" s="189"/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90"/>
      <c r="R14" s="65">
        <v>8</v>
      </c>
      <c r="S14" s="154">
        <v>147</v>
      </c>
      <c r="T14" s="65">
        <v>9</v>
      </c>
      <c r="U14" s="154">
        <v>52349</v>
      </c>
      <c r="V14" s="65">
        <v>10</v>
      </c>
      <c r="W14" s="155">
        <v>52496</v>
      </c>
      <c r="X14" s="26"/>
      <c r="Y14" s="26"/>
      <c r="Z14" s="26"/>
      <c r="AA14" s="26"/>
      <c r="AB14" s="26"/>
      <c r="AC14" s="26"/>
      <c r="AD14" s="26"/>
      <c r="AE14" s="26"/>
    </row>
    <row r="15" spans="1:41" s="55" customFormat="1">
      <c r="A15" s="66"/>
      <c r="B15" s="64"/>
      <c r="C15" s="64" t="s">
        <v>25</v>
      </c>
      <c r="D15" s="189" t="s">
        <v>29</v>
      </c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90"/>
      <c r="R15" s="53">
        <v>11</v>
      </c>
      <c r="S15" s="48">
        <v>83</v>
      </c>
      <c r="T15" s="53">
        <v>12</v>
      </c>
      <c r="U15" s="48">
        <v>20804</v>
      </c>
      <c r="V15" s="65">
        <v>13</v>
      </c>
      <c r="W15" s="155">
        <v>20887</v>
      </c>
      <c r="X15" s="26"/>
      <c r="Y15" s="26"/>
      <c r="Z15" s="26"/>
      <c r="AA15" s="26"/>
      <c r="AB15" s="26"/>
      <c r="AC15" s="26"/>
      <c r="AD15" s="26"/>
      <c r="AE15" s="26"/>
    </row>
    <row r="16" spans="1:41" s="55" customFormat="1">
      <c r="A16" s="63"/>
      <c r="B16" s="64"/>
      <c r="C16" s="67" t="s">
        <v>30</v>
      </c>
      <c r="D16" s="189" t="s">
        <v>31</v>
      </c>
      <c r="E16" s="189"/>
      <c r="F16" s="189"/>
      <c r="G16" s="189"/>
      <c r="H16" s="189"/>
      <c r="I16" s="189"/>
      <c r="J16" s="189"/>
      <c r="K16" s="189"/>
      <c r="L16" s="189"/>
      <c r="M16" s="189"/>
      <c r="N16" s="189"/>
      <c r="O16" s="189"/>
      <c r="P16" s="189"/>
      <c r="Q16" s="190"/>
      <c r="R16" s="53">
        <v>14</v>
      </c>
      <c r="S16" s="48">
        <v>64</v>
      </c>
      <c r="T16" s="53">
        <v>15</v>
      </c>
      <c r="U16" s="48">
        <v>31545</v>
      </c>
      <c r="V16" s="65">
        <v>16</v>
      </c>
      <c r="W16" s="155">
        <v>31609</v>
      </c>
      <c r="X16" s="26"/>
      <c r="Y16" s="26"/>
      <c r="Z16" s="26"/>
      <c r="AA16" s="26"/>
      <c r="AB16" s="26"/>
      <c r="AC16" s="26"/>
      <c r="AD16" s="26"/>
      <c r="AE16" s="26"/>
    </row>
    <row r="17" spans="1:31" s="55" customFormat="1">
      <c r="A17" s="63"/>
      <c r="B17" s="64"/>
      <c r="C17" s="56" t="s">
        <v>32</v>
      </c>
      <c r="D17" s="199" t="s">
        <v>33</v>
      </c>
      <c r="E17" s="199"/>
      <c r="F17" s="199"/>
      <c r="G17" s="199"/>
      <c r="H17" s="199"/>
      <c r="I17" s="199"/>
      <c r="J17" s="199"/>
      <c r="K17" s="199"/>
      <c r="L17" s="199"/>
      <c r="M17" s="199"/>
      <c r="N17" s="199"/>
      <c r="O17" s="199"/>
      <c r="P17" s="199"/>
      <c r="Q17" s="200"/>
      <c r="R17" s="53">
        <v>17</v>
      </c>
      <c r="S17" s="48">
        <v>6</v>
      </c>
      <c r="T17" s="53">
        <v>18</v>
      </c>
      <c r="U17" s="48">
        <v>2300</v>
      </c>
      <c r="V17" s="65">
        <v>19</v>
      </c>
      <c r="W17" s="155">
        <v>2306</v>
      </c>
      <c r="X17" s="26"/>
      <c r="Y17" s="26"/>
      <c r="Z17" s="26"/>
      <c r="AA17" s="26"/>
      <c r="AB17" s="26"/>
      <c r="AC17" s="26"/>
      <c r="AD17" s="26"/>
      <c r="AE17" s="26"/>
    </row>
    <row r="18" spans="1:31" s="55" customFormat="1">
      <c r="A18" s="63"/>
      <c r="B18" s="64" t="s">
        <v>34</v>
      </c>
      <c r="C18" s="195" t="s">
        <v>35</v>
      </c>
      <c r="D18" s="195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5"/>
      <c r="Q18" s="196"/>
      <c r="R18" s="60">
        <v>20</v>
      </c>
      <c r="S18" s="48">
        <v>50</v>
      </c>
      <c r="T18" s="60">
        <v>21</v>
      </c>
      <c r="U18" s="48">
        <v>6466</v>
      </c>
      <c r="V18" s="65">
        <v>22</v>
      </c>
      <c r="W18" s="155">
        <v>6516</v>
      </c>
      <c r="X18" s="26"/>
      <c r="Y18" s="26"/>
      <c r="Z18" s="26"/>
      <c r="AA18" s="26"/>
      <c r="AB18" s="26"/>
      <c r="AC18" s="26"/>
      <c r="AD18" s="26"/>
      <c r="AE18" s="26"/>
    </row>
    <row r="19" spans="1:31" s="55" customFormat="1" ht="15.75">
      <c r="A19" s="176" t="s">
        <v>36</v>
      </c>
      <c r="B19" s="177"/>
      <c r="C19" s="177"/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8"/>
      <c r="R19" s="182" t="s">
        <v>22</v>
      </c>
      <c r="S19" s="183"/>
      <c r="T19" s="182" t="s">
        <v>23</v>
      </c>
      <c r="U19" s="183"/>
      <c r="V19" s="182" t="s">
        <v>24</v>
      </c>
      <c r="W19" s="183"/>
      <c r="X19" s="26"/>
      <c r="Y19" s="26"/>
      <c r="Z19" s="26"/>
      <c r="AA19" s="26"/>
      <c r="AB19" s="26"/>
      <c r="AC19" s="26"/>
      <c r="AD19" s="26"/>
      <c r="AE19" s="26"/>
    </row>
    <row r="20" spans="1:31" s="55" customFormat="1">
      <c r="A20" s="68" t="s">
        <v>37</v>
      </c>
      <c r="B20" s="197" t="s">
        <v>38</v>
      </c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197"/>
      <c r="Q20" s="198"/>
      <c r="R20" s="69">
        <v>23</v>
      </c>
      <c r="S20" s="154">
        <v>4674</v>
      </c>
      <c r="T20" s="69">
        <v>24</v>
      </c>
      <c r="U20" s="154">
        <v>132923</v>
      </c>
      <c r="V20" s="62">
        <v>25</v>
      </c>
      <c r="W20" s="154">
        <v>137597</v>
      </c>
      <c r="X20" s="26"/>
      <c r="Y20" s="26"/>
      <c r="Z20" s="26"/>
      <c r="AA20" s="26"/>
      <c r="AB20" s="26"/>
      <c r="AC20" s="26"/>
      <c r="AD20" s="26"/>
      <c r="AE20" s="26"/>
    </row>
    <row r="21" spans="1:31" s="26" customFormat="1">
      <c r="A21" s="68"/>
      <c r="B21" s="56" t="s">
        <v>39</v>
      </c>
      <c r="C21" s="189" t="s">
        <v>40</v>
      </c>
      <c r="D21" s="189"/>
      <c r="E21" s="189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90"/>
      <c r="R21" s="70">
        <v>26</v>
      </c>
      <c r="S21" s="152">
        <v>2828</v>
      </c>
      <c r="T21" s="70">
        <v>27</v>
      </c>
      <c r="U21" s="152">
        <v>52870</v>
      </c>
      <c r="V21" s="65">
        <v>28</v>
      </c>
      <c r="W21" s="152">
        <v>55698</v>
      </c>
    </row>
    <row r="22" spans="1:31" s="26" customFormat="1">
      <c r="A22" s="71"/>
      <c r="B22" s="56"/>
      <c r="C22" s="72" t="s">
        <v>41</v>
      </c>
      <c r="D22" s="191" t="s">
        <v>42</v>
      </c>
      <c r="E22" s="191"/>
      <c r="F22" s="191"/>
      <c r="G22" s="191"/>
      <c r="H22" s="191"/>
      <c r="I22" s="191"/>
      <c r="J22" s="191"/>
      <c r="K22" s="191"/>
      <c r="L22" s="191"/>
      <c r="M22" s="191"/>
      <c r="N22" s="191"/>
      <c r="O22" s="191"/>
      <c r="P22" s="191"/>
      <c r="Q22" s="192"/>
      <c r="R22" s="53">
        <v>29</v>
      </c>
      <c r="S22" s="48">
        <v>2473</v>
      </c>
      <c r="T22" s="53">
        <v>30</v>
      </c>
      <c r="U22" s="48">
        <v>49201</v>
      </c>
      <c r="V22" s="65">
        <v>31</v>
      </c>
      <c r="W22" s="155">
        <v>51674</v>
      </c>
    </row>
    <row r="23" spans="1:31" s="26" customFormat="1">
      <c r="A23" s="71"/>
      <c r="B23" s="56"/>
      <c r="C23" s="72" t="s">
        <v>43</v>
      </c>
      <c r="D23" s="191" t="s">
        <v>44</v>
      </c>
      <c r="E23" s="191"/>
      <c r="F23" s="191"/>
      <c r="G23" s="191"/>
      <c r="H23" s="191"/>
      <c r="I23" s="191"/>
      <c r="J23" s="191"/>
      <c r="K23" s="191"/>
      <c r="L23" s="191"/>
      <c r="M23" s="191"/>
      <c r="N23" s="191"/>
      <c r="O23" s="191"/>
      <c r="P23" s="191"/>
      <c r="Q23" s="192"/>
      <c r="R23" s="53">
        <v>32</v>
      </c>
      <c r="S23" s="48">
        <v>136</v>
      </c>
      <c r="T23" s="53">
        <v>33</v>
      </c>
      <c r="U23" s="48">
        <v>1944</v>
      </c>
      <c r="V23" s="65">
        <v>34</v>
      </c>
      <c r="W23" s="155">
        <v>2080</v>
      </c>
    </row>
    <row r="24" spans="1:31" s="26" customFormat="1">
      <c r="A24" s="71"/>
      <c r="B24" s="56"/>
      <c r="C24" s="72" t="s">
        <v>45</v>
      </c>
      <c r="D24" s="191" t="s">
        <v>46</v>
      </c>
      <c r="E24" s="191"/>
      <c r="F24" s="191"/>
      <c r="G24" s="191"/>
      <c r="H24" s="191"/>
      <c r="I24" s="191"/>
      <c r="J24" s="191"/>
      <c r="K24" s="191"/>
      <c r="L24" s="191"/>
      <c r="M24" s="191"/>
      <c r="N24" s="191"/>
      <c r="O24" s="191"/>
      <c r="P24" s="191"/>
      <c r="Q24" s="192"/>
      <c r="R24" s="53">
        <v>35</v>
      </c>
      <c r="S24" s="48">
        <v>219</v>
      </c>
      <c r="T24" s="53">
        <v>36</v>
      </c>
      <c r="U24" s="48">
        <v>1725</v>
      </c>
      <c r="V24" s="65">
        <v>37</v>
      </c>
      <c r="W24" s="155">
        <v>1944</v>
      </c>
    </row>
    <row r="25" spans="1:31" s="26" customFormat="1">
      <c r="A25" s="68"/>
      <c r="B25" s="56" t="s">
        <v>47</v>
      </c>
      <c r="C25" s="193" t="s">
        <v>48</v>
      </c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3"/>
      <c r="Q25" s="194"/>
      <c r="R25" s="60">
        <v>38</v>
      </c>
      <c r="S25" s="48">
        <v>1846</v>
      </c>
      <c r="T25" s="60">
        <v>39</v>
      </c>
      <c r="U25" s="48">
        <v>80053</v>
      </c>
      <c r="V25" s="65">
        <v>40</v>
      </c>
      <c r="W25" s="155">
        <v>81899</v>
      </c>
    </row>
    <row r="26" spans="1:31" s="26" customFormat="1" ht="15.75">
      <c r="A26" s="176" t="s">
        <v>49</v>
      </c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8"/>
      <c r="R26" s="182" t="s">
        <v>22</v>
      </c>
      <c r="S26" s="183"/>
      <c r="T26" s="182" t="s">
        <v>23</v>
      </c>
      <c r="U26" s="183"/>
      <c r="V26" s="182" t="s">
        <v>24</v>
      </c>
      <c r="W26" s="183"/>
    </row>
    <row r="27" spans="1:31" s="26" customFormat="1">
      <c r="A27" s="68" t="s">
        <v>50</v>
      </c>
      <c r="B27" s="172" t="s">
        <v>51</v>
      </c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3"/>
      <c r="R27" s="47">
        <v>41</v>
      </c>
      <c r="S27" s="48">
        <v>221055</v>
      </c>
      <c r="T27" s="47">
        <v>42</v>
      </c>
      <c r="U27" s="48">
        <v>1576334</v>
      </c>
      <c r="V27" s="62">
        <v>43</v>
      </c>
      <c r="W27" s="153">
        <v>1797389</v>
      </c>
    </row>
    <row r="28" spans="1:31" s="26" customFormat="1">
      <c r="A28" s="68"/>
      <c r="B28" s="73" t="s">
        <v>39</v>
      </c>
      <c r="C28" s="172" t="s">
        <v>52</v>
      </c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3"/>
      <c r="R28" s="53">
        <v>44</v>
      </c>
      <c r="S28" s="48">
        <v>221542</v>
      </c>
      <c r="T28" s="53">
        <v>45</v>
      </c>
      <c r="U28" s="48">
        <v>1580827</v>
      </c>
      <c r="V28" s="65">
        <v>46</v>
      </c>
      <c r="W28" s="155">
        <v>1802369</v>
      </c>
    </row>
    <row r="29" spans="1:31" s="26" customFormat="1">
      <c r="A29" s="68"/>
      <c r="B29" s="73" t="s">
        <v>47</v>
      </c>
      <c r="C29" s="172" t="s">
        <v>53</v>
      </c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2"/>
      <c r="O29" s="172"/>
      <c r="P29" s="172"/>
      <c r="Q29" s="173"/>
      <c r="R29" s="70">
        <v>47</v>
      </c>
      <c r="S29" s="156">
        <v>-487</v>
      </c>
      <c r="T29" s="70">
        <v>48</v>
      </c>
      <c r="U29" s="156">
        <v>-4493</v>
      </c>
      <c r="V29" s="65">
        <v>49</v>
      </c>
      <c r="W29" s="157">
        <v>-4980</v>
      </c>
    </row>
    <row r="30" spans="1:31" s="26" customFormat="1">
      <c r="A30" s="68" t="s">
        <v>54</v>
      </c>
      <c r="B30" s="172" t="s">
        <v>55</v>
      </c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3"/>
      <c r="R30" s="65">
        <v>50</v>
      </c>
      <c r="S30" s="158">
        <v>12733</v>
      </c>
      <c r="T30" s="65">
        <v>51</v>
      </c>
      <c r="U30" s="158">
        <v>148759</v>
      </c>
      <c r="V30" s="65">
        <v>52</v>
      </c>
      <c r="W30" s="155">
        <v>161492</v>
      </c>
    </row>
    <row r="31" spans="1:31" s="78" customFormat="1" ht="12.75" customHeight="1">
      <c r="A31" s="71"/>
      <c r="B31" s="73"/>
      <c r="C31" s="73"/>
      <c r="D31" s="73"/>
      <c r="E31" s="74"/>
      <c r="F31" s="180" t="s">
        <v>56</v>
      </c>
      <c r="G31" s="184"/>
      <c r="H31" s="184"/>
      <c r="I31" s="184"/>
      <c r="J31" s="184"/>
      <c r="K31" s="181"/>
      <c r="L31" s="180" t="s">
        <v>57</v>
      </c>
      <c r="M31" s="184"/>
      <c r="N31" s="184"/>
      <c r="O31" s="184"/>
      <c r="P31" s="184"/>
      <c r="Q31" s="181"/>
      <c r="R31" s="75"/>
      <c r="S31" s="76"/>
      <c r="T31" s="76"/>
      <c r="U31" s="76"/>
      <c r="V31" s="76"/>
      <c r="W31" s="77"/>
    </row>
    <row r="32" spans="1:31" s="26" customFormat="1">
      <c r="A32" s="71"/>
      <c r="B32" s="73"/>
      <c r="C32" s="73"/>
      <c r="D32" s="73"/>
      <c r="E32" s="56"/>
      <c r="F32" s="180" t="s">
        <v>58</v>
      </c>
      <c r="G32" s="181"/>
      <c r="H32" s="180" t="s">
        <v>59</v>
      </c>
      <c r="I32" s="181"/>
      <c r="J32" s="180" t="s">
        <v>60</v>
      </c>
      <c r="K32" s="181"/>
      <c r="L32" s="180" t="s">
        <v>58</v>
      </c>
      <c r="M32" s="181"/>
      <c r="N32" s="180" t="s">
        <v>59</v>
      </c>
      <c r="O32" s="181"/>
      <c r="P32" s="180" t="s">
        <v>60</v>
      </c>
      <c r="Q32" s="181"/>
      <c r="R32" s="79"/>
      <c r="S32" s="80"/>
      <c r="T32" s="80"/>
      <c r="U32" s="80"/>
      <c r="V32" s="80"/>
      <c r="W32" s="81"/>
    </row>
    <row r="33" spans="1:23" s="26" customFormat="1">
      <c r="A33" s="71"/>
      <c r="B33" s="73" t="s">
        <v>20</v>
      </c>
      <c r="C33" s="172" t="s">
        <v>61</v>
      </c>
      <c r="D33" s="172"/>
      <c r="E33" s="173"/>
      <c r="F33" s="82">
        <v>53</v>
      </c>
      <c r="G33" s="48">
        <v>5867</v>
      </c>
      <c r="H33" s="82">
        <v>54</v>
      </c>
      <c r="I33" s="48">
        <v>135</v>
      </c>
      <c r="J33" s="82">
        <v>55</v>
      </c>
      <c r="K33" s="48">
        <v>17</v>
      </c>
      <c r="L33" s="82">
        <v>56</v>
      </c>
      <c r="M33" s="48">
        <v>87433</v>
      </c>
      <c r="N33" s="82">
        <v>57</v>
      </c>
      <c r="O33" s="48">
        <v>1049</v>
      </c>
      <c r="P33" s="82">
        <v>58</v>
      </c>
      <c r="Q33" s="48">
        <v>686</v>
      </c>
      <c r="R33" s="70">
        <v>59</v>
      </c>
      <c r="S33" s="159">
        <v>6019</v>
      </c>
      <c r="T33" s="83">
        <v>60</v>
      </c>
      <c r="U33" s="159">
        <v>89168</v>
      </c>
      <c r="V33" s="65">
        <v>61</v>
      </c>
      <c r="W33" s="155">
        <v>95187</v>
      </c>
    </row>
    <row r="34" spans="1:23" s="26" customFormat="1">
      <c r="A34" s="71"/>
      <c r="B34" s="73" t="s">
        <v>27</v>
      </c>
      <c r="C34" s="172" t="s">
        <v>62</v>
      </c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3"/>
      <c r="R34" s="53">
        <v>62</v>
      </c>
      <c r="S34" s="84">
        <v>-1330</v>
      </c>
      <c r="T34" s="85">
        <v>63</v>
      </c>
      <c r="U34" s="48">
        <v>1330</v>
      </c>
      <c r="V34" s="65">
        <v>64</v>
      </c>
      <c r="W34" s="155">
        <v>0</v>
      </c>
    </row>
    <row r="35" spans="1:23" s="26" customFormat="1">
      <c r="A35" s="71"/>
      <c r="B35" s="73" t="s">
        <v>63</v>
      </c>
      <c r="C35" s="172" t="s">
        <v>64</v>
      </c>
      <c r="D35" s="172"/>
      <c r="E35" s="172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3"/>
      <c r="R35" s="53">
        <v>65</v>
      </c>
      <c r="S35" s="48">
        <v>635</v>
      </c>
      <c r="T35" s="85">
        <v>66</v>
      </c>
      <c r="U35" s="48">
        <v>2553</v>
      </c>
      <c r="V35" s="65">
        <v>67</v>
      </c>
      <c r="W35" s="155">
        <v>3188</v>
      </c>
    </row>
    <row r="36" spans="1:23" s="26" customFormat="1">
      <c r="A36" s="71"/>
      <c r="B36" s="73" t="s">
        <v>65</v>
      </c>
      <c r="C36" s="172" t="s">
        <v>66</v>
      </c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3"/>
      <c r="R36" s="53">
        <v>68</v>
      </c>
      <c r="S36" s="48">
        <v>1068</v>
      </c>
      <c r="T36" s="85">
        <v>69</v>
      </c>
      <c r="U36" s="48">
        <v>14591</v>
      </c>
      <c r="V36" s="65">
        <v>70</v>
      </c>
      <c r="W36" s="155">
        <v>15659</v>
      </c>
    </row>
    <row r="37" spans="1:23" s="26" customFormat="1">
      <c r="A37" s="68"/>
      <c r="B37" s="73" t="s">
        <v>67</v>
      </c>
      <c r="C37" s="172" t="s">
        <v>68</v>
      </c>
      <c r="D37" s="172"/>
      <c r="E37" s="172"/>
      <c r="F37" s="172"/>
      <c r="G37" s="172"/>
      <c r="H37" s="172"/>
      <c r="I37" s="172"/>
      <c r="J37" s="172"/>
      <c r="K37" s="172"/>
      <c r="L37" s="172"/>
      <c r="M37" s="172"/>
      <c r="N37" s="172"/>
      <c r="O37" s="172"/>
      <c r="P37" s="172"/>
      <c r="Q37" s="173"/>
      <c r="R37" s="53">
        <v>71</v>
      </c>
      <c r="S37" s="48">
        <v>6341</v>
      </c>
      <c r="T37" s="85">
        <v>72</v>
      </c>
      <c r="U37" s="48">
        <v>41117</v>
      </c>
      <c r="V37" s="65">
        <v>73</v>
      </c>
      <c r="W37" s="155">
        <v>47458</v>
      </c>
    </row>
    <row r="38" spans="1:23" s="26" customFormat="1">
      <c r="A38" s="68" t="s">
        <v>69</v>
      </c>
      <c r="B38" s="172" t="s">
        <v>70</v>
      </c>
      <c r="C38" s="172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72"/>
      <c r="Q38" s="173"/>
      <c r="R38" s="86"/>
      <c r="S38" s="87"/>
      <c r="T38" s="87"/>
      <c r="U38" s="87"/>
      <c r="V38" s="87"/>
      <c r="W38" s="88"/>
    </row>
    <row r="39" spans="1:23" s="26" customFormat="1">
      <c r="A39" s="71"/>
      <c r="B39" s="172" t="s">
        <v>71</v>
      </c>
      <c r="C39" s="172"/>
      <c r="D39" s="172"/>
      <c r="E39" s="172"/>
      <c r="F39" s="172"/>
      <c r="G39" s="172"/>
      <c r="H39" s="172"/>
      <c r="I39" s="172"/>
      <c r="J39" s="172"/>
      <c r="K39" s="172"/>
      <c r="L39" s="172"/>
      <c r="M39" s="172"/>
      <c r="N39" s="172"/>
      <c r="O39" s="172"/>
      <c r="P39" s="172"/>
      <c r="Q39" s="173"/>
      <c r="R39" s="70">
        <v>74</v>
      </c>
      <c r="S39" s="159">
        <v>233788</v>
      </c>
      <c r="T39" s="83">
        <v>75</v>
      </c>
      <c r="U39" s="159">
        <v>1725093</v>
      </c>
      <c r="V39" s="65">
        <v>76</v>
      </c>
      <c r="W39" s="155">
        <v>1958881</v>
      </c>
    </row>
    <row r="40" spans="1:23" s="26" customFormat="1">
      <c r="A40" s="71"/>
      <c r="B40" s="73" t="s">
        <v>20</v>
      </c>
      <c r="C40" s="187" t="s">
        <v>72</v>
      </c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8"/>
      <c r="R40" s="89">
        <v>77</v>
      </c>
      <c r="S40" s="48">
        <v>229044</v>
      </c>
      <c r="T40" s="89">
        <v>78</v>
      </c>
      <c r="U40" s="48">
        <v>1696987</v>
      </c>
      <c r="V40" s="65">
        <v>79</v>
      </c>
      <c r="W40" s="155">
        <v>1926031</v>
      </c>
    </row>
    <row r="41" spans="1:23" s="26" customFormat="1">
      <c r="A41" s="71"/>
      <c r="B41" s="56"/>
      <c r="C41" s="90" t="s">
        <v>25</v>
      </c>
      <c r="D41" s="172" t="s">
        <v>73</v>
      </c>
      <c r="E41" s="172"/>
      <c r="F41" s="172"/>
      <c r="G41" s="172"/>
      <c r="H41" s="172"/>
      <c r="I41" s="172"/>
      <c r="J41" s="172"/>
      <c r="K41" s="173"/>
      <c r="L41" s="180" t="s">
        <v>74</v>
      </c>
      <c r="M41" s="181"/>
      <c r="N41" s="180" t="s">
        <v>75</v>
      </c>
      <c r="O41" s="184"/>
      <c r="P41" s="184"/>
      <c r="Q41" s="181"/>
      <c r="R41" s="75"/>
      <c r="S41" s="76"/>
      <c r="T41" s="76"/>
      <c r="U41" s="76"/>
      <c r="V41" s="76"/>
      <c r="W41" s="77"/>
    </row>
    <row r="42" spans="1:23" s="26" customFormat="1">
      <c r="A42" s="71"/>
      <c r="B42" s="56"/>
      <c r="C42" s="73"/>
      <c r="D42" s="172" t="s">
        <v>76</v>
      </c>
      <c r="E42" s="172"/>
      <c r="F42" s="172"/>
      <c r="G42" s="172"/>
      <c r="H42" s="172"/>
      <c r="I42" s="172"/>
      <c r="J42" s="172"/>
      <c r="K42" s="173"/>
      <c r="L42" s="91">
        <v>80</v>
      </c>
      <c r="M42" s="48">
        <v>3986957</v>
      </c>
      <c r="N42" s="180" t="s">
        <v>77</v>
      </c>
      <c r="O42" s="181"/>
      <c r="P42" s="180" t="s">
        <v>78</v>
      </c>
      <c r="Q42" s="181"/>
      <c r="R42" s="79"/>
      <c r="S42" s="80"/>
      <c r="T42" s="80"/>
      <c r="U42" s="80"/>
      <c r="V42" s="80"/>
      <c r="W42" s="81"/>
    </row>
    <row r="43" spans="1:23" s="26" customFormat="1">
      <c r="A43" s="71"/>
      <c r="B43" s="73" t="s">
        <v>27</v>
      </c>
      <c r="C43" s="172" t="s">
        <v>79</v>
      </c>
      <c r="D43" s="172"/>
      <c r="E43" s="172"/>
      <c r="F43" s="172"/>
      <c r="G43" s="172"/>
      <c r="H43" s="172"/>
      <c r="I43" s="172"/>
      <c r="J43" s="172"/>
      <c r="K43" s="172"/>
      <c r="L43" s="172"/>
      <c r="M43" s="173"/>
      <c r="N43" s="91">
        <v>81</v>
      </c>
      <c r="O43" s="48">
        <v>2449</v>
      </c>
      <c r="P43" s="91">
        <v>82</v>
      </c>
      <c r="Q43" s="48">
        <v>28431</v>
      </c>
      <c r="R43" s="53">
        <v>83</v>
      </c>
      <c r="S43" s="48">
        <v>4484</v>
      </c>
      <c r="T43" s="53">
        <v>84</v>
      </c>
      <c r="U43" s="48">
        <v>18964</v>
      </c>
      <c r="V43" s="70">
        <v>85</v>
      </c>
      <c r="W43" s="160">
        <v>23448</v>
      </c>
    </row>
    <row r="44" spans="1:23" s="26" customFormat="1">
      <c r="A44" s="71"/>
      <c r="B44" s="73" t="s">
        <v>34</v>
      </c>
      <c r="C44" s="172" t="s">
        <v>80</v>
      </c>
      <c r="D44" s="172"/>
      <c r="E44" s="172"/>
      <c r="F44" s="172"/>
      <c r="G44" s="172"/>
      <c r="H44" s="172"/>
      <c r="I44" s="172"/>
      <c r="J44" s="172"/>
      <c r="K44" s="172"/>
      <c r="L44" s="172"/>
      <c r="M44" s="173"/>
      <c r="N44" s="92">
        <v>86</v>
      </c>
      <c r="O44" s="48">
        <v>11328</v>
      </c>
      <c r="P44" s="92">
        <v>87</v>
      </c>
      <c r="Q44" s="48">
        <v>1020</v>
      </c>
      <c r="R44" s="53">
        <v>88</v>
      </c>
      <c r="S44" s="48">
        <v>260</v>
      </c>
      <c r="T44" s="53">
        <v>89</v>
      </c>
      <c r="U44" s="48">
        <v>9142</v>
      </c>
      <c r="V44" s="70">
        <v>90</v>
      </c>
      <c r="W44" s="160">
        <v>9402</v>
      </c>
    </row>
    <row r="45" spans="1:23" s="26" customFormat="1">
      <c r="A45" s="68" t="s">
        <v>81</v>
      </c>
      <c r="B45" s="172" t="s">
        <v>82</v>
      </c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3"/>
      <c r="R45" s="53">
        <v>91</v>
      </c>
      <c r="S45" s="48">
        <v>12098</v>
      </c>
      <c r="T45" s="53">
        <v>92</v>
      </c>
      <c r="U45" s="48">
        <v>136304</v>
      </c>
      <c r="V45" s="70">
        <v>93</v>
      </c>
      <c r="W45" s="160">
        <v>148402</v>
      </c>
    </row>
    <row r="46" spans="1:23" s="26" customFormat="1">
      <c r="A46" s="93"/>
      <c r="B46" s="94" t="s">
        <v>16</v>
      </c>
      <c r="C46" s="185" t="s">
        <v>83</v>
      </c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6"/>
      <c r="R46" s="53">
        <v>94</v>
      </c>
      <c r="S46" s="48">
        <v>57</v>
      </c>
      <c r="T46" s="53">
        <v>95</v>
      </c>
      <c r="U46" s="48">
        <v>791</v>
      </c>
      <c r="V46" s="70">
        <v>96</v>
      </c>
      <c r="W46" s="160">
        <v>848</v>
      </c>
    </row>
    <row r="47" spans="1:23" s="26" customFormat="1">
      <c r="A47" s="68" t="s">
        <v>84</v>
      </c>
      <c r="B47" s="172" t="s">
        <v>85</v>
      </c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3"/>
      <c r="R47" s="95">
        <v>97</v>
      </c>
      <c r="S47" s="161">
        <v>221690</v>
      </c>
      <c r="T47" s="95">
        <v>98</v>
      </c>
      <c r="U47" s="162">
        <v>1588789</v>
      </c>
      <c r="V47" s="65">
        <v>99</v>
      </c>
      <c r="W47" s="155">
        <v>1810479</v>
      </c>
    </row>
    <row r="48" spans="1:23" s="26" customFormat="1" ht="15.75">
      <c r="A48" s="176" t="s">
        <v>86</v>
      </c>
      <c r="B48" s="177"/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8"/>
      <c r="R48" s="182" t="s">
        <v>22</v>
      </c>
      <c r="S48" s="183"/>
      <c r="T48" s="182" t="s">
        <v>23</v>
      </c>
      <c r="U48" s="183"/>
      <c r="V48" s="182" t="s">
        <v>24</v>
      </c>
      <c r="W48" s="183"/>
    </row>
    <row r="49" spans="1:31" s="26" customFormat="1" ht="13.5" customHeight="1">
      <c r="A49" s="71" t="s">
        <v>87</v>
      </c>
      <c r="B49" s="172" t="s">
        <v>88</v>
      </c>
      <c r="C49" s="172"/>
      <c r="D49" s="172"/>
      <c r="E49" s="172"/>
      <c r="F49" s="172"/>
      <c r="G49" s="172"/>
      <c r="H49" s="172"/>
      <c r="I49" s="172"/>
      <c r="J49" s="172"/>
      <c r="K49" s="172"/>
      <c r="L49" s="172"/>
      <c r="M49" s="172"/>
      <c r="N49" s="172"/>
      <c r="O49" s="172"/>
      <c r="P49" s="172"/>
      <c r="Q49" s="173"/>
      <c r="R49" s="96">
        <v>100</v>
      </c>
      <c r="S49" s="163">
        <v>15048</v>
      </c>
      <c r="T49" s="96">
        <v>101</v>
      </c>
      <c r="U49" s="163">
        <v>73910</v>
      </c>
      <c r="V49" s="69">
        <v>102</v>
      </c>
      <c r="W49" s="164">
        <v>88958</v>
      </c>
    </row>
    <row r="50" spans="1:31" s="100" customFormat="1" ht="14.25" customHeight="1">
      <c r="A50" s="71"/>
      <c r="B50" s="73"/>
      <c r="C50" s="73"/>
      <c r="D50" s="73"/>
      <c r="E50" s="73"/>
      <c r="F50" s="180" t="s">
        <v>56</v>
      </c>
      <c r="G50" s="184"/>
      <c r="H50" s="184"/>
      <c r="I50" s="184"/>
      <c r="J50" s="184"/>
      <c r="K50" s="181"/>
      <c r="L50" s="180" t="s">
        <v>57</v>
      </c>
      <c r="M50" s="184"/>
      <c r="N50" s="184"/>
      <c r="O50" s="184"/>
      <c r="P50" s="184"/>
      <c r="Q50" s="181"/>
      <c r="R50" s="97"/>
      <c r="S50" s="98"/>
      <c r="T50" s="98"/>
      <c r="U50" s="98"/>
      <c r="V50" s="98"/>
      <c r="W50" s="99"/>
    </row>
    <row r="51" spans="1:31" s="104" customFormat="1" ht="15" customHeight="1">
      <c r="A51" s="71"/>
      <c r="B51" s="73"/>
      <c r="C51" s="73"/>
      <c r="D51" s="73"/>
      <c r="E51" s="73"/>
      <c r="F51" s="180" t="s">
        <v>58</v>
      </c>
      <c r="G51" s="181"/>
      <c r="H51" s="180" t="s">
        <v>59</v>
      </c>
      <c r="I51" s="181"/>
      <c r="J51" s="180" t="s">
        <v>60</v>
      </c>
      <c r="K51" s="181"/>
      <c r="L51" s="180" t="s">
        <v>58</v>
      </c>
      <c r="M51" s="181"/>
      <c r="N51" s="180" t="s">
        <v>59</v>
      </c>
      <c r="O51" s="181"/>
      <c r="P51" s="180" t="s">
        <v>60</v>
      </c>
      <c r="Q51" s="181"/>
      <c r="R51" s="101"/>
      <c r="S51" s="102"/>
      <c r="T51" s="102"/>
      <c r="U51" s="102"/>
      <c r="V51" s="102"/>
      <c r="W51" s="103"/>
    </row>
    <row r="52" spans="1:31" s="106" customFormat="1" ht="15.75" customHeight="1">
      <c r="A52" s="71"/>
      <c r="B52" s="73" t="s">
        <v>20</v>
      </c>
      <c r="C52" s="172" t="s">
        <v>89</v>
      </c>
      <c r="D52" s="172"/>
      <c r="E52" s="173"/>
      <c r="F52" s="82">
        <v>103</v>
      </c>
      <c r="G52" s="48">
        <v>14410</v>
      </c>
      <c r="H52" s="82">
        <v>104</v>
      </c>
      <c r="I52" s="48">
        <v>308</v>
      </c>
      <c r="J52" s="82">
        <v>105</v>
      </c>
      <c r="K52" s="48">
        <v>8</v>
      </c>
      <c r="L52" s="82">
        <v>106</v>
      </c>
      <c r="M52" s="48">
        <v>68258</v>
      </c>
      <c r="N52" s="82">
        <v>107</v>
      </c>
      <c r="O52" s="48">
        <v>967</v>
      </c>
      <c r="P52" s="82">
        <v>108</v>
      </c>
      <c r="Q52" s="48">
        <v>243</v>
      </c>
      <c r="R52" s="105">
        <v>109</v>
      </c>
      <c r="S52" s="165">
        <v>14726</v>
      </c>
      <c r="T52" s="105">
        <v>110</v>
      </c>
      <c r="U52" s="165">
        <v>69468</v>
      </c>
      <c r="V52" s="70">
        <v>111</v>
      </c>
      <c r="W52" s="160">
        <v>84194</v>
      </c>
    </row>
    <row r="53" spans="1:31" s="107" customFormat="1" ht="13.5" customHeight="1">
      <c r="A53" s="71"/>
      <c r="B53" s="73" t="s">
        <v>27</v>
      </c>
      <c r="C53" s="172" t="s">
        <v>90</v>
      </c>
      <c r="D53" s="172"/>
      <c r="E53" s="173"/>
      <c r="F53" s="82">
        <v>112</v>
      </c>
      <c r="G53" s="48">
        <v>316</v>
      </c>
      <c r="H53" s="82">
        <v>113</v>
      </c>
      <c r="I53" s="48">
        <v>6</v>
      </c>
      <c r="J53" s="82">
        <v>114</v>
      </c>
      <c r="K53" s="48">
        <v>0</v>
      </c>
      <c r="L53" s="82">
        <v>115</v>
      </c>
      <c r="M53" s="48">
        <v>4312</v>
      </c>
      <c r="N53" s="82">
        <v>116</v>
      </c>
      <c r="O53" s="48">
        <v>105</v>
      </c>
      <c r="P53" s="82">
        <v>117</v>
      </c>
      <c r="Q53" s="48">
        <v>25</v>
      </c>
      <c r="R53" s="105">
        <v>118</v>
      </c>
      <c r="S53" s="165">
        <v>322</v>
      </c>
      <c r="T53" s="105">
        <v>119</v>
      </c>
      <c r="U53" s="165">
        <v>4442</v>
      </c>
      <c r="V53" s="70">
        <v>120</v>
      </c>
      <c r="W53" s="160">
        <v>4764</v>
      </c>
      <c r="X53" s="26"/>
      <c r="Y53" s="26"/>
      <c r="Z53" s="26"/>
      <c r="AA53" s="26"/>
      <c r="AB53" s="26"/>
      <c r="AC53" s="26"/>
      <c r="AD53" s="26"/>
      <c r="AE53" s="26"/>
    </row>
    <row r="54" spans="1:31" s="110" customFormat="1" ht="13.5" customHeight="1">
      <c r="A54" s="108" t="s">
        <v>91</v>
      </c>
      <c r="B54" s="174" t="s">
        <v>92</v>
      </c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5"/>
      <c r="R54" s="109">
        <v>121</v>
      </c>
      <c r="S54" s="48">
        <v>6</v>
      </c>
      <c r="T54" s="109">
        <v>122</v>
      </c>
      <c r="U54" s="48">
        <v>8</v>
      </c>
      <c r="V54" s="70">
        <v>123</v>
      </c>
      <c r="W54" s="160">
        <v>14</v>
      </c>
    </row>
    <row r="55" spans="1:31" ht="15.75">
      <c r="A55" s="176" t="s">
        <v>4</v>
      </c>
      <c r="B55" s="177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8"/>
    </row>
    <row r="56" spans="1:31" ht="63" customHeight="1">
      <c r="A56" s="179" t="s">
        <v>6</v>
      </c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  <c r="U56" s="179"/>
      <c r="V56" s="179"/>
      <c r="W56" s="179"/>
      <c r="AC56" s="26"/>
    </row>
    <row r="57" spans="1:31">
      <c r="U57" s="112"/>
      <c r="V57" s="113" t="s">
        <v>93</v>
      </c>
      <c r="W57" s="114">
        <v>25518518</v>
      </c>
    </row>
  </sheetData>
  <mergeCells count="82">
    <mergeCell ref="A2:O2"/>
    <mergeCell ref="A6:K6"/>
    <mergeCell ref="L6:W6"/>
    <mergeCell ref="A7:Q7"/>
    <mergeCell ref="R7:U7"/>
    <mergeCell ref="V7:W7"/>
    <mergeCell ref="B8:Q8"/>
    <mergeCell ref="C9:Q9"/>
    <mergeCell ref="B10:Q10"/>
    <mergeCell ref="C11:Q11"/>
    <mergeCell ref="R12:S12"/>
    <mergeCell ref="B20:Q20"/>
    <mergeCell ref="V12:W12"/>
    <mergeCell ref="D13:Q13"/>
    <mergeCell ref="C14:Q14"/>
    <mergeCell ref="D15:Q15"/>
    <mergeCell ref="D16:Q16"/>
    <mergeCell ref="D17:Q17"/>
    <mergeCell ref="T12:U12"/>
    <mergeCell ref="C18:Q18"/>
    <mergeCell ref="A19:Q19"/>
    <mergeCell ref="R19:S19"/>
    <mergeCell ref="T19:U19"/>
    <mergeCell ref="V19:W19"/>
    <mergeCell ref="C29:Q29"/>
    <mergeCell ref="C21:Q21"/>
    <mergeCell ref="D22:Q22"/>
    <mergeCell ref="D23:Q23"/>
    <mergeCell ref="D24:Q24"/>
    <mergeCell ref="C25:Q25"/>
    <mergeCell ref="A26:Q26"/>
    <mergeCell ref="R26:S26"/>
    <mergeCell ref="T26:U26"/>
    <mergeCell ref="V26:W26"/>
    <mergeCell ref="B27:Q27"/>
    <mergeCell ref="C28:Q28"/>
    <mergeCell ref="B30:Q30"/>
    <mergeCell ref="F31:K31"/>
    <mergeCell ref="L31:Q31"/>
    <mergeCell ref="F32:G32"/>
    <mergeCell ref="H32:I32"/>
    <mergeCell ref="J32:K32"/>
    <mergeCell ref="L32:M32"/>
    <mergeCell ref="N32:O32"/>
    <mergeCell ref="P32:Q32"/>
    <mergeCell ref="D42:K42"/>
    <mergeCell ref="N42:O42"/>
    <mergeCell ref="P42:Q42"/>
    <mergeCell ref="C33:E33"/>
    <mergeCell ref="C34:Q34"/>
    <mergeCell ref="C35:Q35"/>
    <mergeCell ref="C36:Q36"/>
    <mergeCell ref="C37:Q37"/>
    <mergeCell ref="B38:Q38"/>
    <mergeCell ref="B39:Q39"/>
    <mergeCell ref="C40:Q40"/>
    <mergeCell ref="D41:K41"/>
    <mergeCell ref="L41:M41"/>
    <mergeCell ref="N41:Q41"/>
    <mergeCell ref="C43:M43"/>
    <mergeCell ref="C44:M44"/>
    <mergeCell ref="B45:Q45"/>
    <mergeCell ref="C46:Q46"/>
    <mergeCell ref="B47:Q47"/>
    <mergeCell ref="P51:Q51"/>
    <mergeCell ref="R48:S48"/>
    <mergeCell ref="T48:U48"/>
    <mergeCell ref="V48:W48"/>
    <mergeCell ref="B49:Q49"/>
    <mergeCell ref="F50:K50"/>
    <mergeCell ref="L50:Q50"/>
    <mergeCell ref="A48:Q48"/>
    <mergeCell ref="F51:G51"/>
    <mergeCell ref="H51:I51"/>
    <mergeCell ref="J51:K51"/>
    <mergeCell ref="L51:M51"/>
    <mergeCell ref="N51:O51"/>
    <mergeCell ref="C52:E52"/>
    <mergeCell ref="C53:E53"/>
    <mergeCell ref="B54:Q54"/>
    <mergeCell ref="A55:W55"/>
    <mergeCell ref="A56:W56"/>
  </mergeCells>
  <dataValidations count="25">
    <dataValidation type="custom" sqref="Q43:Q44 O43:O44 Q52:Q53 O52:O53 U43:U46 S43:S46">
      <formula1>AND(ISNUMBER(O43),O43&gt;=0,IF(SUM(X41,X44)=0,O43=0,O43&gt;=SUM(X41,X44)))</formula1>
    </dataValidation>
    <dataValidation allowBlank="1" sqref="U48 V52:V54 R7:R41 V7:V37 S31:S32 G54 S48 W31:W32 R43:R50 V39:V40 Q54 Q45:Q51 W48 V43:V49 R52:R54 T52:T54 O54 M43:M51 N26:N54 M54 O45:O51 L26:L54 K54 K34:K51 J26:J54 I54 I34:I51 H26:H54 G26:G32 G34:G51 D26:F54 I26:I32 U31:U32 S8:S12 T8:T37 U8:U12 S19 U19 W19 W26 U26 S26 T39:T40 K26:K32 M26:M32 O26:O32 Q26:Q32 P26:P54 M34:M41 O34:O42 Q34:Q42 T43:T49 D22:D24 C21:C54 E12:Q12 E22:Q23 D12:D13 D15:D17 C11:C19 D19:Q19 C7:Q7 C9 A7:A55 B7:B54"/>
    <dataValidation type="custom" sqref="W13 S13 U13">
      <formula1>AND(ISNUMBER(S13),S13&gt;=0,S13&lt;=S33)</formula1>
    </dataValidation>
    <dataValidation type="custom" sqref="W16">
      <formula1>AND(ISNUMBER(W16),W16&gt;=0,W16&lt;=W$17)</formula1>
    </dataValidation>
    <dataValidation type="custom" sqref="W20">
      <formula1>AND(ISNUMBER(W20),W20&gt;=0,W20&lt;=W8, W20=SUM(W21,W25))</formula1>
    </dataValidation>
    <dataValidation type="custom" sqref="W29">
      <formula1>AND(ISNUMBER(W29),W29=SUM(W27,-W28))</formula1>
    </dataValidation>
    <dataValidation type="custom" sqref="S30 U30">
      <formula1>AND(ISNUMBER(S30))</formula1>
    </dataValidation>
    <dataValidation type="custom" sqref="W34">
      <formula1>AND(ISNUMBER(W34),W34=0)</formula1>
    </dataValidation>
    <dataValidation type="custom" sqref="S39 U39">
      <formula1>AND(ISNUMBER(S39),S39&gt;=0,S39=SUM(S30,S27))</formula1>
    </dataValidation>
    <dataValidation type="custom" sqref="W46 W9">
      <formula1>AND(ISNUMBER(W9),W9&gt;=0,W9&lt;=W8)</formula1>
    </dataValidation>
    <dataValidation type="custom" sqref="W47">
      <formula1>AND(ISNUMBER(W47),W47&gt;=0,W47=W39-W45)</formula1>
    </dataValidation>
    <dataValidation type="custom" sqref="W49">
      <formula1>AND(ISNUMBER(W49),W49&gt;=0,W49=SUM(W52,W53))</formula1>
    </dataValidation>
    <dataValidation type="custom" sqref="W54">
      <formula1>AND(ISNUMBER(W54),W54&gt;=0,W54&lt;=W49)</formula1>
    </dataValidation>
    <dataValidation type="custom" sqref="W39">
      <formula1>AND(ISNUMBER(W39),W39&gt;=0,W39=SUM(W40,W43,W44),W39=SUM(W27,W30))</formula1>
    </dataValidation>
    <dataValidation type="custom" sqref="W30">
      <formula1>AND(ISNUMBER(W30),W30&gt;=0, W30=SUM(W33,W34,W35,W36,W37))</formula1>
    </dataValidation>
    <dataValidation type="custom" sqref="W21">
      <formula1>AND(ISNUMBER(W21),W21&gt;=0,W21=SUM(W22,W23,W24))</formula1>
    </dataValidation>
    <dataValidation type="custom" sqref="W14">
      <formula1>AND(ISNUMBER(W14),W14&gt;=0,W14=SUM(W15,W16))</formula1>
    </dataValidation>
    <dataValidation type="custom" sqref="W11">
      <formula1>AND(ISNUMBER(W11),W11&gt;=0,W11=W33)</formula1>
    </dataValidation>
    <dataValidation type="custom" sqref="W17">
      <formula1>AND(ISNUMBER(W17),W17&gt;=0,W17&lt;=W14)</formula1>
    </dataValidation>
    <dataValidation type="custom" sqref="M42 G52:G53 I52:I53 K52:K53 M52:M53">
      <formula1>AND(ISNUMBER(G42),G42&gt;=0,IF(SUM(Q40,Q43)=0,G42=0,G42&gt;=SUM(Q40,Q43)))</formula1>
    </dataValidation>
    <dataValidation type="custom" sqref="W45 U49 U47 S52:S53 O33 W8 S14:S18 Q33 U40 S49 W27:W28 U20:U25 W15 W18 U14:U18 U33:U37 W33 W52:W53 S33:S37 W35:W37 S27:S28 U52:U53 U27:U28 G33 I33 K33 M33 W40 S20:S25 W22:W25 S40 W10 S47">
      <formula1>AND(ISNUMBER(G8),G8&gt;=0)</formula1>
    </dataValidation>
    <dataValidation type="custom" sqref="W43">
      <formula1>AND(ISNUMBER(W43),W43&gt;=0,IF(SUM(#REF!,#REF!)=0,SUM($Q$46,$S$46)=0,SUM($Q$46,$S$46)&gt;=SUM(#REF!,#REF!)))</formula1>
    </dataValidation>
    <dataValidation type="custom" sqref="W44">
      <formula1>AND(ISNUMBER(W44),W44&gt;=0,IF(SUM($Q$47,$S$47)=0,#REF!=0,SUM($Q$47,$S$47)&gt;=#REF!))</formula1>
    </dataValidation>
    <dataValidation type="custom" sqref="S29 U29">
      <formula1>AND(ISNUMBER(S29),(IF(S29&lt;&gt;0,#REF!&lt;&gt;"",#REF!="")))</formula1>
    </dataValidation>
    <dataValidation type="custom" sqref="S54 U54">
      <formula1>AND(ISNUMBER(S54),S54&gt;=0,IF(SUM(AB52,#REF!)=0,S54=0,S54&gt;=SUM(AB52,#REF!)))</formula1>
    </dataValidation>
  </dataValidations>
  <printOptions horizontalCentered="1" verticalCentered="1"/>
  <pageMargins left="0.25" right="0.25" top="0.5" bottom="0.5" header="0.25" footer="0.25"/>
  <pageSetup scale="70" orientation="portrait" r:id="rId1"/>
  <headerFooter alignWithMargins="0">
    <oddHeader>&amp;L&amp;"Arial"&amp;11STATE OF CALIFORNIA
HEALTH AND HUMAN SERVICES AGENCY&amp;R&amp;"Arial"&amp;11CALIFORNIA DEPARTMENT OF SOCIAL SERVICES
DATA SYSTEMS AND SURVEY DESIGN BUREAU&amp;C&amp;"Arial"&amp;11</oddHeader>
    <oddFooter>&amp;L&amp;"Arial"&amp;11&amp;R&amp;"Arial"&amp;11&amp;C&amp;"Arial"&amp;11&amp;P of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5">
    <pageSetUpPr fitToPage="1"/>
  </sheetPr>
  <dimension ref="A1:DY64"/>
  <sheetViews>
    <sheetView showGridLines="0" zoomScaleNormal="100" workbookViewId="0"/>
  </sheetViews>
  <sheetFormatPr defaultColWidth="16.5703125" defaultRowHeight="15"/>
  <cols>
    <col min="1" max="1" width="26.42578125" style="145" customWidth="1"/>
    <col min="2" max="124" width="20.7109375" style="136" customWidth="1"/>
    <col min="125" max="125" width="1.7109375" style="116" customWidth="1"/>
    <col min="126" max="126" width="18" style="136" bestFit="1" customWidth="1"/>
    <col min="127" max="127" width="16.5703125" style="137"/>
    <col min="128" max="16384" width="16.5703125" style="136"/>
  </cols>
  <sheetData>
    <row r="1" spans="1:129" s="117" customFormat="1" ht="15.75">
      <c r="A1" s="115" t="s">
        <v>342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116"/>
      <c r="CC1" s="116"/>
      <c r="CD1" s="116"/>
      <c r="CE1" s="116"/>
      <c r="CF1" s="116"/>
      <c r="CG1" s="116"/>
      <c r="CH1" s="116"/>
      <c r="CI1" s="116"/>
      <c r="CJ1" s="116"/>
      <c r="CK1" s="116"/>
      <c r="CL1" s="116"/>
      <c r="CM1" s="116"/>
      <c r="CN1" s="116"/>
      <c r="CO1" s="116"/>
      <c r="CP1" s="116"/>
      <c r="CQ1" s="116"/>
      <c r="CR1" s="116"/>
      <c r="CS1" s="116"/>
      <c r="CT1" s="116"/>
      <c r="CU1" s="116"/>
      <c r="CV1" s="116"/>
      <c r="CW1" s="116"/>
      <c r="CX1" s="116"/>
      <c r="CY1" s="116"/>
      <c r="CZ1" s="116"/>
      <c r="DA1" s="116"/>
      <c r="DB1" s="116"/>
      <c r="DC1" s="116"/>
      <c r="DD1" s="116"/>
      <c r="DE1" s="116"/>
      <c r="DF1" s="116"/>
      <c r="DG1" s="116"/>
      <c r="DH1" s="116"/>
      <c r="DI1" s="116"/>
      <c r="DJ1" s="116"/>
      <c r="DK1" s="116"/>
      <c r="DL1" s="116"/>
      <c r="DM1" s="116"/>
      <c r="DN1" s="116"/>
      <c r="DO1" s="116"/>
      <c r="DP1" s="116"/>
      <c r="DQ1" s="116"/>
      <c r="DR1" s="116"/>
      <c r="DS1" s="116"/>
      <c r="DT1" s="116"/>
      <c r="DU1" s="116"/>
      <c r="DW1" s="118"/>
    </row>
    <row r="2" spans="1:129" s="116" customFormat="1" ht="15.75">
      <c r="A2" s="119"/>
      <c r="B2" s="120" t="s">
        <v>95</v>
      </c>
      <c r="C2" s="120" t="s">
        <v>95</v>
      </c>
      <c r="D2" s="120" t="s">
        <v>95</v>
      </c>
      <c r="E2" s="120" t="s">
        <v>95</v>
      </c>
      <c r="F2" s="120" t="s">
        <v>95</v>
      </c>
      <c r="G2" s="120" t="s">
        <v>95</v>
      </c>
      <c r="H2" s="120" t="s">
        <v>95</v>
      </c>
      <c r="I2" s="120" t="s">
        <v>95</v>
      </c>
      <c r="J2" s="120" t="s">
        <v>95</v>
      </c>
      <c r="K2" s="120" t="s">
        <v>95</v>
      </c>
      <c r="L2" s="120" t="s">
        <v>95</v>
      </c>
      <c r="M2" s="120" t="s">
        <v>95</v>
      </c>
      <c r="N2" s="120" t="s">
        <v>95</v>
      </c>
      <c r="O2" s="120" t="s">
        <v>95</v>
      </c>
      <c r="P2" s="120" t="s">
        <v>95</v>
      </c>
      <c r="Q2" s="120" t="s">
        <v>95</v>
      </c>
      <c r="R2" s="120" t="s">
        <v>95</v>
      </c>
      <c r="S2" s="120" t="s">
        <v>95</v>
      </c>
      <c r="T2" s="120" t="s">
        <v>95</v>
      </c>
      <c r="U2" s="120" t="s">
        <v>95</v>
      </c>
      <c r="V2" s="120" t="s">
        <v>95</v>
      </c>
      <c r="W2" s="120" t="s">
        <v>95</v>
      </c>
      <c r="X2" s="120" t="s">
        <v>96</v>
      </c>
      <c r="Y2" s="120" t="s">
        <v>96</v>
      </c>
      <c r="Z2" s="120" t="s">
        <v>96</v>
      </c>
      <c r="AA2" s="120" t="s">
        <v>96</v>
      </c>
      <c r="AB2" s="120" t="s">
        <v>96</v>
      </c>
      <c r="AC2" s="120" t="s">
        <v>96</v>
      </c>
      <c r="AD2" s="120" t="s">
        <v>96</v>
      </c>
      <c r="AE2" s="120" t="s">
        <v>96</v>
      </c>
      <c r="AF2" s="120" t="s">
        <v>96</v>
      </c>
      <c r="AG2" s="120" t="s">
        <v>96</v>
      </c>
      <c r="AH2" s="120" t="s">
        <v>96</v>
      </c>
      <c r="AI2" s="120" t="s">
        <v>96</v>
      </c>
      <c r="AJ2" s="120" t="s">
        <v>96</v>
      </c>
      <c r="AK2" s="120" t="s">
        <v>96</v>
      </c>
      <c r="AL2" s="120" t="s">
        <v>96</v>
      </c>
      <c r="AM2" s="120" t="s">
        <v>96</v>
      </c>
      <c r="AN2" s="120" t="s">
        <v>96</v>
      </c>
      <c r="AO2" s="120" t="s">
        <v>96</v>
      </c>
      <c r="AP2" s="120" t="s">
        <v>97</v>
      </c>
      <c r="AQ2" s="120" t="s">
        <v>97</v>
      </c>
      <c r="AR2" s="120" t="s">
        <v>97</v>
      </c>
      <c r="AS2" s="120" t="s">
        <v>97</v>
      </c>
      <c r="AT2" s="120" t="s">
        <v>97</v>
      </c>
      <c r="AU2" s="120" t="s">
        <v>97</v>
      </c>
      <c r="AV2" s="120" t="s">
        <v>97</v>
      </c>
      <c r="AW2" s="120" t="s">
        <v>97</v>
      </c>
      <c r="AX2" s="120" t="s">
        <v>97</v>
      </c>
      <c r="AY2" s="120" t="s">
        <v>97</v>
      </c>
      <c r="AZ2" s="120" t="s">
        <v>97</v>
      </c>
      <c r="BA2" s="120" t="s">
        <v>97</v>
      </c>
      <c r="BB2" s="120" t="s">
        <v>97</v>
      </c>
      <c r="BC2" s="120" t="s">
        <v>97</v>
      </c>
      <c r="BD2" s="120" t="s">
        <v>97</v>
      </c>
      <c r="BE2" s="120" t="s">
        <v>97</v>
      </c>
      <c r="BF2" s="120" t="s">
        <v>97</v>
      </c>
      <c r="BG2" s="120" t="s">
        <v>97</v>
      </c>
      <c r="BH2" s="120" t="s">
        <v>97</v>
      </c>
      <c r="BI2" s="120" t="s">
        <v>97</v>
      </c>
      <c r="BJ2" s="120" t="s">
        <v>97</v>
      </c>
      <c r="BK2" s="120" t="s">
        <v>97</v>
      </c>
      <c r="BL2" s="120" t="s">
        <v>97</v>
      </c>
      <c r="BM2" s="120" t="s">
        <v>97</v>
      </c>
      <c r="BN2" s="120" t="s">
        <v>97</v>
      </c>
      <c r="BO2" s="120" t="s">
        <v>97</v>
      </c>
      <c r="BP2" s="120" t="s">
        <v>97</v>
      </c>
      <c r="BQ2" s="120" t="s">
        <v>97</v>
      </c>
      <c r="BR2" s="120" t="s">
        <v>97</v>
      </c>
      <c r="BS2" s="120" t="s">
        <v>97</v>
      </c>
      <c r="BT2" s="120" t="s">
        <v>97</v>
      </c>
      <c r="BU2" s="120" t="s">
        <v>97</v>
      </c>
      <c r="BV2" s="120" t="s">
        <v>97</v>
      </c>
      <c r="BW2" s="120" t="s">
        <v>97</v>
      </c>
      <c r="BX2" s="120" t="s">
        <v>97</v>
      </c>
      <c r="BY2" s="120" t="s">
        <v>97</v>
      </c>
      <c r="BZ2" s="120" t="s">
        <v>97</v>
      </c>
      <c r="CA2" s="120" t="s">
        <v>97</v>
      </c>
      <c r="CB2" s="120" t="s">
        <v>97</v>
      </c>
      <c r="CC2" s="120" t="s">
        <v>97</v>
      </c>
      <c r="CD2" s="120" t="s">
        <v>97</v>
      </c>
      <c r="CE2" s="120" t="s">
        <v>97</v>
      </c>
      <c r="CF2" s="120" t="s">
        <v>97</v>
      </c>
      <c r="CG2" s="120" t="s">
        <v>97</v>
      </c>
      <c r="CH2" s="120" t="s">
        <v>97</v>
      </c>
      <c r="CI2" s="120" t="s">
        <v>97</v>
      </c>
      <c r="CJ2" s="120" t="s">
        <v>97</v>
      </c>
      <c r="CK2" s="120" t="s">
        <v>97</v>
      </c>
      <c r="CL2" s="120" t="s">
        <v>97</v>
      </c>
      <c r="CM2" s="120" t="s">
        <v>97</v>
      </c>
      <c r="CN2" s="120" t="s">
        <v>97</v>
      </c>
      <c r="CO2" s="120" t="s">
        <v>97</v>
      </c>
      <c r="CP2" s="120" t="s">
        <v>97</v>
      </c>
      <c r="CQ2" s="120" t="s">
        <v>97</v>
      </c>
      <c r="CR2" s="120" t="s">
        <v>97</v>
      </c>
      <c r="CS2" s="120" t="s">
        <v>97</v>
      </c>
      <c r="CT2" s="120" t="s">
        <v>97</v>
      </c>
      <c r="CU2" s="120" t="s">
        <v>97</v>
      </c>
      <c r="CV2" s="120" t="s">
        <v>97</v>
      </c>
      <c r="CW2" s="120" t="s">
        <v>98</v>
      </c>
      <c r="CX2" s="120" t="s">
        <v>98</v>
      </c>
      <c r="CY2" s="120" t="s">
        <v>98</v>
      </c>
      <c r="CZ2" s="120" t="s">
        <v>98</v>
      </c>
      <c r="DA2" s="120" t="s">
        <v>98</v>
      </c>
      <c r="DB2" s="120" t="s">
        <v>98</v>
      </c>
      <c r="DC2" s="120" t="s">
        <v>98</v>
      </c>
      <c r="DD2" s="120" t="s">
        <v>98</v>
      </c>
      <c r="DE2" s="120" t="s">
        <v>98</v>
      </c>
      <c r="DF2" s="120" t="s">
        <v>98</v>
      </c>
      <c r="DG2" s="120" t="s">
        <v>98</v>
      </c>
      <c r="DH2" s="120" t="s">
        <v>98</v>
      </c>
      <c r="DI2" s="120" t="s">
        <v>98</v>
      </c>
      <c r="DJ2" s="120" t="s">
        <v>98</v>
      </c>
      <c r="DK2" s="120" t="s">
        <v>98</v>
      </c>
      <c r="DL2" s="120" t="s">
        <v>98</v>
      </c>
      <c r="DM2" s="120" t="s">
        <v>98</v>
      </c>
      <c r="DN2" s="120" t="s">
        <v>98</v>
      </c>
      <c r="DO2" s="120" t="s">
        <v>98</v>
      </c>
      <c r="DP2" s="120" t="s">
        <v>98</v>
      </c>
      <c r="DQ2" s="120" t="s">
        <v>98</v>
      </c>
      <c r="DR2" s="120" t="s">
        <v>98</v>
      </c>
      <c r="DS2" s="120" t="s">
        <v>98</v>
      </c>
      <c r="DT2" s="120" t="s">
        <v>98</v>
      </c>
    </row>
    <row r="3" spans="1:129" s="116" customFormat="1" ht="31.5">
      <c r="A3" s="119"/>
      <c r="B3" s="121"/>
      <c r="C3" s="122"/>
      <c r="D3" s="122"/>
      <c r="E3" s="123"/>
      <c r="F3" s="124" t="s">
        <v>22</v>
      </c>
      <c r="G3" s="124" t="s">
        <v>23</v>
      </c>
      <c r="H3" s="124" t="s">
        <v>99</v>
      </c>
      <c r="I3" s="125" t="s">
        <v>22</v>
      </c>
      <c r="J3" s="125" t="s">
        <v>23</v>
      </c>
      <c r="K3" s="125" t="s">
        <v>99</v>
      </c>
      <c r="L3" s="125" t="s">
        <v>22</v>
      </c>
      <c r="M3" s="125" t="s">
        <v>23</v>
      </c>
      <c r="N3" s="125" t="s">
        <v>99</v>
      </c>
      <c r="O3" s="125" t="s">
        <v>22</v>
      </c>
      <c r="P3" s="125" t="s">
        <v>23</v>
      </c>
      <c r="Q3" s="125" t="s">
        <v>99</v>
      </c>
      <c r="R3" s="125" t="s">
        <v>22</v>
      </c>
      <c r="S3" s="125" t="s">
        <v>23</v>
      </c>
      <c r="T3" s="125" t="s">
        <v>99</v>
      </c>
      <c r="U3" s="125" t="s">
        <v>22</v>
      </c>
      <c r="V3" s="125" t="s">
        <v>23</v>
      </c>
      <c r="W3" s="125" t="s">
        <v>99</v>
      </c>
      <c r="X3" s="125" t="s">
        <v>22</v>
      </c>
      <c r="Y3" s="125" t="s">
        <v>23</v>
      </c>
      <c r="Z3" s="126" t="s">
        <v>99</v>
      </c>
      <c r="AA3" s="126" t="s">
        <v>22</v>
      </c>
      <c r="AB3" s="126" t="s">
        <v>23</v>
      </c>
      <c r="AC3" s="126" t="s">
        <v>99</v>
      </c>
      <c r="AD3" s="126" t="s">
        <v>22</v>
      </c>
      <c r="AE3" s="126" t="s">
        <v>23</v>
      </c>
      <c r="AF3" s="125" t="s">
        <v>99</v>
      </c>
      <c r="AG3" s="125" t="s">
        <v>22</v>
      </c>
      <c r="AH3" s="125" t="s">
        <v>23</v>
      </c>
      <c r="AI3" s="125" t="s">
        <v>99</v>
      </c>
      <c r="AJ3" s="125" t="s">
        <v>22</v>
      </c>
      <c r="AK3" s="125" t="s">
        <v>23</v>
      </c>
      <c r="AL3" s="125" t="s">
        <v>99</v>
      </c>
      <c r="AM3" s="125" t="s">
        <v>22</v>
      </c>
      <c r="AN3" s="125" t="s">
        <v>23</v>
      </c>
      <c r="AO3" s="125" t="s">
        <v>99</v>
      </c>
      <c r="AP3" s="125" t="s">
        <v>22</v>
      </c>
      <c r="AQ3" s="125" t="s">
        <v>23</v>
      </c>
      <c r="AR3" s="125" t="s">
        <v>99</v>
      </c>
      <c r="AS3" s="125" t="s">
        <v>22</v>
      </c>
      <c r="AT3" s="125" t="s">
        <v>23</v>
      </c>
      <c r="AU3" s="125" t="s">
        <v>99</v>
      </c>
      <c r="AV3" s="125" t="s">
        <v>22</v>
      </c>
      <c r="AW3" s="125" t="s">
        <v>23</v>
      </c>
      <c r="AX3" s="125" t="s">
        <v>99</v>
      </c>
      <c r="AY3" s="125" t="s">
        <v>22</v>
      </c>
      <c r="AZ3" s="125" t="s">
        <v>23</v>
      </c>
      <c r="BA3" s="125" t="s">
        <v>99</v>
      </c>
      <c r="BB3" s="125" t="s">
        <v>100</v>
      </c>
      <c r="BC3" s="125" t="s">
        <v>101</v>
      </c>
      <c r="BD3" s="125" t="s">
        <v>102</v>
      </c>
      <c r="BE3" s="125" t="s">
        <v>103</v>
      </c>
      <c r="BF3" s="125" t="s">
        <v>104</v>
      </c>
      <c r="BG3" s="125" t="s">
        <v>105</v>
      </c>
      <c r="BH3" s="125" t="s">
        <v>22</v>
      </c>
      <c r="BI3" s="126" t="s">
        <v>23</v>
      </c>
      <c r="BJ3" s="126" t="s">
        <v>99</v>
      </c>
      <c r="BK3" s="126" t="s">
        <v>22</v>
      </c>
      <c r="BL3" s="126" t="s">
        <v>23</v>
      </c>
      <c r="BM3" s="126" t="s">
        <v>99</v>
      </c>
      <c r="BN3" s="126" t="s">
        <v>22</v>
      </c>
      <c r="BO3" s="126" t="s">
        <v>23</v>
      </c>
      <c r="BP3" s="126" t="s">
        <v>99</v>
      </c>
      <c r="BQ3" s="126" t="s">
        <v>22</v>
      </c>
      <c r="BR3" s="126" t="s">
        <v>23</v>
      </c>
      <c r="BS3" s="126" t="s">
        <v>99</v>
      </c>
      <c r="BT3" s="126" t="s">
        <v>22</v>
      </c>
      <c r="BU3" s="126" t="s">
        <v>23</v>
      </c>
      <c r="BV3" s="126" t="s">
        <v>99</v>
      </c>
      <c r="BW3" s="125" t="s">
        <v>22</v>
      </c>
      <c r="BX3" s="125" t="s">
        <v>23</v>
      </c>
      <c r="BY3" s="125" t="s">
        <v>99</v>
      </c>
      <c r="BZ3" s="125" t="s">
        <v>22</v>
      </c>
      <c r="CA3" s="125" t="s">
        <v>23</v>
      </c>
      <c r="CB3" s="126" t="s">
        <v>99</v>
      </c>
      <c r="CC3" s="126" t="s">
        <v>74</v>
      </c>
      <c r="CD3" s="126" t="s">
        <v>106</v>
      </c>
      <c r="CE3" s="126" t="s">
        <v>107</v>
      </c>
      <c r="CF3" s="126" t="s">
        <v>22</v>
      </c>
      <c r="CG3" s="126" t="s">
        <v>23</v>
      </c>
      <c r="CH3" s="126" t="s">
        <v>99</v>
      </c>
      <c r="CI3" s="126" t="s">
        <v>106</v>
      </c>
      <c r="CJ3" s="126" t="s">
        <v>107</v>
      </c>
      <c r="CK3" s="126" t="s">
        <v>22</v>
      </c>
      <c r="CL3" s="126" t="s">
        <v>23</v>
      </c>
      <c r="CM3" s="126" t="s">
        <v>99</v>
      </c>
      <c r="CN3" s="126" t="s">
        <v>22</v>
      </c>
      <c r="CO3" s="126" t="s">
        <v>23</v>
      </c>
      <c r="CP3" s="126" t="s">
        <v>99</v>
      </c>
      <c r="CQ3" s="126" t="s">
        <v>22</v>
      </c>
      <c r="CR3" s="126" t="s">
        <v>23</v>
      </c>
      <c r="CS3" s="126" t="s">
        <v>99</v>
      </c>
      <c r="CT3" s="126" t="s">
        <v>22</v>
      </c>
      <c r="CU3" s="126" t="s">
        <v>23</v>
      </c>
      <c r="CV3" s="126" t="s">
        <v>99</v>
      </c>
      <c r="CW3" s="125" t="s">
        <v>22</v>
      </c>
      <c r="CX3" s="125" t="s">
        <v>23</v>
      </c>
      <c r="CY3" s="125" t="s">
        <v>99</v>
      </c>
      <c r="CZ3" s="125" t="s">
        <v>108</v>
      </c>
      <c r="DA3" s="125" t="s">
        <v>109</v>
      </c>
      <c r="DB3" s="126" t="s">
        <v>110</v>
      </c>
      <c r="DC3" s="126" t="s">
        <v>111</v>
      </c>
      <c r="DD3" s="125" t="s">
        <v>112</v>
      </c>
      <c r="DE3" s="125" t="s">
        <v>113</v>
      </c>
      <c r="DF3" s="125" t="s">
        <v>22</v>
      </c>
      <c r="DG3" s="125" t="s">
        <v>23</v>
      </c>
      <c r="DH3" s="125" t="s">
        <v>99</v>
      </c>
      <c r="DI3" s="125" t="s">
        <v>108</v>
      </c>
      <c r="DJ3" s="125" t="s">
        <v>109</v>
      </c>
      <c r="DK3" s="126" t="s">
        <v>110</v>
      </c>
      <c r="DL3" s="126" t="s">
        <v>111</v>
      </c>
      <c r="DM3" s="125" t="s">
        <v>112</v>
      </c>
      <c r="DN3" s="125" t="s">
        <v>113</v>
      </c>
      <c r="DO3" s="125" t="s">
        <v>22</v>
      </c>
      <c r="DP3" s="125" t="s">
        <v>23</v>
      </c>
      <c r="DQ3" s="125" t="s">
        <v>99</v>
      </c>
      <c r="DR3" s="125" t="s">
        <v>22</v>
      </c>
      <c r="DS3" s="125" t="s">
        <v>23</v>
      </c>
      <c r="DT3" s="125" t="s">
        <v>99</v>
      </c>
    </row>
    <row r="4" spans="1:129" s="116" customFormat="1" ht="141.75">
      <c r="A4" s="127" t="s">
        <v>341</v>
      </c>
      <c r="B4" s="128" t="s">
        <v>114</v>
      </c>
      <c r="C4" s="128" t="s">
        <v>115</v>
      </c>
      <c r="D4" s="128" t="s">
        <v>116</v>
      </c>
      <c r="E4" s="128" t="s">
        <v>117</v>
      </c>
      <c r="F4" s="128" t="s">
        <v>118</v>
      </c>
      <c r="G4" s="128" t="s">
        <v>118</v>
      </c>
      <c r="H4" s="128" t="s">
        <v>118</v>
      </c>
      <c r="I4" s="128" t="s">
        <v>119</v>
      </c>
      <c r="J4" s="128" t="s">
        <v>119</v>
      </c>
      <c r="K4" s="128" t="s">
        <v>119</v>
      </c>
      <c r="L4" s="128" t="s">
        <v>120</v>
      </c>
      <c r="M4" s="128" t="s">
        <v>120</v>
      </c>
      <c r="N4" s="128" t="s">
        <v>120</v>
      </c>
      <c r="O4" s="128" t="s">
        <v>121</v>
      </c>
      <c r="P4" s="128" t="s">
        <v>121</v>
      </c>
      <c r="Q4" s="128" t="s">
        <v>121</v>
      </c>
      <c r="R4" s="128" t="s">
        <v>122</v>
      </c>
      <c r="S4" s="128" t="s">
        <v>122</v>
      </c>
      <c r="T4" s="128" t="s">
        <v>122</v>
      </c>
      <c r="U4" s="128" t="s">
        <v>123</v>
      </c>
      <c r="V4" s="128" t="s">
        <v>123</v>
      </c>
      <c r="W4" s="128" t="s">
        <v>123</v>
      </c>
      <c r="X4" s="128" t="s">
        <v>124</v>
      </c>
      <c r="Y4" s="128" t="s">
        <v>124</v>
      </c>
      <c r="Z4" s="128" t="s">
        <v>124</v>
      </c>
      <c r="AA4" s="128" t="s">
        <v>125</v>
      </c>
      <c r="AB4" s="128" t="s">
        <v>125</v>
      </c>
      <c r="AC4" s="128" t="s">
        <v>125</v>
      </c>
      <c r="AD4" s="128" t="s">
        <v>126</v>
      </c>
      <c r="AE4" s="128" t="s">
        <v>126</v>
      </c>
      <c r="AF4" s="128" t="s">
        <v>126</v>
      </c>
      <c r="AG4" s="128" t="s">
        <v>127</v>
      </c>
      <c r="AH4" s="128" t="s">
        <v>127</v>
      </c>
      <c r="AI4" s="128" t="s">
        <v>127</v>
      </c>
      <c r="AJ4" s="128" t="s">
        <v>128</v>
      </c>
      <c r="AK4" s="128" t="s">
        <v>128</v>
      </c>
      <c r="AL4" s="128" t="s">
        <v>128</v>
      </c>
      <c r="AM4" s="128" t="s">
        <v>129</v>
      </c>
      <c r="AN4" s="128" t="s">
        <v>129</v>
      </c>
      <c r="AO4" s="128" t="s">
        <v>129</v>
      </c>
      <c r="AP4" s="128" t="s">
        <v>130</v>
      </c>
      <c r="AQ4" s="128" t="s">
        <v>130</v>
      </c>
      <c r="AR4" s="128" t="s">
        <v>130</v>
      </c>
      <c r="AS4" s="128" t="s">
        <v>131</v>
      </c>
      <c r="AT4" s="128" t="s">
        <v>131</v>
      </c>
      <c r="AU4" s="128" t="s">
        <v>131</v>
      </c>
      <c r="AV4" s="128" t="s">
        <v>132</v>
      </c>
      <c r="AW4" s="128" t="s">
        <v>132</v>
      </c>
      <c r="AX4" s="128" t="s">
        <v>132</v>
      </c>
      <c r="AY4" s="128" t="s">
        <v>133</v>
      </c>
      <c r="AZ4" s="128" t="s">
        <v>133</v>
      </c>
      <c r="BA4" s="128" t="s">
        <v>133</v>
      </c>
      <c r="BB4" s="128" t="s">
        <v>134</v>
      </c>
      <c r="BC4" s="128" t="s">
        <v>134</v>
      </c>
      <c r="BD4" s="128" t="s">
        <v>134</v>
      </c>
      <c r="BE4" s="128" t="s">
        <v>134</v>
      </c>
      <c r="BF4" s="128" t="s">
        <v>134</v>
      </c>
      <c r="BG4" s="128" t="s">
        <v>134</v>
      </c>
      <c r="BH4" s="128" t="s">
        <v>134</v>
      </c>
      <c r="BI4" s="128" t="s">
        <v>134</v>
      </c>
      <c r="BJ4" s="128" t="s">
        <v>134</v>
      </c>
      <c r="BK4" s="128" t="s">
        <v>135</v>
      </c>
      <c r="BL4" s="128" t="s">
        <v>135</v>
      </c>
      <c r="BM4" s="128" t="s">
        <v>135</v>
      </c>
      <c r="BN4" s="128" t="s">
        <v>136</v>
      </c>
      <c r="BO4" s="128" t="s">
        <v>136</v>
      </c>
      <c r="BP4" s="128" t="s">
        <v>136</v>
      </c>
      <c r="BQ4" s="128" t="s">
        <v>137</v>
      </c>
      <c r="BR4" s="128" t="s">
        <v>137</v>
      </c>
      <c r="BS4" s="128" t="s">
        <v>137</v>
      </c>
      <c r="BT4" s="128" t="s">
        <v>138</v>
      </c>
      <c r="BU4" s="128" t="s">
        <v>138</v>
      </c>
      <c r="BV4" s="128" t="s">
        <v>138</v>
      </c>
      <c r="BW4" s="128" t="s">
        <v>139</v>
      </c>
      <c r="BX4" s="128" t="s">
        <v>139</v>
      </c>
      <c r="BY4" s="128" t="s">
        <v>139</v>
      </c>
      <c r="BZ4" s="128" t="s">
        <v>140</v>
      </c>
      <c r="CA4" s="128" t="s">
        <v>140</v>
      </c>
      <c r="CB4" s="128" t="s">
        <v>140</v>
      </c>
      <c r="CC4" s="128" t="s">
        <v>141</v>
      </c>
      <c r="CD4" s="128" t="s">
        <v>142</v>
      </c>
      <c r="CE4" s="128" t="s">
        <v>142</v>
      </c>
      <c r="CF4" s="128" t="s">
        <v>142</v>
      </c>
      <c r="CG4" s="128" t="s">
        <v>142</v>
      </c>
      <c r="CH4" s="128" t="s">
        <v>142</v>
      </c>
      <c r="CI4" s="128" t="s">
        <v>143</v>
      </c>
      <c r="CJ4" s="128" t="s">
        <v>143</v>
      </c>
      <c r="CK4" s="128" t="s">
        <v>143</v>
      </c>
      <c r="CL4" s="128" t="s">
        <v>143</v>
      </c>
      <c r="CM4" s="128" t="s">
        <v>143</v>
      </c>
      <c r="CN4" s="128" t="s">
        <v>144</v>
      </c>
      <c r="CO4" s="128" t="s">
        <v>144</v>
      </c>
      <c r="CP4" s="128" t="s">
        <v>144</v>
      </c>
      <c r="CQ4" s="128" t="s">
        <v>145</v>
      </c>
      <c r="CR4" s="128" t="s">
        <v>145</v>
      </c>
      <c r="CS4" s="128" t="s">
        <v>145</v>
      </c>
      <c r="CT4" s="128" t="s">
        <v>146</v>
      </c>
      <c r="CU4" s="128" t="s">
        <v>146</v>
      </c>
      <c r="CV4" s="128" t="s">
        <v>146</v>
      </c>
      <c r="CW4" s="128" t="s">
        <v>147</v>
      </c>
      <c r="CX4" s="128" t="s">
        <v>147</v>
      </c>
      <c r="CY4" s="128" t="s">
        <v>147</v>
      </c>
      <c r="CZ4" s="128" t="s">
        <v>148</v>
      </c>
      <c r="DA4" s="128" t="s">
        <v>148</v>
      </c>
      <c r="DB4" s="128" t="s">
        <v>148</v>
      </c>
      <c r="DC4" s="128" t="s">
        <v>148</v>
      </c>
      <c r="DD4" s="128" t="s">
        <v>148</v>
      </c>
      <c r="DE4" s="128" t="s">
        <v>148</v>
      </c>
      <c r="DF4" s="128" t="s">
        <v>148</v>
      </c>
      <c r="DG4" s="128" t="s">
        <v>148</v>
      </c>
      <c r="DH4" s="128" t="s">
        <v>148</v>
      </c>
      <c r="DI4" s="128" t="s">
        <v>149</v>
      </c>
      <c r="DJ4" s="128" t="s">
        <v>149</v>
      </c>
      <c r="DK4" s="128" t="s">
        <v>149</v>
      </c>
      <c r="DL4" s="128" t="s">
        <v>149</v>
      </c>
      <c r="DM4" s="128" t="s">
        <v>149</v>
      </c>
      <c r="DN4" s="128" t="s">
        <v>149</v>
      </c>
      <c r="DO4" s="128" t="s">
        <v>149</v>
      </c>
      <c r="DP4" s="128" t="s">
        <v>149</v>
      </c>
      <c r="DQ4" s="128" t="s">
        <v>149</v>
      </c>
      <c r="DR4" s="128" t="s">
        <v>150</v>
      </c>
      <c r="DS4" s="128" t="s">
        <v>150</v>
      </c>
      <c r="DT4" s="128" t="s">
        <v>150</v>
      </c>
    </row>
    <row r="5" spans="1:129" s="131" customFormat="1">
      <c r="A5" s="129" t="s">
        <v>151</v>
      </c>
      <c r="B5" s="130" t="s">
        <v>152</v>
      </c>
      <c r="C5" s="130" t="s">
        <v>153</v>
      </c>
      <c r="D5" s="130" t="s">
        <v>154</v>
      </c>
      <c r="E5" s="130" t="s">
        <v>155</v>
      </c>
      <c r="F5" s="130" t="s">
        <v>156</v>
      </c>
      <c r="G5" s="130" t="s">
        <v>157</v>
      </c>
      <c r="H5" s="130" t="s">
        <v>158</v>
      </c>
      <c r="I5" s="130" t="s">
        <v>159</v>
      </c>
      <c r="J5" s="130" t="s">
        <v>160</v>
      </c>
      <c r="K5" s="130" t="s">
        <v>161</v>
      </c>
      <c r="L5" s="130" t="s">
        <v>162</v>
      </c>
      <c r="M5" s="130" t="s">
        <v>163</v>
      </c>
      <c r="N5" s="130" t="s">
        <v>164</v>
      </c>
      <c r="O5" s="130" t="s">
        <v>165</v>
      </c>
      <c r="P5" s="130" t="s">
        <v>166</v>
      </c>
      <c r="Q5" s="130" t="s">
        <v>167</v>
      </c>
      <c r="R5" s="130" t="s">
        <v>168</v>
      </c>
      <c r="S5" s="130" t="s">
        <v>169</v>
      </c>
      <c r="T5" s="130" t="s">
        <v>170</v>
      </c>
      <c r="U5" s="130" t="s">
        <v>171</v>
      </c>
      <c r="V5" s="130" t="s">
        <v>172</v>
      </c>
      <c r="W5" s="130" t="s">
        <v>173</v>
      </c>
      <c r="X5" s="130" t="s">
        <v>174</v>
      </c>
      <c r="Y5" s="130" t="s">
        <v>175</v>
      </c>
      <c r="Z5" s="130" t="s">
        <v>176</v>
      </c>
      <c r="AA5" s="130" t="s">
        <v>177</v>
      </c>
      <c r="AB5" s="130" t="s">
        <v>178</v>
      </c>
      <c r="AC5" s="130" t="s">
        <v>179</v>
      </c>
      <c r="AD5" s="130" t="s">
        <v>180</v>
      </c>
      <c r="AE5" s="130" t="s">
        <v>181</v>
      </c>
      <c r="AF5" s="130" t="s">
        <v>182</v>
      </c>
      <c r="AG5" s="130" t="s">
        <v>183</v>
      </c>
      <c r="AH5" s="130" t="s">
        <v>184</v>
      </c>
      <c r="AI5" s="130" t="s">
        <v>185</v>
      </c>
      <c r="AJ5" s="130" t="s">
        <v>186</v>
      </c>
      <c r="AK5" s="130" t="s">
        <v>187</v>
      </c>
      <c r="AL5" s="130" t="s">
        <v>188</v>
      </c>
      <c r="AM5" s="130" t="s">
        <v>189</v>
      </c>
      <c r="AN5" s="130" t="s">
        <v>190</v>
      </c>
      <c r="AO5" s="130" t="s">
        <v>191</v>
      </c>
      <c r="AP5" s="130" t="s">
        <v>192</v>
      </c>
      <c r="AQ5" s="130" t="s">
        <v>193</v>
      </c>
      <c r="AR5" s="130" t="s">
        <v>194</v>
      </c>
      <c r="AS5" s="130" t="s">
        <v>195</v>
      </c>
      <c r="AT5" s="130" t="s">
        <v>196</v>
      </c>
      <c r="AU5" s="130" t="s">
        <v>197</v>
      </c>
      <c r="AV5" s="130" t="s">
        <v>198</v>
      </c>
      <c r="AW5" s="130" t="s">
        <v>199</v>
      </c>
      <c r="AX5" s="130" t="s">
        <v>200</v>
      </c>
      <c r="AY5" s="130" t="s">
        <v>201</v>
      </c>
      <c r="AZ5" s="130" t="s">
        <v>202</v>
      </c>
      <c r="BA5" s="130" t="s">
        <v>203</v>
      </c>
      <c r="BB5" s="130" t="s">
        <v>204</v>
      </c>
      <c r="BC5" s="130" t="s">
        <v>205</v>
      </c>
      <c r="BD5" s="130" t="s">
        <v>206</v>
      </c>
      <c r="BE5" s="130" t="s">
        <v>207</v>
      </c>
      <c r="BF5" s="130" t="s">
        <v>208</v>
      </c>
      <c r="BG5" s="130" t="s">
        <v>209</v>
      </c>
      <c r="BH5" s="130" t="s">
        <v>210</v>
      </c>
      <c r="BI5" s="130" t="s">
        <v>211</v>
      </c>
      <c r="BJ5" s="130" t="s">
        <v>212</v>
      </c>
      <c r="BK5" s="130" t="s">
        <v>213</v>
      </c>
      <c r="BL5" s="130" t="s">
        <v>214</v>
      </c>
      <c r="BM5" s="130" t="s">
        <v>215</v>
      </c>
      <c r="BN5" s="130" t="s">
        <v>216</v>
      </c>
      <c r="BO5" s="130" t="s">
        <v>217</v>
      </c>
      <c r="BP5" s="130" t="s">
        <v>218</v>
      </c>
      <c r="BQ5" s="130" t="s">
        <v>219</v>
      </c>
      <c r="BR5" s="130" t="s">
        <v>220</v>
      </c>
      <c r="BS5" s="130" t="s">
        <v>221</v>
      </c>
      <c r="BT5" s="130" t="s">
        <v>222</v>
      </c>
      <c r="BU5" s="130" t="s">
        <v>223</v>
      </c>
      <c r="BV5" s="130" t="s">
        <v>224</v>
      </c>
      <c r="BW5" s="130" t="s">
        <v>225</v>
      </c>
      <c r="BX5" s="130" t="s">
        <v>226</v>
      </c>
      <c r="BY5" s="130" t="s">
        <v>227</v>
      </c>
      <c r="BZ5" s="130" t="s">
        <v>228</v>
      </c>
      <c r="CA5" s="130" t="s">
        <v>229</v>
      </c>
      <c r="CB5" s="130" t="s">
        <v>230</v>
      </c>
      <c r="CC5" s="130" t="s">
        <v>231</v>
      </c>
      <c r="CD5" s="130" t="s">
        <v>232</v>
      </c>
      <c r="CE5" s="130" t="s">
        <v>233</v>
      </c>
      <c r="CF5" s="130" t="s">
        <v>234</v>
      </c>
      <c r="CG5" s="130" t="s">
        <v>235</v>
      </c>
      <c r="CH5" s="130" t="s">
        <v>236</v>
      </c>
      <c r="CI5" s="130" t="s">
        <v>237</v>
      </c>
      <c r="CJ5" s="130" t="s">
        <v>238</v>
      </c>
      <c r="CK5" s="130" t="s">
        <v>239</v>
      </c>
      <c r="CL5" s="130" t="s">
        <v>240</v>
      </c>
      <c r="CM5" s="130" t="s">
        <v>241</v>
      </c>
      <c r="CN5" s="130" t="s">
        <v>242</v>
      </c>
      <c r="CO5" s="130" t="s">
        <v>243</v>
      </c>
      <c r="CP5" s="130" t="s">
        <v>244</v>
      </c>
      <c r="CQ5" s="130" t="s">
        <v>245</v>
      </c>
      <c r="CR5" s="130" t="s">
        <v>246</v>
      </c>
      <c r="CS5" s="130" t="s">
        <v>247</v>
      </c>
      <c r="CT5" s="130" t="s">
        <v>248</v>
      </c>
      <c r="CU5" s="130" t="s">
        <v>249</v>
      </c>
      <c r="CV5" s="130" t="s">
        <v>250</v>
      </c>
      <c r="CW5" s="130" t="s">
        <v>251</v>
      </c>
      <c r="CX5" s="130" t="s">
        <v>252</v>
      </c>
      <c r="CY5" s="130" t="s">
        <v>253</v>
      </c>
      <c r="CZ5" s="130" t="s">
        <v>254</v>
      </c>
      <c r="DA5" s="130" t="s">
        <v>255</v>
      </c>
      <c r="DB5" s="130" t="s">
        <v>256</v>
      </c>
      <c r="DC5" s="130" t="s">
        <v>257</v>
      </c>
      <c r="DD5" s="130" t="s">
        <v>258</v>
      </c>
      <c r="DE5" s="130" t="s">
        <v>259</v>
      </c>
      <c r="DF5" s="130" t="s">
        <v>260</v>
      </c>
      <c r="DG5" s="130" t="s">
        <v>261</v>
      </c>
      <c r="DH5" s="130" t="s">
        <v>262</v>
      </c>
      <c r="DI5" s="130" t="s">
        <v>263</v>
      </c>
      <c r="DJ5" s="130" t="s">
        <v>264</v>
      </c>
      <c r="DK5" s="130" t="s">
        <v>265</v>
      </c>
      <c r="DL5" s="130" t="s">
        <v>266</v>
      </c>
      <c r="DM5" s="130" t="s">
        <v>267</v>
      </c>
      <c r="DN5" s="130" t="s">
        <v>268</v>
      </c>
      <c r="DO5" s="130" t="s">
        <v>269</v>
      </c>
      <c r="DP5" s="130" t="s">
        <v>270</v>
      </c>
      <c r="DQ5" s="130" t="s">
        <v>271</v>
      </c>
      <c r="DR5" s="130" t="s">
        <v>272</v>
      </c>
      <c r="DS5" s="130" t="s">
        <v>273</v>
      </c>
      <c r="DT5" s="130" t="s">
        <v>274</v>
      </c>
      <c r="DU5" s="116"/>
      <c r="DW5" s="132"/>
    </row>
    <row r="6" spans="1:129" ht="15.75">
      <c r="A6" s="133" t="s">
        <v>275</v>
      </c>
      <c r="B6" s="134" t="s">
        <v>335</v>
      </c>
      <c r="C6" s="134" t="s">
        <v>335</v>
      </c>
      <c r="D6" s="134" t="s">
        <v>335</v>
      </c>
      <c r="E6" s="134" t="s">
        <v>335</v>
      </c>
      <c r="F6" s="134" t="s">
        <v>335</v>
      </c>
      <c r="G6" s="134" t="s">
        <v>335</v>
      </c>
      <c r="H6" s="134" t="s">
        <v>335</v>
      </c>
      <c r="I6" s="134" t="s">
        <v>335</v>
      </c>
      <c r="J6" s="134" t="s">
        <v>335</v>
      </c>
      <c r="K6" s="134" t="s">
        <v>335</v>
      </c>
      <c r="L6" s="134" t="s">
        <v>335</v>
      </c>
      <c r="M6" s="134" t="s">
        <v>335</v>
      </c>
      <c r="N6" s="134" t="s">
        <v>335</v>
      </c>
      <c r="O6" s="134" t="s">
        <v>335</v>
      </c>
      <c r="P6" s="134" t="s">
        <v>335</v>
      </c>
      <c r="Q6" s="134" t="s">
        <v>335</v>
      </c>
      <c r="R6" s="134" t="s">
        <v>335</v>
      </c>
      <c r="S6" s="134" t="s">
        <v>335</v>
      </c>
      <c r="T6" s="134" t="s">
        <v>335</v>
      </c>
      <c r="U6" s="134" t="s">
        <v>335</v>
      </c>
      <c r="V6" s="134" t="s">
        <v>335</v>
      </c>
      <c r="W6" s="134" t="s">
        <v>335</v>
      </c>
      <c r="X6" s="134" t="s">
        <v>335</v>
      </c>
      <c r="Y6" s="134" t="s">
        <v>335</v>
      </c>
      <c r="Z6" s="134" t="s">
        <v>335</v>
      </c>
      <c r="AA6" s="134" t="s">
        <v>335</v>
      </c>
      <c r="AB6" s="134" t="s">
        <v>335</v>
      </c>
      <c r="AC6" s="134" t="s">
        <v>335</v>
      </c>
      <c r="AD6" s="134" t="s">
        <v>335</v>
      </c>
      <c r="AE6" s="134" t="s">
        <v>335</v>
      </c>
      <c r="AF6" s="134" t="s">
        <v>335</v>
      </c>
      <c r="AG6" s="134" t="s">
        <v>335</v>
      </c>
      <c r="AH6" s="134" t="s">
        <v>335</v>
      </c>
      <c r="AI6" s="134" t="s">
        <v>335</v>
      </c>
      <c r="AJ6" s="134" t="s">
        <v>335</v>
      </c>
      <c r="AK6" s="134" t="s">
        <v>335</v>
      </c>
      <c r="AL6" s="134" t="s">
        <v>335</v>
      </c>
      <c r="AM6" s="134" t="s">
        <v>335</v>
      </c>
      <c r="AN6" s="134" t="s">
        <v>335</v>
      </c>
      <c r="AO6" s="134" t="s">
        <v>335</v>
      </c>
      <c r="AP6" s="134" t="s">
        <v>335</v>
      </c>
      <c r="AQ6" s="134" t="s">
        <v>335</v>
      </c>
      <c r="AR6" s="134" t="s">
        <v>335</v>
      </c>
      <c r="AS6" s="134" t="s">
        <v>335</v>
      </c>
      <c r="AT6" s="134" t="s">
        <v>335</v>
      </c>
      <c r="AU6" s="134" t="s">
        <v>335</v>
      </c>
      <c r="AV6" s="134" t="s">
        <v>335</v>
      </c>
      <c r="AW6" s="134" t="s">
        <v>335</v>
      </c>
      <c r="AX6" s="134" t="s">
        <v>335</v>
      </c>
      <c r="AY6" s="134" t="s">
        <v>335</v>
      </c>
      <c r="AZ6" s="134" t="s">
        <v>335</v>
      </c>
      <c r="BA6" s="134" t="s">
        <v>335</v>
      </c>
      <c r="BB6" s="134" t="s">
        <v>335</v>
      </c>
      <c r="BC6" s="134" t="s">
        <v>335</v>
      </c>
      <c r="BD6" s="134" t="s">
        <v>335</v>
      </c>
      <c r="BE6" s="134" t="s">
        <v>335</v>
      </c>
      <c r="BF6" s="134" t="s">
        <v>335</v>
      </c>
      <c r="BG6" s="134" t="s">
        <v>335</v>
      </c>
      <c r="BH6" s="134" t="s">
        <v>335</v>
      </c>
      <c r="BI6" s="134" t="s">
        <v>335</v>
      </c>
      <c r="BJ6" s="134" t="s">
        <v>335</v>
      </c>
      <c r="BK6" s="134" t="s">
        <v>335</v>
      </c>
      <c r="BL6" s="134" t="s">
        <v>335</v>
      </c>
      <c r="BM6" s="134" t="s">
        <v>335</v>
      </c>
      <c r="BN6" s="134" t="s">
        <v>335</v>
      </c>
      <c r="BO6" s="134" t="s">
        <v>335</v>
      </c>
      <c r="BP6" s="134" t="s">
        <v>335</v>
      </c>
      <c r="BQ6" s="134" t="s">
        <v>335</v>
      </c>
      <c r="BR6" s="134" t="s">
        <v>335</v>
      </c>
      <c r="BS6" s="134" t="s">
        <v>335</v>
      </c>
      <c r="BT6" s="134" t="s">
        <v>335</v>
      </c>
      <c r="BU6" s="134" t="s">
        <v>335</v>
      </c>
      <c r="BV6" s="134" t="s">
        <v>335</v>
      </c>
      <c r="BW6" s="134" t="s">
        <v>335</v>
      </c>
      <c r="BX6" s="134" t="s">
        <v>335</v>
      </c>
      <c r="BY6" s="134" t="s">
        <v>335</v>
      </c>
      <c r="BZ6" s="134" t="s">
        <v>335</v>
      </c>
      <c r="CA6" s="134" t="s">
        <v>335</v>
      </c>
      <c r="CB6" s="134" t="s">
        <v>335</v>
      </c>
      <c r="CC6" s="134" t="s">
        <v>335</v>
      </c>
      <c r="CD6" s="134" t="s">
        <v>335</v>
      </c>
      <c r="CE6" s="134" t="s">
        <v>335</v>
      </c>
      <c r="CF6" s="134" t="s">
        <v>335</v>
      </c>
      <c r="CG6" s="134" t="s">
        <v>335</v>
      </c>
      <c r="CH6" s="134" t="s">
        <v>335</v>
      </c>
      <c r="CI6" s="134" t="s">
        <v>335</v>
      </c>
      <c r="CJ6" s="134" t="s">
        <v>335</v>
      </c>
      <c r="CK6" s="134" t="s">
        <v>335</v>
      </c>
      <c r="CL6" s="134" t="s">
        <v>335</v>
      </c>
      <c r="CM6" s="134" t="s">
        <v>335</v>
      </c>
      <c r="CN6" s="134" t="s">
        <v>335</v>
      </c>
      <c r="CO6" s="134" t="s">
        <v>335</v>
      </c>
      <c r="CP6" s="134" t="s">
        <v>335</v>
      </c>
      <c r="CQ6" s="134" t="s">
        <v>335</v>
      </c>
      <c r="CR6" s="134" t="s">
        <v>335</v>
      </c>
      <c r="CS6" s="134" t="s">
        <v>335</v>
      </c>
      <c r="CT6" s="134" t="s">
        <v>335</v>
      </c>
      <c r="CU6" s="134" t="s">
        <v>335</v>
      </c>
      <c r="CV6" s="134" t="s">
        <v>335</v>
      </c>
      <c r="CW6" s="134" t="s">
        <v>335</v>
      </c>
      <c r="CX6" s="134" t="s">
        <v>335</v>
      </c>
      <c r="CY6" s="134" t="s">
        <v>335</v>
      </c>
      <c r="CZ6" s="134" t="s">
        <v>335</v>
      </c>
      <c r="DA6" s="134" t="s">
        <v>335</v>
      </c>
      <c r="DB6" s="134" t="s">
        <v>335</v>
      </c>
      <c r="DC6" s="134" t="s">
        <v>335</v>
      </c>
      <c r="DD6" s="134" t="s">
        <v>335</v>
      </c>
      <c r="DE6" s="134" t="s">
        <v>335</v>
      </c>
      <c r="DF6" s="134" t="s">
        <v>335</v>
      </c>
      <c r="DG6" s="134" t="s">
        <v>335</v>
      </c>
      <c r="DH6" s="134" t="s">
        <v>335</v>
      </c>
      <c r="DI6" s="134" t="s">
        <v>335</v>
      </c>
      <c r="DJ6" s="134" t="s">
        <v>335</v>
      </c>
      <c r="DK6" s="134" t="s">
        <v>335</v>
      </c>
      <c r="DL6" s="134" t="s">
        <v>335</v>
      </c>
      <c r="DM6" s="134" t="s">
        <v>335</v>
      </c>
      <c r="DN6" s="134" t="s">
        <v>335</v>
      </c>
      <c r="DO6" s="134" t="s">
        <v>335</v>
      </c>
      <c r="DP6" s="134" t="s">
        <v>335</v>
      </c>
      <c r="DQ6" s="134" t="s">
        <v>335</v>
      </c>
      <c r="DR6" s="134" t="s">
        <v>335</v>
      </c>
      <c r="DS6" s="134" t="s">
        <v>335</v>
      </c>
      <c r="DT6" s="135" t="s">
        <v>335</v>
      </c>
    </row>
    <row r="7" spans="1:129">
      <c r="A7" s="133" t="s">
        <v>276</v>
      </c>
      <c r="B7" s="134">
        <v>5</v>
      </c>
      <c r="C7" s="134">
        <v>1</v>
      </c>
      <c r="D7" s="134">
        <v>6</v>
      </c>
      <c r="E7" s="134">
        <v>4</v>
      </c>
      <c r="F7" s="134">
        <v>0</v>
      </c>
      <c r="G7" s="134">
        <v>0</v>
      </c>
      <c r="H7" s="134">
        <v>0</v>
      </c>
      <c r="I7" s="134">
        <v>0</v>
      </c>
      <c r="J7" s="134">
        <v>2</v>
      </c>
      <c r="K7" s="134">
        <v>2</v>
      </c>
      <c r="L7" s="134">
        <v>0</v>
      </c>
      <c r="M7" s="134">
        <v>2</v>
      </c>
      <c r="N7" s="134">
        <v>2</v>
      </c>
      <c r="O7" s="134">
        <v>0</v>
      </c>
      <c r="P7" s="134">
        <v>0</v>
      </c>
      <c r="Q7" s="134">
        <v>0</v>
      </c>
      <c r="R7" s="134">
        <v>0</v>
      </c>
      <c r="S7" s="134">
        <v>0</v>
      </c>
      <c r="T7" s="134">
        <v>0</v>
      </c>
      <c r="U7" s="134">
        <v>0</v>
      </c>
      <c r="V7" s="134">
        <v>0</v>
      </c>
      <c r="W7" s="134">
        <v>0</v>
      </c>
      <c r="X7" s="134">
        <v>0</v>
      </c>
      <c r="Y7" s="134">
        <v>4</v>
      </c>
      <c r="Z7" s="134">
        <v>4</v>
      </c>
      <c r="AA7" s="134">
        <v>0</v>
      </c>
      <c r="AB7" s="134">
        <v>0</v>
      </c>
      <c r="AC7" s="134">
        <v>0</v>
      </c>
      <c r="AD7" s="134">
        <v>0</v>
      </c>
      <c r="AE7" s="134">
        <v>0</v>
      </c>
      <c r="AF7" s="134">
        <v>0</v>
      </c>
      <c r="AG7" s="134">
        <v>0</v>
      </c>
      <c r="AH7" s="134">
        <v>0</v>
      </c>
      <c r="AI7" s="134">
        <v>0</v>
      </c>
      <c r="AJ7" s="134">
        <v>0</v>
      </c>
      <c r="AK7" s="134">
        <v>0</v>
      </c>
      <c r="AL7" s="134">
        <v>0</v>
      </c>
      <c r="AM7" s="134">
        <v>0</v>
      </c>
      <c r="AN7" s="134">
        <v>4</v>
      </c>
      <c r="AO7" s="134">
        <v>4</v>
      </c>
      <c r="AP7" s="134">
        <v>3</v>
      </c>
      <c r="AQ7" s="134">
        <v>73</v>
      </c>
      <c r="AR7" s="134">
        <v>76</v>
      </c>
      <c r="AS7" s="134">
        <v>3</v>
      </c>
      <c r="AT7" s="134">
        <v>73</v>
      </c>
      <c r="AU7" s="134">
        <v>76</v>
      </c>
      <c r="AV7" s="134">
        <v>0</v>
      </c>
      <c r="AW7" s="134">
        <v>0</v>
      </c>
      <c r="AX7" s="134">
        <v>0</v>
      </c>
      <c r="AY7" s="134">
        <v>0</v>
      </c>
      <c r="AZ7" s="134">
        <v>4</v>
      </c>
      <c r="BA7" s="134">
        <v>4</v>
      </c>
      <c r="BB7" s="134">
        <v>0</v>
      </c>
      <c r="BC7" s="134">
        <v>0</v>
      </c>
      <c r="BD7" s="134">
        <v>0</v>
      </c>
      <c r="BE7" s="134">
        <v>4</v>
      </c>
      <c r="BF7" s="134">
        <v>0</v>
      </c>
      <c r="BG7" s="134">
        <v>0</v>
      </c>
      <c r="BH7" s="134">
        <v>0</v>
      </c>
      <c r="BI7" s="134">
        <v>4</v>
      </c>
      <c r="BJ7" s="134">
        <v>4</v>
      </c>
      <c r="BK7" s="134">
        <v>0</v>
      </c>
      <c r="BL7" s="134">
        <v>0</v>
      </c>
      <c r="BM7" s="134">
        <v>0</v>
      </c>
      <c r="BN7" s="134">
        <v>0</v>
      </c>
      <c r="BO7" s="134">
        <v>0</v>
      </c>
      <c r="BP7" s="134">
        <v>0</v>
      </c>
      <c r="BQ7" s="134">
        <v>0</v>
      </c>
      <c r="BR7" s="134">
        <v>0</v>
      </c>
      <c r="BS7" s="134">
        <v>0</v>
      </c>
      <c r="BT7" s="134">
        <v>0</v>
      </c>
      <c r="BU7" s="134">
        <v>0</v>
      </c>
      <c r="BV7" s="134">
        <v>0</v>
      </c>
      <c r="BW7" s="134">
        <v>3</v>
      </c>
      <c r="BX7" s="134">
        <v>77</v>
      </c>
      <c r="BY7" s="134">
        <v>80</v>
      </c>
      <c r="BZ7" s="134">
        <v>3</v>
      </c>
      <c r="CA7" s="134">
        <v>77</v>
      </c>
      <c r="CB7" s="134">
        <v>80</v>
      </c>
      <c r="CC7" s="134">
        <v>145</v>
      </c>
      <c r="CD7" s="134">
        <v>0</v>
      </c>
      <c r="CE7" s="134">
        <v>0</v>
      </c>
      <c r="CF7" s="134">
        <v>0</v>
      </c>
      <c r="CG7" s="134">
        <v>0</v>
      </c>
      <c r="CH7" s="134">
        <v>0</v>
      </c>
      <c r="CI7" s="134">
        <v>0</v>
      </c>
      <c r="CJ7" s="134">
        <v>0</v>
      </c>
      <c r="CK7" s="134">
        <v>0</v>
      </c>
      <c r="CL7" s="134">
        <v>0</v>
      </c>
      <c r="CM7" s="134">
        <v>0</v>
      </c>
      <c r="CN7" s="134">
        <v>0</v>
      </c>
      <c r="CO7" s="134">
        <v>3</v>
      </c>
      <c r="CP7" s="134">
        <v>3</v>
      </c>
      <c r="CQ7" s="134">
        <v>0</v>
      </c>
      <c r="CR7" s="134">
        <v>0</v>
      </c>
      <c r="CS7" s="134">
        <v>0</v>
      </c>
      <c r="CT7" s="134">
        <v>3</v>
      </c>
      <c r="CU7" s="134">
        <v>74</v>
      </c>
      <c r="CV7" s="134">
        <v>77</v>
      </c>
      <c r="CW7" s="134">
        <v>0</v>
      </c>
      <c r="CX7" s="134">
        <v>1</v>
      </c>
      <c r="CY7" s="134">
        <v>1</v>
      </c>
      <c r="CZ7" s="134">
        <v>0</v>
      </c>
      <c r="DA7" s="134">
        <v>0</v>
      </c>
      <c r="DB7" s="134">
        <v>0</v>
      </c>
      <c r="DC7" s="134">
        <v>1</v>
      </c>
      <c r="DD7" s="134">
        <v>0</v>
      </c>
      <c r="DE7" s="134">
        <v>0</v>
      </c>
      <c r="DF7" s="134">
        <v>0</v>
      </c>
      <c r="DG7" s="134">
        <v>1</v>
      </c>
      <c r="DH7" s="134">
        <v>1</v>
      </c>
      <c r="DI7" s="134">
        <v>0</v>
      </c>
      <c r="DJ7" s="134">
        <v>0</v>
      </c>
      <c r="DK7" s="134">
        <v>0</v>
      </c>
      <c r="DL7" s="134">
        <v>0</v>
      </c>
      <c r="DM7" s="134">
        <v>0</v>
      </c>
      <c r="DN7" s="134">
        <v>0</v>
      </c>
      <c r="DO7" s="134">
        <v>0</v>
      </c>
      <c r="DP7" s="134">
        <v>0</v>
      </c>
      <c r="DQ7" s="134">
        <v>0</v>
      </c>
      <c r="DR7" s="134">
        <v>0</v>
      </c>
      <c r="DS7" s="134">
        <v>0</v>
      </c>
      <c r="DT7" s="135">
        <v>0</v>
      </c>
    </row>
    <row r="8" spans="1:129">
      <c r="A8" s="133" t="s">
        <v>277</v>
      </c>
      <c r="B8" s="134">
        <v>108</v>
      </c>
      <c r="C8" s="134">
        <v>12</v>
      </c>
      <c r="D8" s="134">
        <v>127</v>
      </c>
      <c r="E8" s="134">
        <v>75</v>
      </c>
      <c r="F8" s="134">
        <v>1</v>
      </c>
      <c r="G8" s="134">
        <v>1</v>
      </c>
      <c r="H8" s="134">
        <v>2</v>
      </c>
      <c r="I8" s="134">
        <v>0</v>
      </c>
      <c r="J8" s="134">
        <v>43</v>
      </c>
      <c r="K8" s="134">
        <v>43</v>
      </c>
      <c r="L8" s="134">
        <v>0</v>
      </c>
      <c r="M8" s="134">
        <v>16</v>
      </c>
      <c r="N8" s="134">
        <v>16</v>
      </c>
      <c r="O8" s="134">
        <v>0</v>
      </c>
      <c r="P8" s="134">
        <v>27</v>
      </c>
      <c r="Q8" s="134">
        <v>27</v>
      </c>
      <c r="R8" s="134">
        <v>0</v>
      </c>
      <c r="S8" s="134">
        <v>0</v>
      </c>
      <c r="T8" s="134">
        <v>0</v>
      </c>
      <c r="U8" s="134">
        <v>0</v>
      </c>
      <c r="V8" s="134">
        <v>9</v>
      </c>
      <c r="W8" s="134">
        <v>9</v>
      </c>
      <c r="X8" s="134">
        <v>0</v>
      </c>
      <c r="Y8" s="134">
        <v>127</v>
      </c>
      <c r="Z8" s="134">
        <v>127</v>
      </c>
      <c r="AA8" s="134">
        <v>0</v>
      </c>
      <c r="AB8" s="134">
        <v>52</v>
      </c>
      <c r="AC8" s="134">
        <v>52</v>
      </c>
      <c r="AD8" s="134">
        <v>0</v>
      </c>
      <c r="AE8" s="134">
        <v>52</v>
      </c>
      <c r="AF8" s="134">
        <v>52</v>
      </c>
      <c r="AG8" s="134">
        <v>0</v>
      </c>
      <c r="AH8" s="134">
        <v>0</v>
      </c>
      <c r="AI8" s="134">
        <v>0</v>
      </c>
      <c r="AJ8" s="134">
        <v>0</v>
      </c>
      <c r="AK8" s="134">
        <v>0</v>
      </c>
      <c r="AL8" s="134">
        <v>0</v>
      </c>
      <c r="AM8" s="134">
        <v>0</v>
      </c>
      <c r="AN8" s="134">
        <v>75</v>
      </c>
      <c r="AO8" s="134">
        <v>75</v>
      </c>
      <c r="AP8" s="134">
        <v>106</v>
      </c>
      <c r="AQ8" s="134">
        <v>1429</v>
      </c>
      <c r="AR8" s="134">
        <v>1535</v>
      </c>
      <c r="AS8" s="134">
        <v>106</v>
      </c>
      <c r="AT8" s="134">
        <v>1429</v>
      </c>
      <c r="AU8" s="134">
        <v>1535</v>
      </c>
      <c r="AV8" s="134">
        <v>0</v>
      </c>
      <c r="AW8" s="134">
        <v>0</v>
      </c>
      <c r="AX8" s="134">
        <v>0</v>
      </c>
      <c r="AY8" s="134">
        <v>8</v>
      </c>
      <c r="AZ8" s="134">
        <v>124</v>
      </c>
      <c r="BA8" s="134">
        <v>132</v>
      </c>
      <c r="BB8" s="134">
        <v>1</v>
      </c>
      <c r="BC8" s="134">
        <v>0</v>
      </c>
      <c r="BD8" s="134">
        <v>0</v>
      </c>
      <c r="BE8" s="134">
        <v>74</v>
      </c>
      <c r="BF8" s="134">
        <v>0</v>
      </c>
      <c r="BG8" s="134">
        <v>0</v>
      </c>
      <c r="BH8" s="134">
        <v>1</v>
      </c>
      <c r="BI8" s="134">
        <v>74</v>
      </c>
      <c r="BJ8" s="134">
        <v>75</v>
      </c>
      <c r="BK8" s="134">
        <v>-1</v>
      </c>
      <c r="BL8" s="134">
        <v>1</v>
      </c>
      <c r="BM8" s="134">
        <v>0</v>
      </c>
      <c r="BN8" s="134">
        <v>2</v>
      </c>
      <c r="BO8" s="134">
        <v>2</v>
      </c>
      <c r="BP8" s="134">
        <v>4</v>
      </c>
      <c r="BQ8" s="134">
        <v>1</v>
      </c>
      <c r="BR8" s="134">
        <v>28</v>
      </c>
      <c r="BS8" s="134">
        <v>29</v>
      </c>
      <c r="BT8" s="134">
        <v>5</v>
      </c>
      <c r="BU8" s="134">
        <v>19</v>
      </c>
      <c r="BV8" s="134">
        <v>24</v>
      </c>
      <c r="BW8" s="134">
        <v>114</v>
      </c>
      <c r="BX8" s="134">
        <v>1553</v>
      </c>
      <c r="BY8" s="134">
        <v>1667</v>
      </c>
      <c r="BZ8" s="134">
        <v>114</v>
      </c>
      <c r="CA8" s="134">
        <v>1552</v>
      </c>
      <c r="CB8" s="134">
        <v>1666</v>
      </c>
      <c r="CC8" s="134">
        <v>3030</v>
      </c>
      <c r="CD8" s="134">
        <v>0</v>
      </c>
      <c r="CE8" s="134">
        <v>1</v>
      </c>
      <c r="CF8" s="134">
        <v>0</v>
      </c>
      <c r="CG8" s="134">
        <v>1</v>
      </c>
      <c r="CH8" s="134">
        <v>1</v>
      </c>
      <c r="CI8" s="134">
        <v>0</v>
      </c>
      <c r="CJ8" s="134">
        <v>0</v>
      </c>
      <c r="CK8" s="134">
        <v>0</v>
      </c>
      <c r="CL8" s="134">
        <v>0</v>
      </c>
      <c r="CM8" s="134">
        <v>0</v>
      </c>
      <c r="CN8" s="134">
        <v>9</v>
      </c>
      <c r="CO8" s="134">
        <v>135</v>
      </c>
      <c r="CP8" s="134">
        <v>144</v>
      </c>
      <c r="CQ8" s="134">
        <v>0</v>
      </c>
      <c r="CR8" s="134">
        <v>0</v>
      </c>
      <c r="CS8" s="134">
        <v>0</v>
      </c>
      <c r="CT8" s="134">
        <v>105</v>
      </c>
      <c r="CU8" s="134">
        <v>1418</v>
      </c>
      <c r="CV8" s="134">
        <v>1523</v>
      </c>
      <c r="CW8" s="134">
        <v>14</v>
      </c>
      <c r="CX8" s="134">
        <v>51</v>
      </c>
      <c r="CY8" s="134">
        <v>65</v>
      </c>
      <c r="CZ8" s="134">
        <v>14</v>
      </c>
      <c r="DA8" s="134">
        <v>0</v>
      </c>
      <c r="DB8" s="134">
        <v>0</v>
      </c>
      <c r="DC8" s="134">
        <v>50</v>
      </c>
      <c r="DD8" s="134">
        <v>0</v>
      </c>
      <c r="DE8" s="134">
        <v>0</v>
      </c>
      <c r="DF8" s="134">
        <v>14</v>
      </c>
      <c r="DG8" s="134">
        <v>50</v>
      </c>
      <c r="DH8" s="134">
        <v>64</v>
      </c>
      <c r="DI8" s="134">
        <v>0</v>
      </c>
      <c r="DJ8" s="134">
        <v>0</v>
      </c>
      <c r="DK8" s="134">
        <v>0</v>
      </c>
      <c r="DL8" s="134">
        <v>1</v>
      </c>
      <c r="DM8" s="134">
        <v>0</v>
      </c>
      <c r="DN8" s="134">
        <v>0</v>
      </c>
      <c r="DO8" s="134">
        <v>0</v>
      </c>
      <c r="DP8" s="134">
        <v>1</v>
      </c>
      <c r="DQ8" s="134">
        <v>1</v>
      </c>
      <c r="DR8" s="134">
        <v>0</v>
      </c>
      <c r="DS8" s="134">
        <v>0</v>
      </c>
      <c r="DT8" s="135">
        <v>0</v>
      </c>
    </row>
    <row r="9" spans="1:129">
      <c r="A9" s="133" t="s">
        <v>278</v>
      </c>
      <c r="B9" s="134">
        <v>1715</v>
      </c>
      <c r="C9" s="134">
        <v>745</v>
      </c>
      <c r="D9" s="134">
        <v>1739</v>
      </c>
      <c r="E9" s="134">
        <v>896</v>
      </c>
      <c r="F9" s="134">
        <v>2</v>
      </c>
      <c r="G9" s="134">
        <v>111</v>
      </c>
      <c r="H9" s="134">
        <v>113</v>
      </c>
      <c r="I9" s="134">
        <v>0</v>
      </c>
      <c r="J9" s="134">
        <v>753</v>
      </c>
      <c r="K9" s="134">
        <v>753</v>
      </c>
      <c r="L9" s="134">
        <v>0</v>
      </c>
      <c r="M9" s="134">
        <v>105</v>
      </c>
      <c r="N9" s="134">
        <v>105</v>
      </c>
      <c r="O9" s="134">
        <v>0</v>
      </c>
      <c r="P9" s="134">
        <v>648</v>
      </c>
      <c r="Q9" s="134">
        <v>648</v>
      </c>
      <c r="R9" s="134">
        <v>0</v>
      </c>
      <c r="S9" s="134">
        <v>40</v>
      </c>
      <c r="T9" s="134">
        <v>40</v>
      </c>
      <c r="U9" s="134">
        <v>0</v>
      </c>
      <c r="V9" s="134">
        <v>90</v>
      </c>
      <c r="W9" s="134">
        <v>90</v>
      </c>
      <c r="X9" s="134">
        <v>18</v>
      </c>
      <c r="Y9" s="134">
        <v>1721</v>
      </c>
      <c r="Z9" s="134">
        <v>1739</v>
      </c>
      <c r="AA9" s="134">
        <v>8</v>
      </c>
      <c r="AB9" s="134">
        <v>618</v>
      </c>
      <c r="AC9" s="134">
        <v>626</v>
      </c>
      <c r="AD9" s="134">
        <v>8</v>
      </c>
      <c r="AE9" s="134">
        <v>569</v>
      </c>
      <c r="AF9" s="134">
        <v>577</v>
      </c>
      <c r="AG9" s="134">
        <v>0</v>
      </c>
      <c r="AH9" s="134">
        <v>29</v>
      </c>
      <c r="AI9" s="134">
        <v>29</v>
      </c>
      <c r="AJ9" s="134">
        <v>0</v>
      </c>
      <c r="AK9" s="134">
        <v>20</v>
      </c>
      <c r="AL9" s="134">
        <v>20</v>
      </c>
      <c r="AM9" s="134">
        <v>10</v>
      </c>
      <c r="AN9" s="134">
        <v>1103</v>
      </c>
      <c r="AO9" s="134">
        <v>1113</v>
      </c>
      <c r="AP9" s="134">
        <v>1459</v>
      </c>
      <c r="AQ9" s="134">
        <v>13847</v>
      </c>
      <c r="AR9" s="134">
        <v>15306</v>
      </c>
      <c r="AS9" s="134">
        <v>1459</v>
      </c>
      <c r="AT9" s="134">
        <v>13847</v>
      </c>
      <c r="AU9" s="134">
        <v>15306</v>
      </c>
      <c r="AV9" s="134">
        <v>0</v>
      </c>
      <c r="AW9" s="134">
        <v>0</v>
      </c>
      <c r="AX9" s="134">
        <v>0</v>
      </c>
      <c r="AY9" s="134">
        <v>49</v>
      </c>
      <c r="AZ9" s="134">
        <v>1604</v>
      </c>
      <c r="BA9" s="134">
        <v>1653</v>
      </c>
      <c r="BB9" s="134">
        <v>20</v>
      </c>
      <c r="BC9" s="134">
        <v>0</v>
      </c>
      <c r="BD9" s="134">
        <v>0</v>
      </c>
      <c r="BE9" s="134">
        <v>871</v>
      </c>
      <c r="BF9" s="134">
        <v>2</v>
      </c>
      <c r="BG9" s="134">
        <v>3</v>
      </c>
      <c r="BH9" s="134">
        <v>20</v>
      </c>
      <c r="BI9" s="134">
        <v>876</v>
      </c>
      <c r="BJ9" s="134">
        <v>896</v>
      </c>
      <c r="BK9" s="134">
        <v>-33</v>
      </c>
      <c r="BL9" s="134">
        <v>33</v>
      </c>
      <c r="BM9" s="134">
        <v>0</v>
      </c>
      <c r="BN9" s="134">
        <v>10</v>
      </c>
      <c r="BO9" s="134">
        <v>40</v>
      </c>
      <c r="BP9" s="134">
        <v>50</v>
      </c>
      <c r="BQ9" s="134">
        <v>7</v>
      </c>
      <c r="BR9" s="134">
        <v>183</v>
      </c>
      <c r="BS9" s="134">
        <v>190</v>
      </c>
      <c r="BT9" s="134">
        <v>45</v>
      </c>
      <c r="BU9" s="134">
        <v>472</v>
      </c>
      <c r="BV9" s="134">
        <v>517</v>
      </c>
      <c r="BW9" s="134">
        <v>1508</v>
      </c>
      <c r="BX9" s="134">
        <v>15451</v>
      </c>
      <c r="BY9" s="134">
        <v>16959</v>
      </c>
      <c r="BZ9" s="134">
        <v>1504</v>
      </c>
      <c r="CA9" s="134">
        <v>15381</v>
      </c>
      <c r="CB9" s="134">
        <v>16885</v>
      </c>
      <c r="CC9" s="134">
        <v>31123</v>
      </c>
      <c r="CD9" s="134">
        <v>3</v>
      </c>
      <c r="CE9" s="134">
        <v>48</v>
      </c>
      <c r="CF9" s="134">
        <v>4</v>
      </c>
      <c r="CG9" s="134">
        <v>44</v>
      </c>
      <c r="CH9" s="134">
        <v>48</v>
      </c>
      <c r="CI9" s="134">
        <v>24</v>
      </c>
      <c r="CJ9" s="134">
        <v>9</v>
      </c>
      <c r="CK9" s="134">
        <v>0</v>
      </c>
      <c r="CL9" s="134">
        <v>26</v>
      </c>
      <c r="CM9" s="134">
        <v>26</v>
      </c>
      <c r="CN9" s="134">
        <v>80</v>
      </c>
      <c r="CO9" s="134">
        <v>1301</v>
      </c>
      <c r="CP9" s="134">
        <v>1381</v>
      </c>
      <c r="CQ9" s="134">
        <v>0</v>
      </c>
      <c r="CR9" s="134">
        <v>33</v>
      </c>
      <c r="CS9" s="134">
        <v>33</v>
      </c>
      <c r="CT9" s="134">
        <v>1428</v>
      </c>
      <c r="CU9" s="134">
        <v>14150</v>
      </c>
      <c r="CV9" s="134">
        <v>15578</v>
      </c>
      <c r="CW9" s="134">
        <v>103</v>
      </c>
      <c r="CX9" s="134">
        <v>588</v>
      </c>
      <c r="CY9" s="134">
        <v>691</v>
      </c>
      <c r="CZ9" s="134">
        <v>103</v>
      </c>
      <c r="DA9" s="134">
        <v>0</v>
      </c>
      <c r="DB9" s="134">
        <v>0</v>
      </c>
      <c r="DC9" s="134">
        <v>574</v>
      </c>
      <c r="DD9" s="134">
        <v>2</v>
      </c>
      <c r="DE9" s="134">
        <v>0</v>
      </c>
      <c r="DF9" s="134">
        <v>103</v>
      </c>
      <c r="DG9" s="134">
        <v>576</v>
      </c>
      <c r="DH9" s="134">
        <v>679</v>
      </c>
      <c r="DI9" s="134">
        <v>0</v>
      </c>
      <c r="DJ9" s="134">
        <v>0</v>
      </c>
      <c r="DK9" s="134">
        <v>0</v>
      </c>
      <c r="DL9" s="134">
        <v>12</v>
      </c>
      <c r="DM9" s="134">
        <v>0</v>
      </c>
      <c r="DN9" s="134">
        <v>0</v>
      </c>
      <c r="DO9" s="134">
        <v>0</v>
      </c>
      <c r="DP9" s="134">
        <v>12</v>
      </c>
      <c r="DQ9" s="134">
        <v>12</v>
      </c>
      <c r="DR9" s="134">
        <v>0</v>
      </c>
      <c r="DS9" s="134">
        <v>0</v>
      </c>
      <c r="DT9" s="135">
        <v>0</v>
      </c>
    </row>
    <row r="10" spans="1:129">
      <c r="A10" s="133" t="s">
        <v>279</v>
      </c>
      <c r="B10" s="134">
        <v>197</v>
      </c>
      <c r="C10" s="134">
        <v>33</v>
      </c>
      <c r="D10" s="134">
        <v>163</v>
      </c>
      <c r="E10" s="134">
        <v>113</v>
      </c>
      <c r="F10" s="134">
        <v>0</v>
      </c>
      <c r="G10" s="134">
        <v>2</v>
      </c>
      <c r="H10" s="134">
        <v>2</v>
      </c>
      <c r="I10" s="134">
        <v>0</v>
      </c>
      <c r="J10" s="134">
        <v>45</v>
      </c>
      <c r="K10" s="134">
        <v>45</v>
      </c>
      <c r="L10" s="134">
        <v>0</v>
      </c>
      <c r="M10" s="134">
        <v>16</v>
      </c>
      <c r="N10" s="134">
        <v>16</v>
      </c>
      <c r="O10" s="134">
        <v>0</v>
      </c>
      <c r="P10" s="134">
        <v>29</v>
      </c>
      <c r="Q10" s="134">
        <v>29</v>
      </c>
      <c r="R10" s="134">
        <v>0</v>
      </c>
      <c r="S10" s="134">
        <v>1</v>
      </c>
      <c r="T10" s="134">
        <v>1</v>
      </c>
      <c r="U10" s="134">
        <v>0</v>
      </c>
      <c r="V10" s="134">
        <v>5</v>
      </c>
      <c r="W10" s="134">
        <v>5</v>
      </c>
      <c r="X10" s="134">
        <v>3</v>
      </c>
      <c r="Y10" s="134">
        <v>160</v>
      </c>
      <c r="Z10" s="134">
        <v>163</v>
      </c>
      <c r="AA10" s="134">
        <v>2</v>
      </c>
      <c r="AB10" s="134">
        <v>76</v>
      </c>
      <c r="AC10" s="134">
        <v>78</v>
      </c>
      <c r="AD10" s="134">
        <v>2</v>
      </c>
      <c r="AE10" s="134">
        <v>70</v>
      </c>
      <c r="AF10" s="134">
        <v>72</v>
      </c>
      <c r="AG10" s="134">
        <v>0</v>
      </c>
      <c r="AH10" s="134">
        <v>5</v>
      </c>
      <c r="AI10" s="134">
        <v>5</v>
      </c>
      <c r="AJ10" s="134">
        <v>0</v>
      </c>
      <c r="AK10" s="134">
        <v>1</v>
      </c>
      <c r="AL10" s="134">
        <v>1</v>
      </c>
      <c r="AM10" s="134">
        <v>1</v>
      </c>
      <c r="AN10" s="134">
        <v>84</v>
      </c>
      <c r="AO10" s="134">
        <v>85</v>
      </c>
      <c r="AP10" s="134">
        <v>195</v>
      </c>
      <c r="AQ10" s="134">
        <v>2418</v>
      </c>
      <c r="AR10" s="134">
        <v>2613</v>
      </c>
      <c r="AS10" s="134">
        <v>195</v>
      </c>
      <c r="AT10" s="134">
        <v>2418</v>
      </c>
      <c r="AU10" s="134">
        <v>2613</v>
      </c>
      <c r="AV10" s="134">
        <v>0</v>
      </c>
      <c r="AW10" s="134">
        <v>0</v>
      </c>
      <c r="AX10" s="134">
        <v>0</v>
      </c>
      <c r="AY10" s="134">
        <v>13</v>
      </c>
      <c r="AZ10" s="134">
        <v>193</v>
      </c>
      <c r="BA10" s="134">
        <v>206</v>
      </c>
      <c r="BB10" s="134">
        <v>3</v>
      </c>
      <c r="BC10" s="134">
        <v>0</v>
      </c>
      <c r="BD10" s="134">
        <v>0</v>
      </c>
      <c r="BE10" s="134">
        <v>109</v>
      </c>
      <c r="BF10" s="134">
        <v>1</v>
      </c>
      <c r="BG10" s="134">
        <v>0</v>
      </c>
      <c r="BH10" s="134">
        <v>3</v>
      </c>
      <c r="BI10" s="134">
        <v>110</v>
      </c>
      <c r="BJ10" s="134">
        <v>113</v>
      </c>
      <c r="BK10" s="134">
        <v>-4</v>
      </c>
      <c r="BL10" s="134">
        <v>4</v>
      </c>
      <c r="BM10" s="134">
        <v>0</v>
      </c>
      <c r="BN10" s="134">
        <v>4</v>
      </c>
      <c r="BO10" s="134">
        <v>7</v>
      </c>
      <c r="BP10" s="134">
        <v>11</v>
      </c>
      <c r="BQ10" s="134">
        <v>2</v>
      </c>
      <c r="BR10" s="134">
        <v>29</v>
      </c>
      <c r="BS10" s="134">
        <v>31</v>
      </c>
      <c r="BT10" s="134">
        <v>8</v>
      </c>
      <c r="BU10" s="134">
        <v>43</v>
      </c>
      <c r="BV10" s="134">
        <v>51</v>
      </c>
      <c r="BW10" s="134">
        <v>208</v>
      </c>
      <c r="BX10" s="134">
        <v>2611</v>
      </c>
      <c r="BY10" s="134">
        <v>2819</v>
      </c>
      <c r="BZ10" s="134">
        <v>208</v>
      </c>
      <c r="CA10" s="134">
        <v>2605</v>
      </c>
      <c r="CB10" s="134">
        <v>2813</v>
      </c>
      <c r="CC10" s="134">
        <v>5036</v>
      </c>
      <c r="CD10" s="134">
        <v>2</v>
      </c>
      <c r="CE10" s="134">
        <v>3</v>
      </c>
      <c r="CF10" s="134">
        <v>0</v>
      </c>
      <c r="CG10" s="134">
        <v>5</v>
      </c>
      <c r="CH10" s="134">
        <v>5</v>
      </c>
      <c r="CI10" s="134">
        <v>1</v>
      </c>
      <c r="CJ10" s="134">
        <v>0</v>
      </c>
      <c r="CK10" s="134">
        <v>0</v>
      </c>
      <c r="CL10" s="134">
        <v>1</v>
      </c>
      <c r="CM10" s="134">
        <v>1</v>
      </c>
      <c r="CN10" s="134">
        <v>16</v>
      </c>
      <c r="CO10" s="134">
        <v>238</v>
      </c>
      <c r="CP10" s="134">
        <v>254</v>
      </c>
      <c r="CQ10" s="134">
        <v>0</v>
      </c>
      <c r="CR10" s="134">
        <v>0</v>
      </c>
      <c r="CS10" s="134">
        <v>0</v>
      </c>
      <c r="CT10" s="134">
        <v>192</v>
      </c>
      <c r="CU10" s="134">
        <v>2373</v>
      </c>
      <c r="CV10" s="134">
        <v>2565</v>
      </c>
      <c r="CW10" s="134">
        <v>11</v>
      </c>
      <c r="CX10" s="134">
        <v>92</v>
      </c>
      <c r="CY10" s="134">
        <v>103</v>
      </c>
      <c r="CZ10" s="134">
        <v>11</v>
      </c>
      <c r="DA10" s="134">
        <v>0</v>
      </c>
      <c r="DB10" s="134">
        <v>0</v>
      </c>
      <c r="DC10" s="134">
        <v>90</v>
      </c>
      <c r="DD10" s="134">
        <v>1</v>
      </c>
      <c r="DE10" s="134">
        <v>0</v>
      </c>
      <c r="DF10" s="134">
        <v>11</v>
      </c>
      <c r="DG10" s="134">
        <v>91</v>
      </c>
      <c r="DH10" s="134">
        <v>102</v>
      </c>
      <c r="DI10" s="134">
        <v>0</v>
      </c>
      <c r="DJ10" s="134">
        <v>0</v>
      </c>
      <c r="DK10" s="134">
        <v>0</v>
      </c>
      <c r="DL10" s="134">
        <v>1</v>
      </c>
      <c r="DM10" s="134">
        <v>0</v>
      </c>
      <c r="DN10" s="134">
        <v>0</v>
      </c>
      <c r="DO10" s="134">
        <v>0</v>
      </c>
      <c r="DP10" s="134">
        <v>1</v>
      </c>
      <c r="DQ10" s="134">
        <v>1</v>
      </c>
      <c r="DR10" s="134">
        <v>0</v>
      </c>
      <c r="DS10" s="134">
        <v>0</v>
      </c>
      <c r="DT10" s="135">
        <v>0</v>
      </c>
    </row>
    <row r="11" spans="1:129">
      <c r="A11" s="133" t="s">
        <v>280</v>
      </c>
      <c r="B11" s="134">
        <v>65</v>
      </c>
      <c r="C11" s="134">
        <v>7</v>
      </c>
      <c r="D11" s="134">
        <v>62</v>
      </c>
      <c r="E11" s="134">
        <v>35</v>
      </c>
      <c r="F11" s="134">
        <v>0</v>
      </c>
      <c r="G11" s="134">
        <v>2</v>
      </c>
      <c r="H11" s="134">
        <v>2</v>
      </c>
      <c r="I11" s="134">
        <v>0</v>
      </c>
      <c r="J11" s="134">
        <v>21</v>
      </c>
      <c r="K11" s="134">
        <v>21</v>
      </c>
      <c r="L11" s="134">
        <v>0</v>
      </c>
      <c r="M11" s="134">
        <v>5</v>
      </c>
      <c r="N11" s="134">
        <v>5</v>
      </c>
      <c r="O11" s="134">
        <v>0</v>
      </c>
      <c r="P11" s="134">
        <v>16</v>
      </c>
      <c r="Q11" s="134">
        <v>16</v>
      </c>
      <c r="R11" s="134">
        <v>0</v>
      </c>
      <c r="S11" s="134">
        <v>0</v>
      </c>
      <c r="T11" s="134">
        <v>0</v>
      </c>
      <c r="U11" s="134">
        <v>0</v>
      </c>
      <c r="V11" s="134">
        <v>6</v>
      </c>
      <c r="W11" s="134">
        <v>6</v>
      </c>
      <c r="X11" s="134">
        <v>0</v>
      </c>
      <c r="Y11" s="134">
        <v>62</v>
      </c>
      <c r="Z11" s="134">
        <v>62</v>
      </c>
      <c r="AA11" s="134">
        <v>0</v>
      </c>
      <c r="AB11" s="134">
        <v>24</v>
      </c>
      <c r="AC11" s="134">
        <v>24</v>
      </c>
      <c r="AD11" s="134">
        <v>0</v>
      </c>
      <c r="AE11" s="134">
        <v>21</v>
      </c>
      <c r="AF11" s="134">
        <v>21</v>
      </c>
      <c r="AG11" s="134">
        <v>0</v>
      </c>
      <c r="AH11" s="134">
        <v>3</v>
      </c>
      <c r="AI11" s="134">
        <v>3</v>
      </c>
      <c r="AJ11" s="134">
        <v>0</v>
      </c>
      <c r="AK11" s="134">
        <v>0</v>
      </c>
      <c r="AL11" s="134">
        <v>0</v>
      </c>
      <c r="AM11" s="134">
        <v>0</v>
      </c>
      <c r="AN11" s="134">
        <v>38</v>
      </c>
      <c r="AO11" s="134">
        <v>38</v>
      </c>
      <c r="AP11" s="134">
        <v>65</v>
      </c>
      <c r="AQ11" s="134">
        <v>574</v>
      </c>
      <c r="AR11" s="134">
        <v>639</v>
      </c>
      <c r="AS11" s="134">
        <v>65</v>
      </c>
      <c r="AT11" s="134">
        <v>574</v>
      </c>
      <c r="AU11" s="134">
        <v>639</v>
      </c>
      <c r="AV11" s="134">
        <v>0</v>
      </c>
      <c r="AW11" s="134">
        <v>0</v>
      </c>
      <c r="AX11" s="134">
        <v>0</v>
      </c>
      <c r="AY11" s="134">
        <v>0</v>
      </c>
      <c r="AZ11" s="134">
        <v>65</v>
      </c>
      <c r="BA11" s="134">
        <v>65</v>
      </c>
      <c r="BB11" s="134">
        <v>0</v>
      </c>
      <c r="BC11" s="134">
        <v>0</v>
      </c>
      <c r="BD11" s="134">
        <v>0</v>
      </c>
      <c r="BE11" s="134">
        <v>35</v>
      </c>
      <c r="BF11" s="134">
        <v>0</v>
      </c>
      <c r="BG11" s="134">
        <v>0</v>
      </c>
      <c r="BH11" s="134">
        <v>0</v>
      </c>
      <c r="BI11" s="134">
        <v>35</v>
      </c>
      <c r="BJ11" s="134">
        <v>35</v>
      </c>
      <c r="BK11" s="134">
        <v>-7</v>
      </c>
      <c r="BL11" s="134">
        <v>7</v>
      </c>
      <c r="BM11" s="134">
        <v>0</v>
      </c>
      <c r="BN11" s="134">
        <v>4</v>
      </c>
      <c r="BO11" s="134">
        <v>5</v>
      </c>
      <c r="BP11" s="134">
        <v>9</v>
      </c>
      <c r="BQ11" s="134">
        <v>0</v>
      </c>
      <c r="BR11" s="134">
        <v>9</v>
      </c>
      <c r="BS11" s="134">
        <v>9</v>
      </c>
      <c r="BT11" s="134">
        <v>3</v>
      </c>
      <c r="BU11" s="134">
        <v>9</v>
      </c>
      <c r="BV11" s="134">
        <v>12</v>
      </c>
      <c r="BW11" s="134">
        <v>65</v>
      </c>
      <c r="BX11" s="134">
        <v>639</v>
      </c>
      <c r="BY11" s="134">
        <v>704</v>
      </c>
      <c r="BZ11" s="134">
        <v>65</v>
      </c>
      <c r="CA11" s="134">
        <v>635</v>
      </c>
      <c r="CB11" s="134">
        <v>700</v>
      </c>
      <c r="CC11" s="134">
        <v>1520</v>
      </c>
      <c r="CD11" s="134">
        <v>0</v>
      </c>
      <c r="CE11" s="134">
        <v>4</v>
      </c>
      <c r="CF11" s="134">
        <v>0</v>
      </c>
      <c r="CG11" s="134">
        <v>3</v>
      </c>
      <c r="CH11" s="134">
        <v>3</v>
      </c>
      <c r="CI11" s="134">
        <v>1</v>
      </c>
      <c r="CJ11" s="134">
        <v>0</v>
      </c>
      <c r="CK11" s="134">
        <v>0</v>
      </c>
      <c r="CL11" s="134">
        <v>1</v>
      </c>
      <c r="CM11" s="134">
        <v>1</v>
      </c>
      <c r="CN11" s="134">
        <v>7</v>
      </c>
      <c r="CO11" s="134">
        <v>82</v>
      </c>
      <c r="CP11" s="134">
        <v>89</v>
      </c>
      <c r="CQ11" s="134">
        <v>0</v>
      </c>
      <c r="CR11" s="134">
        <v>0</v>
      </c>
      <c r="CS11" s="134">
        <v>0</v>
      </c>
      <c r="CT11" s="134">
        <v>58</v>
      </c>
      <c r="CU11" s="134">
        <v>557</v>
      </c>
      <c r="CV11" s="134">
        <v>615</v>
      </c>
      <c r="CW11" s="134">
        <v>8</v>
      </c>
      <c r="CX11" s="134">
        <v>14</v>
      </c>
      <c r="CY11" s="134">
        <v>22</v>
      </c>
      <c r="CZ11" s="134">
        <v>8</v>
      </c>
      <c r="DA11" s="134">
        <v>0</v>
      </c>
      <c r="DB11" s="134">
        <v>0</v>
      </c>
      <c r="DC11" s="134">
        <v>14</v>
      </c>
      <c r="DD11" s="134">
        <v>0</v>
      </c>
      <c r="DE11" s="134">
        <v>0</v>
      </c>
      <c r="DF11" s="134">
        <v>8</v>
      </c>
      <c r="DG11" s="134">
        <v>14</v>
      </c>
      <c r="DH11" s="134">
        <v>22</v>
      </c>
      <c r="DI11" s="134">
        <v>0</v>
      </c>
      <c r="DJ11" s="134">
        <v>0</v>
      </c>
      <c r="DK11" s="134">
        <v>0</v>
      </c>
      <c r="DL11" s="134">
        <v>0</v>
      </c>
      <c r="DM11" s="134">
        <v>0</v>
      </c>
      <c r="DN11" s="134">
        <v>0</v>
      </c>
      <c r="DO11" s="134">
        <v>0</v>
      </c>
      <c r="DP11" s="134">
        <v>0</v>
      </c>
      <c r="DQ11" s="134">
        <v>0</v>
      </c>
      <c r="DR11" s="134">
        <v>0</v>
      </c>
      <c r="DS11" s="134">
        <v>0</v>
      </c>
      <c r="DT11" s="135">
        <v>0</v>
      </c>
    </row>
    <row r="12" spans="1:129">
      <c r="A12" s="133" t="s">
        <v>281</v>
      </c>
      <c r="B12" s="134">
        <v>2679</v>
      </c>
      <c r="C12" s="134">
        <v>1193</v>
      </c>
      <c r="D12" s="134">
        <v>2420</v>
      </c>
      <c r="E12" s="134">
        <v>1189</v>
      </c>
      <c r="F12" s="134">
        <v>5</v>
      </c>
      <c r="G12" s="134">
        <v>21</v>
      </c>
      <c r="H12" s="134">
        <v>26</v>
      </c>
      <c r="I12" s="134">
        <v>1</v>
      </c>
      <c r="J12" s="134">
        <v>1133</v>
      </c>
      <c r="K12" s="134">
        <v>1134</v>
      </c>
      <c r="L12" s="134">
        <v>0</v>
      </c>
      <c r="M12" s="134">
        <v>295</v>
      </c>
      <c r="N12" s="134">
        <v>295</v>
      </c>
      <c r="O12" s="134">
        <v>1</v>
      </c>
      <c r="P12" s="134">
        <v>838</v>
      </c>
      <c r="Q12" s="134">
        <v>839</v>
      </c>
      <c r="R12" s="134">
        <v>0</v>
      </c>
      <c r="S12" s="134">
        <v>64</v>
      </c>
      <c r="T12" s="134">
        <v>64</v>
      </c>
      <c r="U12" s="134">
        <v>0</v>
      </c>
      <c r="V12" s="134">
        <v>97</v>
      </c>
      <c r="W12" s="134">
        <v>97</v>
      </c>
      <c r="X12" s="134">
        <v>38</v>
      </c>
      <c r="Y12" s="134">
        <v>996</v>
      </c>
      <c r="Z12" s="134">
        <v>1034</v>
      </c>
      <c r="AA12" s="134">
        <v>17</v>
      </c>
      <c r="AB12" s="134">
        <v>473</v>
      </c>
      <c r="AC12" s="134">
        <v>490</v>
      </c>
      <c r="AD12" s="134">
        <v>17</v>
      </c>
      <c r="AE12" s="134">
        <v>462</v>
      </c>
      <c r="AF12" s="134">
        <v>479</v>
      </c>
      <c r="AG12" s="134">
        <v>0</v>
      </c>
      <c r="AH12" s="134">
        <v>8</v>
      </c>
      <c r="AI12" s="134">
        <v>8</v>
      </c>
      <c r="AJ12" s="134">
        <v>0</v>
      </c>
      <c r="AK12" s="134">
        <v>3</v>
      </c>
      <c r="AL12" s="134">
        <v>3</v>
      </c>
      <c r="AM12" s="134">
        <v>21</v>
      </c>
      <c r="AN12" s="134">
        <v>523</v>
      </c>
      <c r="AO12" s="134">
        <v>544</v>
      </c>
      <c r="AP12" s="134">
        <v>3440</v>
      </c>
      <c r="AQ12" s="134">
        <v>25789</v>
      </c>
      <c r="AR12" s="134">
        <v>29229</v>
      </c>
      <c r="AS12" s="134">
        <v>3407</v>
      </c>
      <c r="AT12" s="134">
        <v>25553</v>
      </c>
      <c r="AU12" s="134">
        <v>28960</v>
      </c>
      <c r="AV12" s="134">
        <v>33</v>
      </c>
      <c r="AW12" s="134">
        <v>236</v>
      </c>
      <c r="AX12" s="134">
        <v>269</v>
      </c>
      <c r="AY12" s="134">
        <v>199</v>
      </c>
      <c r="AZ12" s="134">
        <v>2517</v>
      </c>
      <c r="BA12" s="134">
        <v>2716</v>
      </c>
      <c r="BB12" s="134">
        <v>97</v>
      </c>
      <c r="BC12" s="134">
        <v>3</v>
      </c>
      <c r="BD12" s="134">
        <v>0</v>
      </c>
      <c r="BE12" s="134">
        <v>1068</v>
      </c>
      <c r="BF12" s="134">
        <v>12</v>
      </c>
      <c r="BG12" s="134">
        <v>9</v>
      </c>
      <c r="BH12" s="134">
        <v>100</v>
      </c>
      <c r="BI12" s="134">
        <v>1089</v>
      </c>
      <c r="BJ12" s="134">
        <v>1189</v>
      </c>
      <c r="BK12" s="134">
        <v>-54</v>
      </c>
      <c r="BL12" s="134">
        <v>54</v>
      </c>
      <c r="BM12" s="134">
        <v>0</v>
      </c>
      <c r="BN12" s="134">
        <v>23</v>
      </c>
      <c r="BO12" s="134">
        <v>81</v>
      </c>
      <c r="BP12" s="134">
        <v>104</v>
      </c>
      <c r="BQ12" s="134">
        <v>13</v>
      </c>
      <c r="BR12" s="134">
        <v>52</v>
      </c>
      <c r="BS12" s="134">
        <v>65</v>
      </c>
      <c r="BT12" s="134">
        <v>117</v>
      </c>
      <c r="BU12" s="134">
        <v>1241</v>
      </c>
      <c r="BV12" s="134">
        <v>1358</v>
      </c>
      <c r="BW12" s="134">
        <v>3639</v>
      </c>
      <c r="BX12" s="134">
        <v>28306</v>
      </c>
      <c r="BY12" s="134">
        <v>31945</v>
      </c>
      <c r="BZ12" s="134">
        <v>3538</v>
      </c>
      <c r="CA12" s="134">
        <v>27768</v>
      </c>
      <c r="CB12" s="134">
        <v>31306</v>
      </c>
      <c r="CC12" s="134">
        <v>63958</v>
      </c>
      <c r="CD12" s="134">
        <v>25</v>
      </c>
      <c r="CE12" s="134">
        <v>680</v>
      </c>
      <c r="CF12" s="134">
        <v>98</v>
      </c>
      <c r="CG12" s="134">
        <v>407</v>
      </c>
      <c r="CH12" s="134">
        <v>505</v>
      </c>
      <c r="CI12" s="134">
        <v>169</v>
      </c>
      <c r="CJ12" s="134">
        <v>17</v>
      </c>
      <c r="CK12" s="134">
        <v>3</v>
      </c>
      <c r="CL12" s="134">
        <v>131</v>
      </c>
      <c r="CM12" s="134">
        <v>134</v>
      </c>
      <c r="CN12" s="134">
        <v>220</v>
      </c>
      <c r="CO12" s="134">
        <v>2779</v>
      </c>
      <c r="CP12" s="134">
        <v>2999</v>
      </c>
      <c r="CQ12" s="134">
        <v>0</v>
      </c>
      <c r="CR12" s="134">
        <v>0</v>
      </c>
      <c r="CS12" s="134">
        <v>0</v>
      </c>
      <c r="CT12" s="134">
        <v>3419</v>
      </c>
      <c r="CU12" s="134">
        <v>25527</v>
      </c>
      <c r="CV12" s="134">
        <v>28946</v>
      </c>
      <c r="CW12" s="134">
        <v>246</v>
      </c>
      <c r="CX12" s="134">
        <v>1176</v>
      </c>
      <c r="CY12" s="134">
        <v>1422</v>
      </c>
      <c r="CZ12" s="134">
        <v>234</v>
      </c>
      <c r="DA12" s="134">
        <v>10</v>
      </c>
      <c r="DB12" s="134">
        <v>0</v>
      </c>
      <c r="DC12" s="134">
        <v>1110</v>
      </c>
      <c r="DD12" s="134">
        <v>18</v>
      </c>
      <c r="DE12" s="134">
        <v>0</v>
      </c>
      <c r="DF12" s="134">
        <v>244</v>
      </c>
      <c r="DG12" s="134">
        <v>1128</v>
      </c>
      <c r="DH12" s="134">
        <v>1372</v>
      </c>
      <c r="DI12" s="134">
        <v>2</v>
      </c>
      <c r="DJ12" s="134">
        <v>0</v>
      </c>
      <c r="DK12" s="134">
        <v>0</v>
      </c>
      <c r="DL12" s="134">
        <v>46</v>
      </c>
      <c r="DM12" s="134">
        <v>2</v>
      </c>
      <c r="DN12" s="134">
        <v>0</v>
      </c>
      <c r="DO12" s="134">
        <v>2</v>
      </c>
      <c r="DP12" s="134">
        <v>48</v>
      </c>
      <c r="DQ12" s="134">
        <v>50</v>
      </c>
      <c r="DR12" s="134">
        <v>2</v>
      </c>
      <c r="DS12" s="134">
        <v>2</v>
      </c>
      <c r="DT12" s="135">
        <v>4</v>
      </c>
    </row>
    <row r="13" spans="1:129">
      <c r="A13" s="133" t="s">
        <v>282</v>
      </c>
      <c r="B13" s="134">
        <v>170</v>
      </c>
      <c r="C13" s="134">
        <v>11</v>
      </c>
      <c r="D13" s="134">
        <v>177</v>
      </c>
      <c r="E13" s="134">
        <v>106</v>
      </c>
      <c r="F13" s="134">
        <v>0</v>
      </c>
      <c r="G13" s="134">
        <v>0</v>
      </c>
      <c r="H13" s="134">
        <v>0</v>
      </c>
      <c r="I13" s="134">
        <v>0</v>
      </c>
      <c r="J13" s="134">
        <v>64</v>
      </c>
      <c r="K13" s="134">
        <v>64</v>
      </c>
      <c r="L13" s="134">
        <v>0</v>
      </c>
      <c r="M13" s="134">
        <v>30</v>
      </c>
      <c r="N13" s="134">
        <v>30</v>
      </c>
      <c r="O13" s="134">
        <v>0</v>
      </c>
      <c r="P13" s="134">
        <v>34</v>
      </c>
      <c r="Q13" s="134">
        <v>34</v>
      </c>
      <c r="R13" s="134">
        <v>0</v>
      </c>
      <c r="S13" s="134">
        <v>0</v>
      </c>
      <c r="T13" s="134">
        <v>0</v>
      </c>
      <c r="U13" s="134">
        <v>0</v>
      </c>
      <c r="V13" s="134">
        <v>7</v>
      </c>
      <c r="W13" s="134">
        <v>7</v>
      </c>
      <c r="X13" s="134">
        <v>6</v>
      </c>
      <c r="Y13" s="134">
        <v>171</v>
      </c>
      <c r="Z13" s="134">
        <v>177</v>
      </c>
      <c r="AA13" s="134">
        <v>4</v>
      </c>
      <c r="AB13" s="134">
        <v>82</v>
      </c>
      <c r="AC13" s="134">
        <v>86</v>
      </c>
      <c r="AD13" s="134">
        <v>4</v>
      </c>
      <c r="AE13" s="134">
        <v>78</v>
      </c>
      <c r="AF13" s="134">
        <v>82</v>
      </c>
      <c r="AG13" s="134">
        <v>0</v>
      </c>
      <c r="AH13" s="134">
        <v>2</v>
      </c>
      <c r="AI13" s="134">
        <v>2</v>
      </c>
      <c r="AJ13" s="134">
        <v>0</v>
      </c>
      <c r="AK13" s="134">
        <v>2</v>
      </c>
      <c r="AL13" s="134">
        <v>2</v>
      </c>
      <c r="AM13" s="134">
        <v>2</v>
      </c>
      <c r="AN13" s="134">
        <v>89</v>
      </c>
      <c r="AO13" s="134">
        <v>91</v>
      </c>
      <c r="AP13" s="134">
        <v>331</v>
      </c>
      <c r="AQ13" s="134">
        <v>2074</v>
      </c>
      <c r="AR13" s="134">
        <v>2405</v>
      </c>
      <c r="AS13" s="134">
        <v>331</v>
      </c>
      <c r="AT13" s="134">
        <v>2074</v>
      </c>
      <c r="AU13" s="134">
        <v>2405</v>
      </c>
      <c r="AV13" s="134">
        <v>0</v>
      </c>
      <c r="AW13" s="134">
        <v>0</v>
      </c>
      <c r="AX13" s="134">
        <v>0</v>
      </c>
      <c r="AY13" s="134">
        <v>28</v>
      </c>
      <c r="AZ13" s="134">
        <v>211</v>
      </c>
      <c r="BA13" s="134">
        <v>239</v>
      </c>
      <c r="BB13" s="134">
        <v>7</v>
      </c>
      <c r="BC13" s="134">
        <v>0</v>
      </c>
      <c r="BD13" s="134">
        <v>0</v>
      </c>
      <c r="BE13" s="134">
        <v>99</v>
      </c>
      <c r="BF13" s="134">
        <v>0</v>
      </c>
      <c r="BG13" s="134">
        <v>0</v>
      </c>
      <c r="BH13" s="134">
        <v>7</v>
      </c>
      <c r="BI13" s="134">
        <v>99</v>
      </c>
      <c r="BJ13" s="134">
        <v>106</v>
      </c>
      <c r="BK13" s="134">
        <v>0</v>
      </c>
      <c r="BL13" s="134">
        <v>0</v>
      </c>
      <c r="BM13" s="134">
        <v>0</v>
      </c>
      <c r="BN13" s="134">
        <v>2</v>
      </c>
      <c r="BO13" s="134">
        <v>9</v>
      </c>
      <c r="BP13" s="134">
        <v>11</v>
      </c>
      <c r="BQ13" s="134">
        <v>1</v>
      </c>
      <c r="BR13" s="134">
        <v>21</v>
      </c>
      <c r="BS13" s="134">
        <v>22</v>
      </c>
      <c r="BT13" s="134">
        <v>18</v>
      </c>
      <c r="BU13" s="134">
        <v>82</v>
      </c>
      <c r="BV13" s="134">
        <v>100</v>
      </c>
      <c r="BW13" s="134">
        <v>359</v>
      </c>
      <c r="BX13" s="134">
        <v>2285</v>
      </c>
      <c r="BY13" s="134">
        <v>2644</v>
      </c>
      <c r="BZ13" s="134">
        <v>359</v>
      </c>
      <c r="CA13" s="134">
        <v>2284</v>
      </c>
      <c r="CB13" s="134">
        <v>2643</v>
      </c>
      <c r="CC13" s="134">
        <v>5327</v>
      </c>
      <c r="CD13" s="134">
        <v>0</v>
      </c>
      <c r="CE13" s="134">
        <v>1</v>
      </c>
      <c r="CF13" s="134">
        <v>0</v>
      </c>
      <c r="CG13" s="134">
        <v>1</v>
      </c>
      <c r="CH13" s="134">
        <v>1</v>
      </c>
      <c r="CI13" s="134">
        <v>0</v>
      </c>
      <c r="CJ13" s="134">
        <v>0</v>
      </c>
      <c r="CK13" s="134">
        <v>0</v>
      </c>
      <c r="CL13" s="134">
        <v>0</v>
      </c>
      <c r="CM13" s="134">
        <v>0</v>
      </c>
      <c r="CN13" s="134">
        <v>16</v>
      </c>
      <c r="CO13" s="134">
        <v>198</v>
      </c>
      <c r="CP13" s="134">
        <v>214</v>
      </c>
      <c r="CQ13" s="134">
        <v>0</v>
      </c>
      <c r="CR13" s="134">
        <v>0</v>
      </c>
      <c r="CS13" s="134">
        <v>0</v>
      </c>
      <c r="CT13" s="134">
        <v>343</v>
      </c>
      <c r="CU13" s="134">
        <v>2087</v>
      </c>
      <c r="CV13" s="134">
        <v>2430</v>
      </c>
      <c r="CW13" s="134">
        <v>26</v>
      </c>
      <c r="CX13" s="134">
        <v>100</v>
      </c>
      <c r="CY13" s="134">
        <v>126</v>
      </c>
      <c r="CZ13" s="134">
        <v>26</v>
      </c>
      <c r="DA13" s="134">
        <v>0</v>
      </c>
      <c r="DB13" s="134">
        <v>0</v>
      </c>
      <c r="DC13" s="134">
        <v>99</v>
      </c>
      <c r="DD13" s="134">
        <v>0</v>
      </c>
      <c r="DE13" s="134">
        <v>0</v>
      </c>
      <c r="DF13" s="134">
        <v>26</v>
      </c>
      <c r="DG13" s="134">
        <v>99</v>
      </c>
      <c r="DH13" s="134">
        <v>125</v>
      </c>
      <c r="DI13" s="134">
        <v>0</v>
      </c>
      <c r="DJ13" s="134">
        <v>0</v>
      </c>
      <c r="DK13" s="134">
        <v>0</v>
      </c>
      <c r="DL13" s="134">
        <v>1</v>
      </c>
      <c r="DM13" s="134">
        <v>0</v>
      </c>
      <c r="DN13" s="134">
        <v>0</v>
      </c>
      <c r="DO13" s="134">
        <v>0</v>
      </c>
      <c r="DP13" s="134">
        <v>1</v>
      </c>
      <c r="DQ13" s="134">
        <v>1</v>
      </c>
      <c r="DR13" s="134">
        <v>0</v>
      </c>
      <c r="DS13" s="134">
        <v>0</v>
      </c>
      <c r="DT13" s="135">
        <v>0</v>
      </c>
    </row>
    <row r="14" spans="1:129">
      <c r="A14" s="133" t="s">
        <v>283</v>
      </c>
      <c r="B14" s="134">
        <v>641</v>
      </c>
      <c r="C14" s="134">
        <v>117</v>
      </c>
      <c r="D14" s="134">
        <v>588</v>
      </c>
      <c r="E14" s="134">
        <v>354</v>
      </c>
      <c r="F14" s="134">
        <v>0</v>
      </c>
      <c r="G14" s="134">
        <v>8</v>
      </c>
      <c r="H14" s="134">
        <v>8</v>
      </c>
      <c r="I14" s="134">
        <v>0</v>
      </c>
      <c r="J14" s="134">
        <v>221</v>
      </c>
      <c r="K14" s="134">
        <v>221</v>
      </c>
      <c r="L14" s="134">
        <v>0</v>
      </c>
      <c r="M14" s="134">
        <v>52</v>
      </c>
      <c r="N14" s="134">
        <v>52</v>
      </c>
      <c r="O14" s="134">
        <v>0</v>
      </c>
      <c r="P14" s="134">
        <v>169</v>
      </c>
      <c r="Q14" s="134">
        <v>169</v>
      </c>
      <c r="R14" s="134">
        <v>0</v>
      </c>
      <c r="S14" s="134">
        <v>6</v>
      </c>
      <c r="T14" s="134">
        <v>6</v>
      </c>
      <c r="U14" s="134">
        <v>0</v>
      </c>
      <c r="V14" s="134">
        <v>13</v>
      </c>
      <c r="W14" s="134">
        <v>13</v>
      </c>
      <c r="X14" s="134">
        <v>17</v>
      </c>
      <c r="Y14" s="134">
        <v>571</v>
      </c>
      <c r="Z14" s="134">
        <v>588</v>
      </c>
      <c r="AA14" s="134">
        <v>12</v>
      </c>
      <c r="AB14" s="134">
        <v>259</v>
      </c>
      <c r="AC14" s="134">
        <v>271</v>
      </c>
      <c r="AD14" s="134">
        <v>12</v>
      </c>
      <c r="AE14" s="134">
        <v>255</v>
      </c>
      <c r="AF14" s="134">
        <v>267</v>
      </c>
      <c r="AG14" s="134">
        <v>0</v>
      </c>
      <c r="AH14" s="134">
        <v>3</v>
      </c>
      <c r="AI14" s="134">
        <v>3</v>
      </c>
      <c r="AJ14" s="134">
        <v>0</v>
      </c>
      <c r="AK14" s="134">
        <v>1</v>
      </c>
      <c r="AL14" s="134">
        <v>1</v>
      </c>
      <c r="AM14" s="134">
        <v>5</v>
      </c>
      <c r="AN14" s="134">
        <v>312</v>
      </c>
      <c r="AO14" s="134">
        <v>317</v>
      </c>
      <c r="AP14" s="134">
        <v>476</v>
      </c>
      <c r="AQ14" s="134">
        <v>5757</v>
      </c>
      <c r="AR14" s="134">
        <v>6233</v>
      </c>
      <c r="AS14" s="134">
        <v>476</v>
      </c>
      <c r="AT14" s="134">
        <v>5759</v>
      </c>
      <c r="AU14" s="134">
        <v>6235</v>
      </c>
      <c r="AV14" s="134">
        <v>0</v>
      </c>
      <c r="AW14" s="134">
        <v>-2</v>
      </c>
      <c r="AX14" s="134">
        <v>-2</v>
      </c>
      <c r="AY14" s="134">
        <v>29</v>
      </c>
      <c r="AZ14" s="134">
        <v>559</v>
      </c>
      <c r="BA14" s="134">
        <v>588</v>
      </c>
      <c r="BB14" s="134">
        <v>16</v>
      </c>
      <c r="BC14" s="134">
        <v>0</v>
      </c>
      <c r="BD14" s="134">
        <v>0</v>
      </c>
      <c r="BE14" s="134">
        <v>336</v>
      </c>
      <c r="BF14" s="134">
        <v>2</v>
      </c>
      <c r="BG14" s="134">
        <v>0</v>
      </c>
      <c r="BH14" s="134">
        <v>16</v>
      </c>
      <c r="BI14" s="134">
        <v>338</v>
      </c>
      <c r="BJ14" s="134">
        <v>354</v>
      </c>
      <c r="BK14" s="134">
        <v>-5</v>
      </c>
      <c r="BL14" s="134">
        <v>5</v>
      </c>
      <c r="BM14" s="134">
        <v>0</v>
      </c>
      <c r="BN14" s="134">
        <v>4</v>
      </c>
      <c r="BO14" s="134">
        <v>10</v>
      </c>
      <c r="BP14" s="134">
        <v>14</v>
      </c>
      <c r="BQ14" s="134">
        <v>1</v>
      </c>
      <c r="BR14" s="134">
        <v>76</v>
      </c>
      <c r="BS14" s="134">
        <v>77</v>
      </c>
      <c r="BT14" s="134">
        <v>13</v>
      </c>
      <c r="BU14" s="134">
        <v>130</v>
      </c>
      <c r="BV14" s="134">
        <v>143</v>
      </c>
      <c r="BW14" s="134">
        <v>505</v>
      </c>
      <c r="BX14" s="134">
        <v>6316</v>
      </c>
      <c r="BY14" s="134">
        <v>6821</v>
      </c>
      <c r="BZ14" s="134">
        <v>503</v>
      </c>
      <c r="CA14" s="134">
        <v>6283</v>
      </c>
      <c r="CB14" s="134">
        <v>6786</v>
      </c>
      <c r="CC14" s="134">
        <v>11890</v>
      </c>
      <c r="CD14" s="134">
        <v>3</v>
      </c>
      <c r="CE14" s="134">
        <v>33</v>
      </c>
      <c r="CF14" s="134">
        <v>2</v>
      </c>
      <c r="CG14" s="134">
        <v>27</v>
      </c>
      <c r="CH14" s="134">
        <v>29</v>
      </c>
      <c r="CI14" s="134">
        <v>6</v>
      </c>
      <c r="CJ14" s="134">
        <v>0</v>
      </c>
      <c r="CK14" s="134">
        <v>0</v>
      </c>
      <c r="CL14" s="134">
        <v>6</v>
      </c>
      <c r="CM14" s="134">
        <v>6</v>
      </c>
      <c r="CN14" s="134">
        <v>29</v>
      </c>
      <c r="CO14" s="134">
        <v>704</v>
      </c>
      <c r="CP14" s="134">
        <v>733</v>
      </c>
      <c r="CQ14" s="134">
        <v>0</v>
      </c>
      <c r="CR14" s="134">
        <v>6</v>
      </c>
      <c r="CS14" s="134">
        <v>6</v>
      </c>
      <c r="CT14" s="134">
        <v>476</v>
      </c>
      <c r="CU14" s="134">
        <v>5612</v>
      </c>
      <c r="CV14" s="134">
        <v>6088</v>
      </c>
      <c r="CW14" s="134">
        <v>30</v>
      </c>
      <c r="CX14" s="134">
        <v>196</v>
      </c>
      <c r="CY14" s="134">
        <v>226</v>
      </c>
      <c r="CZ14" s="134">
        <v>29</v>
      </c>
      <c r="DA14" s="134">
        <v>0</v>
      </c>
      <c r="DB14" s="134">
        <v>0</v>
      </c>
      <c r="DC14" s="134">
        <v>193</v>
      </c>
      <c r="DD14" s="134">
        <v>1</v>
      </c>
      <c r="DE14" s="134">
        <v>0</v>
      </c>
      <c r="DF14" s="134">
        <v>29</v>
      </c>
      <c r="DG14" s="134">
        <v>194</v>
      </c>
      <c r="DH14" s="134">
        <v>223</v>
      </c>
      <c r="DI14" s="134">
        <v>1</v>
      </c>
      <c r="DJ14" s="134">
        <v>0</v>
      </c>
      <c r="DK14" s="134">
        <v>0</v>
      </c>
      <c r="DL14" s="134">
        <v>2</v>
      </c>
      <c r="DM14" s="134">
        <v>0</v>
      </c>
      <c r="DN14" s="134">
        <v>0</v>
      </c>
      <c r="DO14" s="134">
        <v>1</v>
      </c>
      <c r="DP14" s="134">
        <v>2</v>
      </c>
      <c r="DQ14" s="134">
        <v>3</v>
      </c>
      <c r="DR14" s="134">
        <v>0</v>
      </c>
      <c r="DS14" s="134">
        <v>0</v>
      </c>
      <c r="DT14" s="135">
        <v>0</v>
      </c>
    </row>
    <row r="15" spans="1:129">
      <c r="A15" s="133" t="s">
        <v>284</v>
      </c>
      <c r="B15" s="134">
        <v>5741</v>
      </c>
      <c r="C15" s="134">
        <v>2330</v>
      </c>
      <c r="D15" s="134">
        <v>5220</v>
      </c>
      <c r="E15" s="134">
        <v>3651</v>
      </c>
      <c r="F15" s="134">
        <v>8</v>
      </c>
      <c r="G15" s="134">
        <v>121</v>
      </c>
      <c r="H15" s="134">
        <v>129</v>
      </c>
      <c r="I15" s="134">
        <v>3</v>
      </c>
      <c r="J15" s="134">
        <v>1458</v>
      </c>
      <c r="K15" s="134">
        <v>1461</v>
      </c>
      <c r="L15" s="134">
        <v>3</v>
      </c>
      <c r="M15" s="134">
        <v>1456</v>
      </c>
      <c r="N15" s="134">
        <v>1459</v>
      </c>
      <c r="O15" s="134">
        <v>0</v>
      </c>
      <c r="P15" s="134">
        <v>2</v>
      </c>
      <c r="Q15" s="134">
        <v>2</v>
      </c>
      <c r="R15" s="134">
        <v>2</v>
      </c>
      <c r="S15" s="134">
        <v>227</v>
      </c>
      <c r="T15" s="134">
        <v>229</v>
      </c>
      <c r="U15" s="134">
        <v>0</v>
      </c>
      <c r="V15" s="134">
        <v>108</v>
      </c>
      <c r="W15" s="134">
        <v>108</v>
      </c>
      <c r="X15" s="134">
        <v>62</v>
      </c>
      <c r="Y15" s="134">
        <v>4094</v>
      </c>
      <c r="Z15" s="134">
        <v>4156</v>
      </c>
      <c r="AA15" s="134">
        <v>31</v>
      </c>
      <c r="AB15" s="134">
        <v>1894</v>
      </c>
      <c r="AC15" s="134">
        <v>1925</v>
      </c>
      <c r="AD15" s="134">
        <v>31</v>
      </c>
      <c r="AE15" s="134">
        <v>1798</v>
      </c>
      <c r="AF15" s="134">
        <v>1829</v>
      </c>
      <c r="AG15" s="134">
        <v>0</v>
      </c>
      <c r="AH15" s="134">
        <v>79</v>
      </c>
      <c r="AI15" s="134">
        <v>79</v>
      </c>
      <c r="AJ15" s="134">
        <v>0</v>
      </c>
      <c r="AK15" s="134">
        <v>17</v>
      </c>
      <c r="AL15" s="134">
        <v>17</v>
      </c>
      <c r="AM15" s="134">
        <v>31</v>
      </c>
      <c r="AN15" s="134">
        <v>2200</v>
      </c>
      <c r="AO15" s="134">
        <v>2231</v>
      </c>
      <c r="AP15" s="134">
        <v>11102</v>
      </c>
      <c r="AQ15" s="134">
        <v>73822</v>
      </c>
      <c r="AR15" s="134">
        <v>84924</v>
      </c>
      <c r="AS15" s="134">
        <v>10615</v>
      </c>
      <c r="AT15" s="134">
        <v>70604</v>
      </c>
      <c r="AU15" s="134">
        <v>81219</v>
      </c>
      <c r="AV15" s="134">
        <v>487</v>
      </c>
      <c r="AW15" s="134">
        <v>3218</v>
      </c>
      <c r="AX15" s="134">
        <v>3705</v>
      </c>
      <c r="AY15" s="134">
        <v>256</v>
      </c>
      <c r="AZ15" s="134">
        <v>3551</v>
      </c>
      <c r="BA15" s="134">
        <v>3807</v>
      </c>
      <c r="BB15" s="134">
        <v>233</v>
      </c>
      <c r="BC15" s="134">
        <v>3</v>
      </c>
      <c r="BD15" s="134">
        <v>3</v>
      </c>
      <c r="BE15" s="134">
        <v>3342</v>
      </c>
      <c r="BF15" s="134">
        <v>36</v>
      </c>
      <c r="BG15" s="134">
        <v>34</v>
      </c>
      <c r="BH15" s="134">
        <v>239</v>
      </c>
      <c r="BI15" s="134">
        <v>3412</v>
      </c>
      <c r="BJ15" s="134">
        <v>3651</v>
      </c>
      <c r="BK15" s="134">
        <v>-13</v>
      </c>
      <c r="BL15" s="134">
        <v>13</v>
      </c>
      <c r="BM15" s="134">
        <v>0</v>
      </c>
      <c r="BN15" s="134">
        <v>23</v>
      </c>
      <c r="BO15" s="134">
        <v>71</v>
      </c>
      <c r="BP15" s="134">
        <v>94</v>
      </c>
      <c r="BQ15" s="134">
        <v>2</v>
      </c>
      <c r="BR15" s="134">
        <v>10</v>
      </c>
      <c r="BS15" s="134">
        <v>12</v>
      </c>
      <c r="BT15" s="134">
        <v>5</v>
      </c>
      <c r="BU15" s="134">
        <v>45</v>
      </c>
      <c r="BV15" s="134">
        <v>50</v>
      </c>
      <c r="BW15" s="134">
        <v>11358</v>
      </c>
      <c r="BX15" s="134">
        <v>77373</v>
      </c>
      <c r="BY15" s="134">
        <v>88731</v>
      </c>
      <c r="BZ15" s="134">
        <v>11179</v>
      </c>
      <c r="CA15" s="134">
        <v>76511</v>
      </c>
      <c r="CB15" s="134">
        <v>87690</v>
      </c>
      <c r="CC15" s="134">
        <v>203452</v>
      </c>
      <c r="CD15" s="134">
        <v>75</v>
      </c>
      <c r="CE15" s="134">
        <v>869</v>
      </c>
      <c r="CF15" s="134">
        <v>165</v>
      </c>
      <c r="CG15" s="134">
        <v>635</v>
      </c>
      <c r="CH15" s="134">
        <v>800</v>
      </c>
      <c r="CI15" s="134">
        <v>266</v>
      </c>
      <c r="CJ15" s="134">
        <v>37</v>
      </c>
      <c r="CK15" s="134">
        <v>14</v>
      </c>
      <c r="CL15" s="134">
        <v>227</v>
      </c>
      <c r="CM15" s="134">
        <v>241</v>
      </c>
      <c r="CN15" s="134">
        <v>688</v>
      </c>
      <c r="CO15" s="134">
        <v>6556</v>
      </c>
      <c r="CP15" s="134">
        <v>7244</v>
      </c>
      <c r="CQ15" s="134">
        <v>0</v>
      </c>
      <c r="CR15" s="134">
        <v>0</v>
      </c>
      <c r="CS15" s="134">
        <v>0</v>
      </c>
      <c r="CT15" s="134">
        <v>10670</v>
      </c>
      <c r="CU15" s="134">
        <v>70817</v>
      </c>
      <c r="CV15" s="134">
        <v>81487</v>
      </c>
      <c r="CW15" s="134">
        <v>965</v>
      </c>
      <c r="CX15" s="134">
        <v>5252</v>
      </c>
      <c r="CY15" s="134">
        <v>6217</v>
      </c>
      <c r="CZ15" s="134">
        <v>828</v>
      </c>
      <c r="DA15" s="134">
        <v>13</v>
      </c>
      <c r="DB15" s="134">
        <v>0</v>
      </c>
      <c r="DC15" s="134">
        <v>4171</v>
      </c>
      <c r="DD15" s="134">
        <v>46</v>
      </c>
      <c r="DE15" s="134">
        <v>12</v>
      </c>
      <c r="DF15" s="134">
        <v>841</v>
      </c>
      <c r="DG15" s="134">
        <v>4229</v>
      </c>
      <c r="DH15" s="134">
        <v>5070</v>
      </c>
      <c r="DI15" s="134">
        <v>122</v>
      </c>
      <c r="DJ15" s="134">
        <v>2</v>
      </c>
      <c r="DK15" s="134">
        <v>0</v>
      </c>
      <c r="DL15" s="134">
        <v>1012</v>
      </c>
      <c r="DM15" s="134">
        <v>10</v>
      </c>
      <c r="DN15" s="134">
        <v>1</v>
      </c>
      <c r="DO15" s="134">
        <v>124</v>
      </c>
      <c r="DP15" s="134">
        <v>1023</v>
      </c>
      <c r="DQ15" s="134">
        <v>1147</v>
      </c>
      <c r="DR15" s="134">
        <v>2</v>
      </c>
      <c r="DS15" s="134">
        <v>4</v>
      </c>
      <c r="DT15" s="135">
        <v>6</v>
      </c>
    </row>
    <row r="16" spans="1:129" s="116" customFormat="1">
      <c r="A16" s="133" t="s">
        <v>285</v>
      </c>
      <c r="B16" s="134">
        <v>106</v>
      </c>
      <c r="C16" s="134">
        <v>13</v>
      </c>
      <c r="D16" s="134">
        <v>111</v>
      </c>
      <c r="E16" s="134">
        <v>70</v>
      </c>
      <c r="F16" s="134">
        <v>0</v>
      </c>
      <c r="G16" s="134">
        <v>1</v>
      </c>
      <c r="H16" s="134">
        <v>1</v>
      </c>
      <c r="I16" s="134">
        <v>0</v>
      </c>
      <c r="J16" s="134">
        <v>34</v>
      </c>
      <c r="K16" s="134">
        <v>34</v>
      </c>
      <c r="L16" s="134">
        <v>0</v>
      </c>
      <c r="M16" s="134">
        <v>14</v>
      </c>
      <c r="N16" s="134">
        <v>14</v>
      </c>
      <c r="O16" s="134">
        <v>0</v>
      </c>
      <c r="P16" s="134">
        <v>20</v>
      </c>
      <c r="Q16" s="134">
        <v>20</v>
      </c>
      <c r="R16" s="134">
        <v>0</v>
      </c>
      <c r="S16" s="134">
        <v>0</v>
      </c>
      <c r="T16" s="134">
        <v>0</v>
      </c>
      <c r="U16" s="134">
        <v>0</v>
      </c>
      <c r="V16" s="134">
        <v>7</v>
      </c>
      <c r="W16" s="134">
        <v>7</v>
      </c>
      <c r="X16" s="134">
        <v>5</v>
      </c>
      <c r="Y16" s="134">
        <v>106</v>
      </c>
      <c r="Z16" s="134">
        <v>111</v>
      </c>
      <c r="AA16" s="134">
        <v>2</v>
      </c>
      <c r="AB16" s="134">
        <v>37</v>
      </c>
      <c r="AC16" s="134">
        <v>39</v>
      </c>
      <c r="AD16" s="134">
        <v>2</v>
      </c>
      <c r="AE16" s="134">
        <v>37</v>
      </c>
      <c r="AF16" s="134">
        <v>39</v>
      </c>
      <c r="AG16" s="134">
        <v>0</v>
      </c>
      <c r="AH16" s="134">
        <v>0</v>
      </c>
      <c r="AI16" s="134">
        <v>0</v>
      </c>
      <c r="AJ16" s="134">
        <v>0</v>
      </c>
      <c r="AK16" s="134">
        <v>0</v>
      </c>
      <c r="AL16" s="134">
        <v>0</v>
      </c>
      <c r="AM16" s="134">
        <v>3</v>
      </c>
      <c r="AN16" s="134">
        <v>69</v>
      </c>
      <c r="AO16" s="134">
        <v>72</v>
      </c>
      <c r="AP16" s="134">
        <v>170</v>
      </c>
      <c r="AQ16" s="134">
        <v>1219</v>
      </c>
      <c r="AR16" s="134">
        <v>1389</v>
      </c>
      <c r="AS16" s="134">
        <v>170</v>
      </c>
      <c r="AT16" s="134">
        <v>1219</v>
      </c>
      <c r="AU16" s="134">
        <v>1389</v>
      </c>
      <c r="AV16" s="134">
        <v>0</v>
      </c>
      <c r="AW16" s="134">
        <v>0</v>
      </c>
      <c r="AX16" s="134">
        <v>0</v>
      </c>
      <c r="AY16" s="134">
        <v>29</v>
      </c>
      <c r="AZ16" s="134">
        <v>100</v>
      </c>
      <c r="BA16" s="134">
        <v>129</v>
      </c>
      <c r="BB16" s="134">
        <v>5</v>
      </c>
      <c r="BC16" s="134">
        <v>0</v>
      </c>
      <c r="BD16" s="134">
        <v>0</v>
      </c>
      <c r="BE16" s="134">
        <v>65</v>
      </c>
      <c r="BF16" s="134">
        <v>0</v>
      </c>
      <c r="BG16" s="134">
        <v>0</v>
      </c>
      <c r="BH16" s="134">
        <v>5</v>
      </c>
      <c r="BI16" s="134">
        <v>65</v>
      </c>
      <c r="BJ16" s="134">
        <v>70</v>
      </c>
      <c r="BK16" s="134">
        <v>13</v>
      </c>
      <c r="BL16" s="134">
        <v>-13</v>
      </c>
      <c r="BM16" s="134">
        <v>0</v>
      </c>
      <c r="BN16" s="134">
        <v>5</v>
      </c>
      <c r="BO16" s="134">
        <v>6</v>
      </c>
      <c r="BP16" s="134">
        <v>11</v>
      </c>
      <c r="BQ16" s="134">
        <v>1</v>
      </c>
      <c r="BR16" s="134">
        <v>11</v>
      </c>
      <c r="BS16" s="134">
        <v>12</v>
      </c>
      <c r="BT16" s="134">
        <v>5</v>
      </c>
      <c r="BU16" s="134">
        <v>31</v>
      </c>
      <c r="BV16" s="134">
        <v>36</v>
      </c>
      <c r="BW16" s="134">
        <v>199</v>
      </c>
      <c r="BX16" s="134">
        <v>1319</v>
      </c>
      <c r="BY16" s="134">
        <v>1518</v>
      </c>
      <c r="BZ16" s="134">
        <v>198</v>
      </c>
      <c r="CA16" s="134">
        <v>1313</v>
      </c>
      <c r="CB16" s="134">
        <v>1511</v>
      </c>
      <c r="CC16" s="134">
        <v>3471</v>
      </c>
      <c r="CD16" s="134">
        <v>0</v>
      </c>
      <c r="CE16" s="134">
        <v>7</v>
      </c>
      <c r="CF16" s="134">
        <v>1</v>
      </c>
      <c r="CG16" s="134">
        <v>6</v>
      </c>
      <c r="CH16" s="134">
        <v>7</v>
      </c>
      <c r="CI16" s="134">
        <v>0</v>
      </c>
      <c r="CJ16" s="134">
        <v>0</v>
      </c>
      <c r="CK16" s="134">
        <v>0</v>
      </c>
      <c r="CL16" s="134">
        <v>0</v>
      </c>
      <c r="CM16" s="134">
        <v>0</v>
      </c>
      <c r="CN16" s="134">
        <v>9</v>
      </c>
      <c r="CO16" s="134">
        <v>117</v>
      </c>
      <c r="CP16" s="134">
        <v>126</v>
      </c>
      <c r="CQ16" s="134">
        <v>0</v>
      </c>
      <c r="CR16" s="134">
        <v>1</v>
      </c>
      <c r="CS16" s="134">
        <v>1</v>
      </c>
      <c r="CT16" s="134">
        <v>190</v>
      </c>
      <c r="CU16" s="134">
        <v>1202</v>
      </c>
      <c r="CV16" s="134">
        <v>1392</v>
      </c>
      <c r="CW16" s="134">
        <v>9</v>
      </c>
      <c r="CX16" s="134">
        <v>48</v>
      </c>
      <c r="CY16" s="134">
        <v>57</v>
      </c>
      <c r="CZ16" s="134">
        <v>9</v>
      </c>
      <c r="DA16" s="134">
        <v>0</v>
      </c>
      <c r="DB16" s="134">
        <v>0</v>
      </c>
      <c r="DC16" s="134">
        <v>48</v>
      </c>
      <c r="DD16" s="134">
        <v>0</v>
      </c>
      <c r="DE16" s="134">
        <v>0</v>
      </c>
      <c r="DF16" s="134">
        <v>9</v>
      </c>
      <c r="DG16" s="134">
        <v>48</v>
      </c>
      <c r="DH16" s="134">
        <v>57</v>
      </c>
      <c r="DI16" s="134">
        <v>0</v>
      </c>
      <c r="DJ16" s="134">
        <v>0</v>
      </c>
      <c r="DK16" s="134">
        <v>0</v>
      </c>
      <c r="DL16" s="134">
        <v>0</v>
      </c>
      <c r="DM16" s="134">
        <v>0</v>
      </c>
      <c r="DN16" s="134">
        <v>0</v>
      </c>
      <c r="DO16" s="134">
        <v>0</v>
      </c>
      <c r="DP16" s="134">
        <v>0</v>
      </c>
      <c r="DQ16" s="134">
        <v>0</v>
      </c>
      <c r="DR16" s="134">
        <v>0</v>
      </c>
      <c r="DS16" s="134">
        <v>0</v>
      </c>
      <c r="DT16" s="135">
        <v>0</v>
      </c>
      <c r="DV16" s="136"/>
      <c r="DW16" s="137"/>
      <c r="DX16" s="136"/>
      <c r="DY16" s="136"/>
    </row>
    <row r="17" spans="1:129" s="116" customFormat="1">
      <c r="A17" s="133" t="s">
        <v>286</v>
      </c>
      <c r="B17" s="134">
        <v>1325</v>
      </c>
      <c r="C17" s="134">
        <v>316</v>
      </c>
      <c r="D17" s="134">
        <v>1319</v>
      </c>
      <c r="E17" s="134">
        <v>644</v>
      </c>
      <c r="F17" s="134">
        <v>1</v>
      </c>
      <c r="G17" s="134">
        <v>27</v>
      </c>
      <c r="H17" s="134">
        <v>28</v>
      </c>
      <c r="I17" s="134">
        <v>0</v>
      </c>
      <c r="J17" s="134">
        <v>624</v>
      </c>
      <c r="K17" s="134">
        <v>624</v>
      </c>
      <c r="L17" s="134">
        <v>0</v>
      </c>
      <c r="M17" s="134">
        <v>134</v>
      </c>
      <c r="N17" s="134">
        <v>134</v>
      </c>
      <c r="O17" s="134">
        <v>0</v>
      </c>
      <c r="P17" s="134">
        <v>490</v>
      </c>
      <c r="Q17" s="134">
        <v>490</v>
      </c>
      <c r="R17" s="134">
        <v>0</v>
      </c>
      <c r="S17" s="134">
        <v>15</v>
      </c>
      <c r="T17" s="134">
        <v>15</v>
      </c>
      <c r="U17" s="134">
        <v>0</v>
      </c>
      <c r="V17" s="134">
        <v>51</v>
      </c>
      <c r="W17" s="134">
        <v>51</v>
      </c>
      <c r="X17" s="134">
        <v>11</v>
      </c>
      <c r="Y17" s="134">
        <v>1308</v>
      </c>
      <c r="Z17" s="134">
        <v>1319</v>
      </c>
      <c r="AA17" s="134">
        <v>6</v>
      </c>
      <c r="AB17" s="134">
        <v>440</v>
      </c>
      <c r="AC17" s="134">
        <v>446</v>
      </c>
      <c r="AD17" s="134">
        <v>5</v>
      </c>
      <c r="AE17" s="134">
        <v>427</v>
      </c>
      <c r="AF17" s="134">
        <v>432</v>
      </c>
      <c r="AG17" s="134">
        <v>0</v>
      </c>
      <c r="AH17" s="134">
        <v>7</v>
      </c>
      <c r="AI17" s="134">
        <v>7</v>
      </c>
      <c r="AJ17" s="134">
        <v>1</v>
      </c>
      <c r="AK17" s="134">
        <v>6</v>
      </c>
      <c r="AL17" s="134">
        <v>7</v>
      </c>
      <c r="AM17" s="134">
        <v>5</v>
      </c>
      <c r="AN17" s="134">
        <v>868</v>
      </c>
      <c r="AO17" s="134">
        <v>873</v>
      </c>
      <c r="AP17" s="134">
        <v>798</v>
      </c>
      <c r="AQ17" s="134">
        <v>10211</v>
      </c>
      <c r="AR17" s="134">
        <v>11009</v>
      </c>
      <c r="AS17" s="134">
        <v>798</v>
      </c>
      <c r="AT17" s="134">
        <v>10211</v>
      </c>
      <c r="AU17" s="134">
        <v>11009</v>
      </c>
      <c r="AV17" s="134">
        <v>0</v>
      </c>
      <c r="AW17" s="134">
        <v>0</v>
      </c>
      <c r="AX17" s="134">
        <v>0</v>
      </c>
      <c r="AY17" s="134">
        <v>22</v>
      </c>
      <c r="AZ17" s="134">
        <v>1134</v>
      </c>
      <c r="BA17" s="134">
        <v>1156</v>
      </c>
      <c r="BB17" s="134">
        <v>16</v>
      </c>
      <c r="BC17" s="134">
        <v>0</v>
      </c>
      <c r="BD17" s="134">
        <v>0</v>
      </c>
      <c r="BE17" s="134">
        <v>628</v>
      </c>
      <c r="BF17" s="134">
        <v>0</v>
      </c>
      <c r="BG17" s="134">
        <v>0</v>
      </c>
      <c r="BH17" s="134">
        <v>16</v>
      </c>
      <c r="BI17" s="134">
        <v>628</v>
      </c>
      <c r="BJ17" s="134">
        <v>644</v>
      </c>
      <c r="BK17" s="134">
        <v>-22</v>
      </c>
      <c r="BL17" s="134">
        <v>22</v>
      </c>
      <c r="BM17" s="134">
        <v>0</v>
      </c>
      <c r="BN17" s="134">
        <v>5</v>
      </c>
      <c r="BO17" s="134">
        <v>34</v>
      </c>
      <c r="BP17" s="134">
        <v>39</v>
      </c>
      <c r="BQ17" s="134">
        <v>1</v>
      </c>
      <c r="BR17" s="134">
        <v>134</v>
      </c>
      <c r="BS17" s="134">
        <v>135</v>
      </c>
      <c r="BT17" s="134">
        <v>22</v>
      </c>
      <c r="BU17" s="134">
        <v>316</v>
      </c>
      <c r="BV17" s="134">
        <v>338</v>
      </c>
      <c r="BW17" s="134">
        <v>820</v>
      </c>
      <c r="BX17" s="134">
        <v>11345</v>
      </c>
      <c r="BY17" s="134">
        <v>12165</v>
      </c>
      <c r="BZ17" s="134">
        <v>820</v>
      </c>
      <c r="CA17" s="134">
        <v>11308</v>
      </c>
      <c r="CB17" s="134">
        <v>12128</v>
      </c>
      <c r="CC17" s="134">
        <v>20350</v>
      </c>
      <c r="CD17" s="134">
        <v>9</v>
      </c>
      <c r="CE17" s="134">
        <v>29</v>
      </c>
      <c r="CF17" s="134">
        <v>0</v>
      </c>
      <c r="CG17" s="134">
        <v>33</v>
      </c>
      <c r="CH17" s="134">
        <v>33</v>
      </c>
      <c r="CI17" s="134">
        <v>5</v>
      </c>
      <c r="CJ17" s="134">
        <v>0</v>
      </c>
      <c r="CK17" s="134">
        <v>0</v>
      </c>
      <c r="CL17" s="134">
        <v>4</v>
      </c>
      <c r="CM17" s="134">
        <v>4</v>
      </c>
      <c r="CN17" s="134">
        <v>45</v>
      </c>
      <c r="CO17" s="134">
        <v>1055</v>
      </c>
      <c r="CP17" s="134">
        <v>1100</v>
      </c>
      <c r="CQ17" s="134">
        <v>0</v>
      </c>
      <c r="CR17" s="134">
        <v>15</v>
      </c>
      <c r="CS17" s="134">
        <v>15</v>
      </c>
      <c r="CT17" s="134">
        <v>775</v>
      </c>
      <c r="CU17" s="134">
        <v>10290</v>
      </c>
      <c r="CV17" s="134">
        <v>11065</v>
      </c>
      <c r="CW17" s="134">
        <v>36</v>
      </c>
      <c r="CX17" s="134">
        <v>372</v>
      </c>
      <c r="CY17" s="134">
        <v>408</v>
      </c>
      <c r="CZ17" s="134">
        <v>35</v>
      </c>
      <c r="DA17" s="134">
        <v>0</v>
      </c>
      <c r="DB17" s="134">
        <v>0</v>
      </c>
      <c r="DC17" s="134">
        <v>367</v>
      </c>
      <c r="DD17" s="134">
        <v>1</v>
      </c>
      <c r="DE17" s="134">
        <v>1</v>
      </c>
      <c r="DF17" s="134">
        <v>35</v>
      </c>
      <c r="DG17" s="134">
        <v>369</v>
      </c>
      <c r="DH17" s="134">
        <v>404</v>
      </c>
      <c r="DI17" s="134">
        <v>1</v>
      </c>
      <c r="DJ17" s="134">
        <v>0</v>
      </c>
      <c r="DK17" s="134">
        <v>0</v>
      </c>
      <c r="DL17" s="134">
        <v>3</v>
      </c>
      <c r="DM17" s="134">
        <v>0</v>
      </c>
      <c r="DN17" s="134">
        <v>0</v>
      </c>
      <c r="DO17" s="134">
        <v>1</v>
      </c>
      <c r="DP17" s="134">
        <v>3</v>
      </c>
      <c r="DQ17" s="134">
        <v>4</v>
      </c>
      <c r="DR17" s="134">
        <v>0</v>
      </c>
      <c r="DS17" s="134">
        <v>0</v>
      </c>
      <c r="DT17" s="135">
        <v>0</v>
      </c>
      <c r="DV17" s="136"/>
      <c r="DW17" s="137"/>
      <c r="DX17" s="136"/>
      <c r="DY17" s="136"/>
    </row>
    <row r="18" spans="1:129" s="116" customFormat="1">
      <c r="A18" s="133" t="s">
        <v>287</v>
      </c>
      <c r="B18" s="134">
        <v>1136</v>
      </c>
      <c r="C18" s="134">
        <v>135</v>
      </c>
      <c r="D18" s="134">
        <v>1164</v>
      </c>
      <c r="E18" s="134">
        <v>752</v>
      </c>
      <c r="F18" s="134">
        <v>1</v>
      </c>
      <c r="G18" s="134">
        <v>13</v>
      </c>
      <c r="H18" s="134">
        <v>14</v>
      </c>
      <c r="I18" s="134">
        <v>0</v>
      </c>
      <c r="J18" s="134">
        <v>346</v>
      </c>
      <c r="K18" s="134">
        <v>346</v>
      </c>
      <c r="L18" s="134">
        <v>0</v>
      </c>
      <c r="M18" s="134">
        <v>134</v>
      </c>
      <c r="N18" s="134">
        <v>134</v>
      </c>
      <c r="O18" s="134">
        <v>0</v>
      </c>
      <c r="P18" s="134">
        <v>212</v>
      </c>
      <c r="Q18" s="134">
        <v>212</v>
      </c>
      <c r="R18" s="134">
        <v>0</v>
      </c>
      <c r="S18" s="134">
        <v>7</v>
      </c>
      <c r="T18" s="134">
        <v>7</v>
      </c>
      <c r="U18" s="134">
        <v>0</v>
      </c>
      <c r="V18" s="134">
        <v>66</v>
      </c>
      <c r="W18" s="134">
        <v>66</v>
      </c>
      <c r="X18" s="134">
        <v>27</v>
      </c>
      <c r="Y18" s="134">
        <v>1135</v>
      </c>
      <c r="Z18" s="134">
        <v>1162</v>
      </c>
      <c r="AA18" s="134">
        <v>11</v>
      </c>
      <c r="AB18" s="134">
        <v>448</v>
      </c>
      <c r="AC18" s="134">
        <v>459</v>
      </c>
      <c r="AD18" s="134">
        <v>11</v>
      </c>
      <c r="AE18" s="134">
        <v>427</v>
      </c>
      <c r="AF18" s="134">
        <v>438</v>
      </c>
      <c r="AG18" s="134">
        <v>0</v>
      </c>
      <c r="AH18" s="134">
        <v>14</v>
      </c>
      <c r="AI18" s="134">
        <v>14</v>
      </c>
      <c r="AJ18" s="134">
        <v>0</v>
      </c>
      <c r="AK18" s="134">
        <v>7</v>
      </c>
      <c r="AL18" s="134">
        <v>7</v>
      </c>
      <c r="AM18" s="134">
        <v>16</v>
      </c>
      <c r="AN18" s="134">
        <v>687</v>
      </c>
      <c r="AO18" s="134">
        <v>703</v>
      </c>
      <c r="AP18" s="134">
        <v>2153</v>
      </c>
      <c r="AQ18" s="134">
        <v>14244</v>
      </c>
      <c r="AR18" s="134">
        <v>16397</v>
      </c>
      <c r="AS18" s="134">
        <v>2153</v>
      </c>
      <c r="AT18" s="134">
        <v>14244</v>
      </c>
      <c r="AU18" s="134">
        <v>16397</v>
      </c>
      <c r="AV18" s="134">
        <v>0</v>
      </c>
      <c r="AW18" s="134">
        <v>0</v>
      </c>
      <c r="AX18" s="134">
        <v>0</v>
      </c>
      <c r="AY18" s="134">
        <v>108</v>
      </c>
      <c r="AZ18" s="134">
        <v>1138</v>
      </c>
      <c r="BA18" s="134">
        <v>1246</v>
      </c>
      <c r="BB18" s="134">
        <v>35</v>
      </c>
      <c r="BC18" s="134">
        <v>2</v>
      </c>
      <c r="BD18" s="134">
        <v>0</v>
      </c>
      <c r="BE18" s="134">
        <v>683</v>
      </c>
      <c r="BF18" s="134">
        <v>26</v>
      </c>
      <c r="BG18" s="134">
        <v>6</v>
      </c>
      <c r="BH18" s="134">
        <v>37</v>
      </c>
      <c r="BI18" s="134">
        <v>715</v>
      </c>
      <c r="BJ18" s="134">
        <v>752</v>
      </c>
      <c r="BK18" s="134">
        <v>14</v>
      </c>
      <c r="BL18" s="134">
        <v>-14</v>
      </c>
      <c r="BM18" s="134">
        <v>0</v>
      </c>
      <c r="BN18" s="134">
        <v>4</v>
      </c>
      <c r="BO18" s="134">
        <v>21</v>
      </c>
      <c r="BP18" s="134">
        <v>25</v>
      </c>
      <c r="BQ18" s="134">
        <v>12</v>
      </c>
      <c r="BR18" s="134">
        <v>183</v>
      </c>
      <c r="BS18" s="134">
        <v>195</v>
      </c>
      <c r="BT18" s="134">
        <v>41</v>
      </c>
      <c r="BU18" s="134">
        <v>233</v>
      </c>
      <c r="BV18" s="134">
        <v>274</v>
      </c>
      <c r="BW18" s="134">
        <v>2261</v>
      </c>
      <c r="BX18" s="134">
        <v>15382</v>
      </c>
      <c r="BY18" s="134">
        <v>17643</v>
      </c>
      <c r="BZ18" s="134">
        <v>2236</v>
      </c>
      <c r="CA18" s="134">
        <v>15030</v>
      </c>
      <c r="CB18" s="134">
        <v>17266</v>
      </c>
      <c r="CC18" s="134">
        <v>42167</v>
      </c>
      <c r="CD18" s="134">
        <v>21</v>
      </c>
      <c r="CE18" s="134">
        <v>326</v>
      </c>
      <c r="CF18" s="134">
        <v>25</v>
      </c>
      <c r="CG18" s="134">
        <v>296</v>
      </c>
      <c r="CH18" s="134">
        <v>321</v>
      </c>
      <c r="CI18" s="134">
        <v>59</v>
      </c>
      <c r="CJ18" s="134">
        <v>1</v>
      </c>
      <c r="CK18" s="134">
        <v>0</v>
      </c>
      <c r="CL18" s="134">
        <v>56</v>
      </c>
      <c r="CM18" s="134">
        <v>56</v>
      </c>
      <c r="CN18" s="134">
        <v>85</v>
      </c>
      <c r="CO18" s="134">
        <v>1052</v>
      </c>
      <c r="CP18" s="134">
        <v>1137</v>
      </c>
      <c r="CQ18" s="134">
        <v>0</v>
      </c>
      <c r="CR18" s="134">
        <v>5</v>
      </c>
      <c r="CS18" s="134">
        <v>5</v>
      </c>
      <c r="CT18" s="134">
        <v>2176</v>
      </c>
      <c r="CU18" s="134">
        <v>14330</v>
      </c>
      <c r="CV18" s="134">
        <v>16506</v>
      </c>
      <c r="CW18" s="134">
        <v>121</v>
      </c>
      <c r="CX18" s="134">
        <v>537</v>
      </c>
      <c r="CY18" s="134">
        <v>658</v>
      </c>
      <c r="CZ18" s="134">
        <v>117</v>
      </c>
      <c r="DA18" s="134">
        <v>3</v>
      </c>
      <c r="DB18" s="134">
        <v>0</v>
      </c>
      <c r="DC18" s="134">
        <v>520</v>
      </c>
      <c r="DD18" s="134">
        <v>13</v>
      </c>
      <c r="DE18" s="134">
        <v>0</v>
      </c>
      <c r="DF18" s="134">
        <v>120</v>
      </c>
      <c r="DG18" s="134">
        <v>533</v>
      </c>
      <c r="DH18" s="134">
        <v>653</v>
      </c>
      <c r="DI18" s="134">
        <v>1</v>
      </c>
      <c r="DJ18" s="134">
        <v>0</v>
      </c>
      <c r="DK18" s="134">
        <v>0</v>
      </c>
      <c r="DL18" s="134">
        <v>4</v>
      </c>
      <c r="DM18" s="134">
        <v>0</v>
      </c>
      <c r="DN18" s="134">
        <v>0</v>
      </c>
      <c r="DO18" s="134">
        <v>1</v>
      </c>
      <c r="DP18" s="134">
        <v>4</v>
      </c>
      <c r="DQ18" s="134">
        <v>5</v>
      </c>
      <c r="DR18" s="134">
        <v>0</v>
      </c>
      <c r="DS18" s="134">
        <v>0</v>
      </c>
      <c r="DT18" s="135">
        <v>0</v>
      </c>
      <c r="DV18" s="136"/>
      <c r="DW18" s="137"/>
      <c r="DX18" s="136"/>
      <c r="DY18" s="136"/>
    </row>
    <row r="19" spans="1:129" s="116" customFormat="1">
      <c r="A19" s="133" t="s">
        <v>288</v>
      </c>
      <c r="B19" s="134">
        <v>67</v>
      </c>
      <c r="C19" s="134">
        <v>5</v>
      </c>
      <c r="D19" s="134">
        <v>49</v>
      </c>
      <c r="E19" s="134">
        <v>41</v>
      </c>
      <c r="F19" s="134">
        <v>0</v>
      </c>
      <c r="G19" s="134">
        <v>1</v>
      </c>
      <c r="H19" s="134">
        <v>1</v>
      </c>
      <c r="I19" s="134">
        <v>0</v>
      </c>
      <c r="J19" s="134">
        <v>6</v>
      </c>
      <c r="K19" s="134">
        <v>6</v>
      </c>
      <c r="L19" s="134">
        <v>0</v>
      </c>
      <c r="M19" s="134">
        <v>2</v>
      </c>
      <c r="N19" s="134">
        <v>2</v>
      </c>
      <c r="O19" s="134">
        <v>0</v>
      </c>
      <c r="P19" s="134">
        <v>4</v>
      </c>
      <c r="Q19" s="134">
        <v>4</v>
      </c>
      <c r="R19" s="134">
        <v>0</v>
      </c>
      <c r="S19" s="134">
        <v>0</v>
      </c>
      <c r="T19" s="134">
        <v>0</v>
      </c>
      <c r="U19" s="134">
        <v>0</v>
      </c>
      <c r="V19" s="134">
        <v>2</v>
      </c>
      <c r="W19" s="134">
        <v>2</v>
      </c>
      <c r="X19" s="134">
        <v>1</v>
      </c>
      <c r="Y19" s="134">
        <v>48</v>
      </c>
      <c r="Z19" s="134">
        <v>49</v>
      </c>
      <c r="AA19" s="134">
        <v>0</v>
      </c>
      <c r="AB19" s="134">
        <v>18</v>
      </c>
      <c r="AC19" s="134">
        <v>18</v>
      </c>
      <c r="AD19" s="134">
        <v>0</v>
      </c>
      <c r="AE19" s="134">
        <v>17</v>
      </c>
      <c r="AF19" s="134">
        <v>17</v>
      </c>
      <c r="AG19" s="134">
        <v>0</v>
      </c>
      <c r="AH19" s="134">
        <v>1</v>
      </c>
      <c r="AI19" s="134">
        <v>1</v>
      </c>
      <c r="AJ19" s="134">
        <v>0</v>
      </c>
      <c r="AK19" s="134">
        <v>0</v>
      </c>
      <c r="AL19" s="134">
        <v>0</v>
      </c>
      <c r="AM19" s="134">
        <v>1</v>
      </c>
      <c r="AN19" s="134">
        <v>30</v>
      </c>
      <c r="AO19" s="134">
        <v>31</v>
      </c>
      <c r="AP19" s="134">
        <v>75</v>
      </c>
      <c r="AQ19" s="134">
        <v>863</v>
      </c>
      <c r="AR19" s="134">
        <v>938</v>
      </c>
      <c r="AS19" s="134">
        <v>75</v>
      </c>
      <c r="AT19" s="134">
        <v>863</v>
      </c>
      <c r="AU19" s="134">
        <v>938</v>
      </c>
      <c r="AV19" s="134">
        <v>0</v>
      </c>
      <c r="AW19" s="134">
        <v>0</v>
      </c>
      <c r="AX19" s="134">
        <v>0</v>
      </c>
      <c r="AY19" s="134">
        <v>6</v>
      </c>
      <c r="AZ19" s="134">
        <v>62</v>
      </c>
      <c r="BA19" s="134">
        <v>68</v>
      </c>
      <c r="BB19" s="134">
        <v>2</v>
      </c>
      <c r="BC19" s="134">
        <v>0</v>
      </c>
      <c r="BD19" s="134">
        <v>0</v>
      </c>
      <c r="BE19" s="134">
        <v>39</v>
      </c>
      <c r="BF19" s="134">
        <v>0</v>
      </c>
      <c r="BG19" s="134">
        <v>0</v>
      </c>
      <c r="BH19" s="134">
        <v>2</v>
      </c>
      <c r="BI19" s="134">
        <v>39</v>
      </c>
      <c r="BJ19" s="134">
        <v>41</v>
      </c>
      <c r="BK19" s="134">
        <v>1</v>
      </c>
      <c r="BL19" s="134">
        <v>-1</v>
      </c>
      <c r="BM19" s="134">
        <v>0</v>
      </c>
      <c r="BN19" s="134">
        <v>0</v>
      </c>
      <c r="BO19" s="134">
        <v>2</v>
      </c>
      <c r="BP19" s="134">
        <v>2</v>
      </c>
      <c r="BQ19" s="134">
        <v>2</v>
      </c>
      <c r="BR19" s="134">
        <v>12</v>
      </c>
      <c r="BS19" s="134">
        <v>14</v>
      </c>
      <c r="BT19" s="134">
        <v>1</v>
      </c>
      <c r="BU19" s="134">
        <v>10</v>
      </c>
      <c r="BV19" s="134">
        <v>11</v>
      </c>
      <c r="BW19" s="134">
        <v>81</v>
      </c>
      <c r="BX19" s="134">
        <v>925</v>
      </c>
      <c r="BY19" s="134">
        <v>1006</v>
      </c>
      <c r="BZ19" s="134">
        <v>81</v>
      </c>
      <c r="CA19" s="134">
        <v>918</v>
      </c>
      <c r="CB19" s="134">
        <v>999</v>
      </c>
      <c r="CC19" s="134">
        <v>1924</v>
      </c>
      <c r="CD19" s="134">
        <v>0</v>
      </c>
      <c r="CE19" s="134">
        <v>5</v>
      </c>
      <c r="CF19" s="134">
        <v>0</v>
      </c>
      <c r="CG19" s="134">
        <v>5</v>
      </c>
      <c r="CH19" s="134">
        <v>5</v>
      </c>
      <c r="CI19" s="134">
        <v>2</v>
      </c>
      <c r="CJ19" s="134">
        <v>0</v>
      </c>
      <c r="CK19" s="134">
        <v>0</v>
      </c>
      <c r="CL19" s="134">
        <v>2</v>
      </c>
      <c r="CM19" s="134">
        <v>2</v>
      </c>
      <c r="CN19" s="134">
        <v>7</v>
      </c>
      <c r="CO19" s="134">
        <v>87</v>
      </c>
      <c r="CP19" s="134">
        <v>94</v>
      </c>
      <c r="CQ19" s="134">
        <v>0</v>
      </c>
      <c r="CR19" s="134">
        <v>0</v>
      </c>
      <c r="CS19" s="134">
        <v>0</v>
      </c>
      <c r="CT19" s="134">
        <v>74</v>
      </c>
      <c r="CU19" s="134">
        <v>838</v>
      </c>
      <c r="CV19" s="134">
        <v>912</v>
      </c>
      <c r="CW19" s="134">
        <v>1</v>
      </c>
      <c r="CX19" s="134">
        <v>18</v>
      </c>
      <c r="CY19" s="134">
        <v>19</v>
      </c>
      <c r="CZ19" s="134">
        <v>1</v>
      </c>
      <c r="DA19" s="134">
        <v>0</v>
      </c>
      <c r="DB19" s="134">
        <v>0</v>
      </c>
      <c r="DC19" s="134">
        <v>18</v>
      </c>
      <c r="DD19" s="134">
        <v>0</v>
      </c>
      <c r="DE19" s="134">
        <v>0</v>
      </c>
      <c r="DF19" s="134">
        <v>1</v>
      </c>
      <c r="DG19" s="134">
        <v>18</v>
      </c>
      <c r="DH19" s="134">
        <v>19</v>
      </c>
      <c r="DI19" s="134">
        <v>0</v>
      </c>
      <c r="DJ19" s="134">
        <v>0</v>
      </c>
      <c r="DK19" s="134">
        <v>0</v>
      </c>
      <c r="DL19" s="134">
        <v>0</v>
      </c>
      <c r="DM19" s="134">
        <v>0</v>
      </c>
      <c r="DN19" s="134">
        <v>0</v>
      </c>
      <c r="DO19" s="134">
        <v>0</v>
      </c>
      <c r="DP19" s="134">
        <v>0</v>
      </c>
      <c r="DQ19" s="134">
        <v>0</v>
      </c>
      <c r="DR19" s="134">
        <v>0</v>
      </c>
      <c r="DS19" s="134">
        <v>0</v>
      </c>
      <c r="DT19" s="135">
        <v>0</v>
      </c>
      <c r="DV19" s="136"/>
      <c r="DW19" s="137"/>
      <c r="DX19" s="136"/>
      <c r="DY19" s="136"/>
    </row>
    <row r="20" spans="1:129" s="116" customFormat="1">
      <c r="A20" s="133" t="s">
        <v>289</v>
      </c>
      <c r="B20" s="134">
        <v>5846</v>
      </c>
      <c r="C20" s="134">
        <v>1568</v>
      </c>
      <c r="D20" s="134">
        <v>5769</v>
      </c>
      <c r="E20" s="134">
        <v>3643</v>
      </c>
      <c r="F20" s="134">
        <v>3</v>
      </c>
      <c r="G20" s="134">
        <v>39</v>
      </c>
      <c r="H20" s="134">
        <v>42</v>
      </c>
      <c r="I20" s="134">
        <v>2</v>
      </c>
      <c r="J20" s="134">
        <v>1863</v>
      </c>
      <c r="K20" s="134">
        <v>1865</v>
      </c>
      <c r="L20" s="134">
        <v>2</v>
      </c>
      <c r="M20" s="134">
        <v>505</v>
      </c>
      <c r="N20" s="134">
        <v>507</v>
      </c>
      <c r="O20" s="134">
        <v>0</v>
      </c>
      <c r="P20" s="134">
        <v>1358</v>
      </c>
      <c r="Q20" s="134">
        <v>1358</v>
      </c>
      <c r="R20" s="134">
        <v>1</v>
      </c>
      <c r="S20" s="134">
        <v>30</v>
      </c>
      <c r="T20" s="134">
        <v>31</v>
      </c>
      <c r="U20" s="134">
        <v>0</v>
      </c>
      <c r="V20" s="134">
        <v>261</v>
      </c>
      <c r="W20" s="134">
        <v>261</v>
      </c>
      <c r="X20" s="134">
        <v>191</v>
      </c>
      <c r="Y20" s="134">
        <v>5577</v>
      </c>
      <c r="Z20" s="134">
        <v>5768</v>
      </c>
      <c r="AA20" s="134">
        <v>116</v>
      </c>
      <c r="AB20" s="134">
        <v>2300</v>
      </c>
      <c r="AC20" s="134">
        <v>2416</v>
      </c>
      <c r="AD20" s="134">
        <v>112</v>
      </c>
      <c r="AE20" s="134">
        <v>2158</v>
      </c>
      <c r="AF20" s="134">
        <v>2270</v>
      </c>
      <c r="AG20" s="134">
        <v>3</v>
      </c>
      <c r="AH20" s="134">
        <v>84</v>
      </c>
      <c r="AI20" s="134">
        <v>87</v>
      </c>
      <c r="AJ20" s="134">
        <v>1</v>
      </c>
      <c r="AK20" s="134">
        <v>58</v>
      </c>
      <c r="AL20" s="134">
        <v>59</v>
      </c>
      <c r="AM20" s="134">
        <v>75</v>
      </c>
      <c r="AN20" s="134">
        <v>3277</v>
      </c>
      <c r="AO20" s="134">
        <v>3352</v>
      </c>
      <c r="AP20" s="134">
        <v>9100</v>
      </c>
      <c r="AQ20" s="134">
        <v>54735</v>
      </c>
      <c r="AR20" s="134">
        <v>63835</v>
      </c>
      <c r="AS20" s="134">
        <v>9100</v>
      </c>
      <c r="AT20" s="134">
        <v>54736</v>
      </c>
      <c r="AU20" s="134">
        <v>63836</v>
      </c>
      <c r="AV20" s="134">
        <v>0</v>
      </c>
      <c r="AW20" s="134">
        <v>-1</v>
      </c>
      <c r="AX20" s="134">
        <v>-1</v>
      </c>
      <c r="AY20" s="134">
        <v>330</v>
      </c>
      <c r="AZ20" s="134">
        <v>5317</v>
      </c>
      <c r="BA20" s="134">
        <v>5647</v>
      </c>
      <c r="BB20" s="134">
        <v>242</v>
      </c>
      <c r="BC20" s="134">
        <v>2</v>
      </c>
      <c r="BD20" s="134">
        <v>0</v>
      </c>
      <c r="BE20" s="134">
        <v>3339</v>
      </c>
      <c r="BF20" s="134">
        <v>47</v>
      </c>
      <c r="BG20" s="134">
        <v>13</v>
      </c>
      <c r="BH20" s="134">
        <v>244</v>
      </c>
      <c r="BI20" s="134">
        <v>3399</v>
      </c>
      <c r="BJ20" s="134">
        <v>3643</v>
      </c>
      <c r="BK20" s="134">
        <v>-118</v>
      </c>
      <c r="BL20" s="134">
        <v>118</v>
      </c>
      <c r="BM20" s="134">
        <v>0</v>
      </c>
      <c r="BN20" s="134">
        <v>33</v>
      </c>
      <c r="BO20" s="134">
        <v>125</v>
      </c>
      <c r="BP20" s="134">
        <v>158</v>
      </c>
      <c r="BQ20" s="134">
        <v>37</v>
      </c>
      <c r="BR20" s="134">
        <v>703</v>
      </c>
      <c r="BS20" s="134">
        <v>740</v>
      </c>
      <c r="BT20" s="134">
        <v>134</v>
      </c>
      <c r="BU20" s="134">
        <v>972</v>
      </c>
      <c r="BV20" s="134">
        <v>1106</v>
      </c>
      <c r="BW20" s="134">
        <v>9430</v>
      </c>
      <c r="BX20" s="134">
        <v>60052</v>
      </c>
      <c r="BY20" s="134">
        <v>69482</v>
      </c>
      <c r="BZ20" s="134">
        <v>9375</v>
      </c>
      <c r="CA20" s="134">
        <v>59145</v>
      </c>
      <c r="CB20" s="134">
        <v>68520</v>
      </c>
      <c r="CC20" s="134">
        <v>158456</v>
      </c>
      <c r="CD20" s="134">
        <v>50</v>
      </c>
      <c r="CE20" s="134">
        <v>736</v>
      </c>
      <c r="CF20" s="134">
        <v>53</v>
      </c>
      <c r="CG20" s="134">
        <v>667</v>
      </c>
      <c r="CH20" s="134">
        <v>720</v>
      </c>
      <c r="CI20" s="134">
        <v>311</v>
      </c>
      <c r="CJ20" s="134">
        <v>11</v>
      </c>
      <c r="CK20" s="134">
        <v>2</v>
      </c>
      <c r="CL20" s="134">
        <v>240</v>
      </c>
      <c r="CM20" s="134">
        <v>242</v>
      </c>
      <c r="CN20" s="134">
        <v>418</v>
      </c>
      <c r="CO20" s="134">
        <v>5268</v>
      </c>
      <c r="CP20" s="134">
        <v>5686</v>
      </c>
      <c r="CQ20" s="134">
        <v>0</v>
      </c>
      <c r="CR20" s="134">
        <v>21</v>
      </c>
      <c r="CS20" s="134">
        <v>21</v>
      </c>
      <c r="CT20" s="134">
        <v>9012</v>
      </c>
      <c r="CU20" s="134">
        <v>54784</v>
      </c>
      <c r="CV20" s="134">
        <v>63796</v>
      </c>
      <c r="CW20" s="134">
        <v>597</v>
      </c>
      <c r="CX20" s="134">
        <v>2337</v>
      </c>
      <c r="CY20" s="134">
        <v>2934</v>
      </c>
      <c r="CZ20" s="134">
        <v>588</v>
      </c>
      <c r="DA20" s="134">
        <v>8</v>
      </c>
      <c r="DB20" s="134">
        <v>0</v>
      </c>
      <c r="DC20" s="134">
        <v>2221</v>
      </c>
      <c r="DD20" s="134">
        <v>32</v>
      </c>
      <c r="DE20" s="134">
        <v>2</v>
      </c>
      <c r="DF20" s="134">
        <v>596</v>
      </c>
      <c r="DG20" s="134">
        <v>2255</v>
      </c>
      <c r="DH20" s="134">
        <v>2851</v>
      </c>
      <c r="DI20" s="134">
        <v>1</v>
      </c>
      <c r="DJ20" s="134">
        <v>0</v>
      </c>
      <c r="DK20" s="134">
        <v>0</v>
      </c>
      <c r="DL20" s="134">
        <v>82</v>
      </c>
      <c r="DM20" s="134">
        <v>0</v>
      </c>
      <c r="DN20" s="134">
        <v>0</v>
      </c>
      <c r="DO20" s="134">
        <v>1</v>
      </c>
      <c r="DP20" s="134">
        <v>82</v>
      </c>
      <c r="DQ20" s="134">
        <v>83</v>
      </c>
      <c r="DR20" s="134">
        <v>0</v>
      </c>
      <c r="DS20" s="134">
        <v>0</v>
      </c>
      <c r="DT20" s="135">
        <v>0</v>
      </c>
      <c r="DV20" s="136"/>
      <c r="DW20" s="137"/>
      <c r="DX20" s="136"/>
      <c r="DY20" s="136"/>
    </row>
    <row r="21" spans="1:129" s="116" customFormat="1">
      <c r="A21" s="133" t="s">
        <v>290</v>
      </c>
      <c r="B21" s="134">
        <v>926</v>
      </c>
      <c r="C21" s="134">
        <v>189</v>
      </c>
      <c r="D21" s="134">
        <v>909</v>
      </c>
      <c r="E21" s="134">
        <v>560</v>
      </c>
      <c r="F21" s="134">
        <v>0</v>
      </c>
      <c r="G21" s="134">
        <v>3</v>
      </c>
      <c r="H21" s="134">
        <v>3</v>
      </c>
      <c r="I21" s="134">
        <v>0</v>
      </c>
      <c r="J21" s="134">
        <v>312</v>
      </c>
      <c r="K21" s="134">
        <v>312</v>
      </c>
      <c r="L21" s="134">
        <v>0</v>
      </c>
      <c r="M21" s="134">
        <v>125</v>
      </c>
      <c r="N21" s="134">
        <v>125</v>
      </c>
      <c r="O21" s="134">
        <v>0</v>
      </c>
      <c r="P21" s="134">
        <v>187</v>
      </c>
      <c r="Q21" s="134">
        <v>187</v>
      </c>
      <c r="R21" s="134">
        <v>0</v>
      </c>
      <c r="S21" s="134">
        <v>1</v>
      </c>
      <c r="T21" s="134">
        <v>1</v>
      </c>
      <c r="U21" s="134">
        <v>0</v>
      </c>
      <c r="V21" s="134">
        <v>37</v>
      </c>
      <c r="W21" s="134">
        <v>37</v>
      </c>
      <c r="X21" s="134">
        <v>30</v>
      </c>
      <c r="Y21" s="134">
        <v>878</v>
      </c>
      <c r="Z21" s="134">
        <v>908</v>
      </c>
      <c r="AA21" s="134">
        <v>25</v>
      </c>
      <c r="AB21" s="134">
        <v>368</v>
      </c>
      <c r="AC21" s="134">
        <v>393</v>
      </c>
      <c r="AD21" s="134">
        <v>22</v>
      </c>
      <c r="AE21" s="134">
        <v>345</v>
      </c>
      <c r="AF21" s="134">
        <v>367</v>
      </c>
      <c r="AG21" s="134">
        <v>0</v>
      </c>
      <c r="AH21" s="134">
        <v>14</v>
      </c>
      <c r="AI21" s="134">
        <v>14</v>
      </c>
      <c r="AJ21" s="134">
        <v>3</v>
      </c>
      <c r="AK21" s="134">
        <v>9</v>
      </c>
      <c r="AL21" s="134">
        <v>12</v>
      </c>
      <c r="AM21" s="134">
        <v>5</v>
      </c>
      <c r="AN21" s="134">
        <v>510</v>
      </c>
      <c r="AO21" s="134">
        <v>515</v>
      </c>
      <c r="AP21" s="134">
        <v>1355</v>
      </c>
      <c r="AQ21" s="134">
        <v>8435</v>
      </c>
      <c r="AR21" s="134">
        <v>9790</v>
      </c>
      <c r="AS21" s="134">
        <v>1355</v>
      </c>
      <c r="AT21" s="134">
        <v>8435</v>
      </c>
      <c r="AU21" s="134">
        <v>9790</v>
      </c>
      <c r="AV21" s="134">
        <v>0</v>
      </c>
      <c r="AW21" s="134">
        <v>0</v>
      </c>
      <c r="AX21" s="134">
        <v>0</v>
      </c>
      <c r="AY21" s="134">
        <v>76</v>
      </c>
      <c r="AZ21" s="134">
        <v>850</v>
      </c>
      <c r="BA21" s="134">
        <v>926</v>
      </c>
      <c r="BB21" s="134">
        <v>38</v>
      </c>
      <c r="BC21" s="134">
        <v>0</v>
      </c>
      <c r="BD21" s="134">
        <v>0</v>
      </c>
      <c r="BE21" s="134">
        <v>512</v>
      </c>
      <c r="BF21" s="134">
        <v>8</v>
      </c>
      <c r="BG21" s="134">
        <v>2</v>
      </c>
      <c r="BH21" s="134">
        <v>38</v>
      </c>
      <c r="BI21" s="134">
        <v>522</v>
      </c>
      <c r="BJ21" s="134">
        <v>560</v>
      </c>
      <c r="BK21" s="134">
        <v>-10</v>
      </c>
      <c r="BL21" s="134">
        <v>10</v>
      </c>
      <c r="BM21" s="134">
        <v>0</v>
      </c>
      <c r="BN21" s="134">
        <v>12</v>
      </c>
      <c r="BO21" s="134">
        <v>25</v>
      </c>
      <c r="BP21" s="134">
        <v>37</v>
      </c>
      <c r="BQ21" s="134">
        <v>13</v>
      </c>
      <c r="BR21" s="134">
        <v>121</v>
      </c>
      <c r="BS21" s="134">
        <v>134</v>
      </c>
      <c r="BT21" s="134">
        <v>23</v>
      </c>
      <c r="BU21" s="134">
        <v>172</v>
      </c>
      <c r="BV21" s="134">
        <v>195</v>
      </c>
      <c r="BW21" s="134">
        <v>1431</v>
      </c>
      <c r="BX21" s="134">
        <v>9285</v>
      </c>
      <c r="BY21" s="134">
        <v>10716</v>
      </c>
      <c r="BZ21" s="134">
        <v>1417</v>
      </c>
      <c r="CA21" s="134">
        <v>9148</v>
      </c>
      <c r="CB21" s="134">
        <v>10565</v>
      </c>
      <c r="CC21" s="134">
        <v>23638</v>
      </c>
      <c r="CD21" s="134">
        <v>17</v>
      </c>
      <c r="CE21" s="134">
        <v>117</v>
      </c>
      <c r="CF21" s="134">
        <v>14</v>
      </c>
      <c r="CG21" s="134">
        <v>109</v>
      </c>
      <c r="CH21" s="134">
        <v>123</v>
      </c>
      <c r="CI21" s="134">
        <v>34</v>
      </c>
      <c r="CJ21" s="134">
        <v>1</v>
      </c>
      <c r="CK21" s="134">
        <v>0</v>
      </c>
      <c r="CL21" s="134">
        <v>28</v>
      </c>
      <c r="CM21" s="134">
        <v>28</v>
      </c>
      <c r="CN21" s="134">
        <v>66</v>
      </c>
      <c r="CO21" s="134">
        <v>830</v>
      </c>
      <c r="CP21" s="134">
        <v>896</v>
      </c>
      <c r="CQ21" s="134">
        <v>0</v>
      </c>
      <c r="CR21" s="134">
        <v>0</v>
      </c>
      <c r="CS21" s="134">
        <v>0</v>
      </c>
      <c r="CT21" s="134">
        <v>1365</v>
      </c>
      <c r="CU21" s="134">
        <v>8455</v>
      </c>
      <c r="CV21" s="134">
        <v>9820</v>
      </c>
      <c r="CW21" s="134">
        <v>87</v>
      </c>
      <c r="CX21" s="134">
        <v>311</v>
      </c>
      <c r="CY21" s="134">
        <v>398</v>
      </c>
      <c r="CZ21" s="134">
        <v>86</v>
      </c>
      <c r="DA21" s="134">
        <v>1</v>
      </c>
      <c r="DB21" s="134">
        <v>0</v>
      </c>
      <c r="DC21" s="134">
        <v>302</v>
      </c>
      <c r="DD21" s="134">
        <v>1</v>
      </c>
      <c r="DE21" s="134">
        <v>2</v>
      </c>
      <c r="DF21" s="134">
        <v>87</v>
      </c>
      <c r="DG21" s="134">
        <v>305</v>
      </c>
      <c r="DH21" s="134">
        <v>392</v>
      </c>
      <c r="DI21" s="134">
        <v>0</v>
      </c>
      <c r="DJ21" s="134">
        <v>0</v>
      </c>
      <c r="DK21" s="134">
        <v>0</v>
      </c>
      <c r="DL21" s="134">
        <v>6</v>
      </c>
      <c r="DM21" s="134">
        <v>0</v>
      </c>
      <c r="DN21" s="134">
        <v>0</v>
      </c>
      <c r="DO21" s="134">
        <v>0</v>
      </c>
      <c r="DP21" s="134">
        <v>6</v>
      </c>
      <c r="DQ21" s="134">
        <v>6</v>
      </c>
      <c r="DR21" s="134">
        <v>0</v>
      </c>
      <c r="DS21" s="134">
        <v>0</v>
      </c>
      <c r="DT21" s="135">
        <v>0</v>
      </c>
      <c r="DV21" s="136"/>
      <c r="DW21" s="137"/>
      <c r="DX21" s="136"/>
      <c r="DY21" s="136"/>
    </row>
    <row r="22" spans="1:129" s="116" customFormat="1">
      <c r="A22" s="133" t="s">
        <v>291</v>
      </c>
      <c r="B22" s="134">
        <v>441</v>
      </c>
      <c r="C22" s="134">
        <v>60</v>
      </c>
      <c r="D22" s="134">
        <v>400</v>
      </c>
      <c r="E22" s="134">
        <v>270</v>
      </c>
      <c r="F22" s="134">
        <v>0</v>
      </c>
      <c r="G22" s="134">
        <v>23</v>
      </c>
      <c r="H22" s="134">
        <v>23</v>
      </c>
      <c r="I22" s="134">
        <v>1</v>
      </c>
      <c r="J22" s="134">
        <v>98</v>
      </c>
      <c r="K22" s="134">
        <v>99</v>
      </c>
      <c r="L22" s="134">
        <v>1</v>
      </c>
      <c r="M22" s="134">
        <v>33</v>
      </c>
      <c r="N22" s="134">
        <v>34</v>
      </c>
      <c r="O22" s="134">
        <v>0</v>
      </c>
      <c r="P22" s="134">
        <v>65</v>
      </c>
      <c r="Q22" s="134">
        <v>65</v>
      </c>
      <c r="R22" s="134">
        <v>1</v>
      </c>
      <c r="S22" s="134">
        <v>3</v>
      </c>
      <c r="T22" s="134">
        <v>4</v>
      </c>
      <c r="U22" s="134">
        <v>0</v>
      </c>
      <c r="V22" s="134">
        <v>31</v>
      </c>
      <c r="W22" s="134">
        <v>31</v>
      </c>
      <c r="X22" s="134">
        <v>9</v>
      </c>
      <c r="Y22" s="134">
        <v>379</v>
      </c>
      <c r="Z22" s="134">
        <v>388</v>
      </c>
      <c r="AA22" s="134">
        <v>5</v>
      </c>
      <c r="AB22" s="134">
        <v>156</v>
      </c>
      <c r="AC22" s="134">
        <v>161</v>
      </c>
      <c r="AD22" s="134">
        <v>3</v>
      </c>
      <c r="AE22" s="134">
        <v>134</v>
      </c>
      <c r="AF22" s="134">
        <v>137</v>
      </c>
      <c r="AG22" s="134">
        <v>0</v>
      </c>
      <c r="AH22" s="134">
        <v>9</v>
      </c>
      <c r="AI22" s="134">
        <v>9</v>
      </c>
      <c r="AJ22" s="134">
        <v>2</v>
      </c>
      <c r="AK22" s="134">
        <v>13</v>
      </c>
      <c r="AL22" s="134">
        <v>15</v>
      </c>
      <c r="AM22" s="134">
        <v>4</v>
      </c>
      <c r="AN22" s="134">
        <v>223</v>
      </c>
      <c r="AO22" s="134">
        <v>227</v>
      </c>
      <c r="AP22" s="134">
        <v>510</v>
      </c>
      <c r="AQ22" s="134">
        <v>5462</v>
      </c>
      <c r="AR22" s="134">
        <v>5972</v>
      </c>
      <c r="AS22" s="134">
        <v>510</v>
      </c>
      <c r="AT22" s="134">
        <v>5462</v>
      </c>
      <c r="AU22" s="134">
        <v>5972</v>
      </c>
      <c r="AV22" s="134">
        <v>0</v>
      </c>
      <c r="AW22" s="134">
        <v>0</v>
      </c>
      <c r="AX22" s="134">
        <v>0</v>
      </c>
      <c r="AY22" s="134">
        <v>10</v>
      </c>
      <c r="AZ22" s="134">
        <v>427</v>
      </c>
      <c r="BA22" s="134">
        <v>437</v>
      </c>
      <c r="BB22" s="134">
        <v>9</v>
      </c>
      <c r="BC22" s="134">
        <v>0</v>
      </c>
      <c r="BD22" s="134">
        <v>0</v>
      </c>
      <c r="BE22" s="134">
        <v>260</v>
      </c>
      <c r="BF22" s="134">
        <v>1</v>
      </c>
      <c r="BG22" s="134">
        <v>0</v>
      </c>
      <c r="BH22" s="134">
        <v>9</v>
      </c>
      <c r="BI22" s="134">
        <v>261</v>
      </c>
      <c r="BJ22" s="134">
        <v>270</v>
      </c>
      <c r="BK22" s="134">
        <v>-25</v>
      </c>
      <c r="BL22" s="134">
        <v>25</v>
      </c>
      <c r="BM22" s="134">
        <v>0</v>
      </c>
      <c r="BN22" s="134">
        <v>5</v>
      </c>
      <c r="BO22" s="134">
        <v>15</v>
      </c>
      <c r="BP22" s="134">
        <v>20</v>
      </c>
      <c r="BQ22" s="134">
        <v>3</v>
      </c>
      <c r="BR22" s="134">
        <v>51</v>
      </c>
      <c r="BS22" s="134">
        <v>54</v>
      </c>
      <c r="BT22" s="134">
        <v>18</v>
      </c>
      <c r="BU22" s="134">
        <v>75</v>
      </c>
      <c r="BV22" s="134">
        <v>93</v>
      </c>
      <c r="BW22" s="134">
        <v>520</v>
      </c>
      <c r="BX22" s="134">
        <v>5889</v>
      </c>
      <c r="BY22" s="134">
        <v>6409</v>
      </c>
      <c r="BZ22" s="134">
        <v>515</v>
      </c>
      <c r="CA22" s="134">
        <v>5867</v>
      </c>
      <c r="CB22" s="134">
        <v>6382</v>
      </c>
      <c r="CC22" s="134">
        <v>11724</v>
      </c>
      <c r="CD22" s="134">
        <v>3</v>
      </c>
      <c r="CE22" s="134">
        <v>24</v>
      </c>
      <c r="CF22" s="134">
        <v>5</v>
      </c>
      <c r="CG22" s="134">
        <v>20</v>
      </c>
      <c r="CH22" s="134">
        <v>25</v>
      </c>
      <c r="CI22" s="134">
        <v>4</v>
      </c>
      <c r="CJ22" s="134">
        <v>0</v>
      </c>
      <c r="CK22" s="134">
        <v>0</v>
      </c>
      <c r="CL22" s="134">
        <v>2</v>
      </c>
      <c r="CM22" s="134">
        <v>2</v>
      </c>
      <c r="CN22" s="134">
        <v>42</v>
      </c>
      <c r="CO22" s="134">
        <v>603</v>
      </c>
      <c r="CP22" s="134">
        <v>645</v>
      </c>
      <c r="CQ22" s="134">
        <v>0</v>
      </c>
      <c r="CR22" s="134">
        <v>0</v>
      </c>
      <c r="CS22" s="134">
        <v>0</v>
      </c>
      <c r="CT22" s="134">
        <v>478</v>
      </c>
      <c r="CU22" s="134">
        <v>5286</v>
      </c>
      <c r="CV22" s="134">
        <v>5764</v>
      </c>
      <c r="CW22" s="134">
        <v>35</v>
      </c>
      <c r="CX22" s="134">
        <v>203</v>
      </c>
      <c r="CY22" s="134">
        <v>238</v>
      </c>
      <c r="CZ22" s="134">
        <v>35</v>
      </c>
      <c r="DA22" s="134">
        <v>0</v>
      </c>
      <c r="DB22" s="134">
        <v>0</v>
      </c>
      <c r="DC22" s="134">
        <v>197</v>
      </c>
      <c r="DD22" s="134">
        <v>1</v>
      </c>
      <c r="DE22" s="134">
        <v>0</v>
      </c>
      <c r="DF22" s="134">
        <v>35</v>
      </c>
      <c r="DG22" s="134">
        <v>198</v>
      </c>
      <c r="DH22" s="134">
        <v>233</v>
      </c>
      <c r="DI22" s="134">
        <v>0</v>
      </c>
      <c r="DJ22" s="134">
        <v>0</v>
      </c>
      <c r="DK22" s="134">
        <v>0</v>
      </c>
      <c r="DL22" s="134">
        <v>5</v>
      </c>
      <c r="DM22" s="134">
        <v>0</v>
      </c>
      <c r="DN22" s="134">
        <v>0</v>
      </c>
      <c r="DO22" s="134">
        <v>0</v>
      </c>
      <c r="DP22" s="134">
        <v>5</v>
      </c>
      <c r="DQ22" s="134">
        <v>5</v>
      </c>
      <c r="DR22" s="134">
        <v>0</v>
      </c>
      <c r="DS22" s="134">
        <v>0</v>
      </c>
      <c r="DT22" s="135">
        <v>0</v>
      </c>
      <c r="DV22" s="136"/>
      <c r="DW22" s="137"/>
      <c r="DX22" s="136"/>
      <c r="DY22" s="136"/>
    </row>
    <row r="23" spans="1:129" s="116" customFormat="1">
      <c r="A23" s="133" t="s">
        <v>292</v>
      </c>
      <c r="B23" s="134">
        <v>124</v>
      </c>
      <c r="C23" s="134">
        <v>11</v>
      </c>
      <c r="D23" s="134">
        <v>109</v>
      </c>
      <c r="E23" s="134">
        <v>74</v>
      </c>
      <c r="F23" s="134">
        <v>0</v>
      </c>
      <c r="G23" s="134">
        <v>5</v>
      </c>
      <c r="H23" s="134">
        <v>5</v>
      </c>
      <c r="I23" s="134">
        <v>0</v>
      </c>
      <c r="J23" s="134">
        <v>34</v>
      </c>
      <c r="K23" s="134">
        <v>34</v>
      </c>
      <c r="L23" s="134">
        <v>0</v>
      </c>
      <c r="M23" s="134">
        <v>15</v>
      </c>
      <c r="N23" s="134">
        <v>15</v>
      </c>
      <c r="O23" s="134">
        <v>0</v>
      </c>
      <c r="P23" s="134">
        <v>19</v>
      </c>
      <c r="Q23" s="134">
        <v>19</v>
      </c>
      <c r="R23" s="134">
        <v>0</v>
      </c>
      <c r="S23" s="134">
        <v>1</v>
      </c>
      <c r="T23" s="134">
        <v>1</v>
      </c>
      <c r="U23" s="134">
        <v>0</v>
      </c>
      <c r="V23" s="134">
        <v>1</v>
      </c>
      <c r="W23" s="134">
        <v>1</v>
      </c>
      <c r="X23" s="134">
        <v>2</v>
      </c>
      <c r="Y23" s="134">
        <v>107</v>
      </c>
      <c r="Z23" s="134">
        <v>109</v>
      </c>
      <c r="AA23" s="134">
        <v>1</v>
      </c>
      <c r="AB23" s="134">
        <v>52</v>
      </c>
      <c r="AC23" s="134">
        <v>53</v>
      </c>
      <c r="AD23" s="134">
        <v>1</v>
      </c>
      <c r="AE23" s="134">
        <v>42</v>
      </c>
      <c r="AF23" s="134">
        <v>43</v>
      </c>
      <c r="AG23" s="134">
        <v>0</v>
      </c>
      <c r="AH23" s="134">
        <v>6</v>
      </c>
      <c r="AI23" s="134">
        <v>6</v>
      </c>
      <c r="AJ23" s="134">
        <v>0</v>
      </c>
      <c r="AK23" s="134">
        <v>4</v>
      </c>
      <c r="AL23" s="134">
        <v>4</v>
      </c>
      <c r="AM23" s="134">
        <v>1</v>
      </c>
      <c r="AN23" s="134">
        <v>55</v>
      </c>
      <c r="AO23" s="134">
        <v>56</v>
      </c>
      <c r="AP23" s="134">
        <v>204</v>
      </c>
      <c r="AQ23" s="134">
        <v>1183</v>
      </c>
      <c r="AR23" s="134">
        <v>1387</v>
      </c>
      <c r="AS23" s="134">
        <v>204</v>
      </c>
      <c r="AT23" s="134">
        <v>1183</v>
      </c>
      <c r="AU23" s="134">
        <v>1387</v>
      </c>
      <c r="AV23" s="134">
        <v>0</v>
      </c>
      <c r="AW23" s="134">
        <v>0</v>
      </c>
      <c r="AX23" s="134">
        <v>0</v>
      </c>
      <c r="AY23" s="134">
        <v>18</v>
      </c>
      <c r="AZ23" s="134">
        <v>131</v>
      </c>
      <c r="BA23" s="134">
        <v>149</v>
      </c>
      <c r="BB23" s="134">
        <v>2</v>
      </c>
      <c r="BC23" s="134">
        <v>0</v>
      </c>
      <c r="BD23" s="134">
        <v>0</v>
      </c>
      <c r="BE23" s="134">
        <v>71</v>
      </c>
      <c r="BF23" s="134">
        <v>1</v>
      </c>
      <c r="BG23" s="134">
        <v>0</v>
      </c>
      <c r="BH23" s="134">
        <v>2</v>
      </c>
      <c r="BI23" s="134">
        <v>72</v>
      </c>
      <c r="BJ23" s="134">
        <v>74</v>
      </c>
      <c r="BK23" s="134">
        <v>4</v>
      </c>
      <c r="BL23" s="134">
        <v>-4</v>
      </c>
      <c r="BM23" s="134">
        <v>0</v>
      </c>
      <c r="BN23" s="134">
        <v>2</v>
      </c>
      <c r="BO23" s="134">
        <v>5</v>
      </c>
      <c r="BP23" s="134">
        <v>7</v>
      </c>
      <c r="BQ23" s="134">
        <v>2</v>
      </c>
      <c r="BR23" s="134">
        <v>33</v>
      </c>
      <c r="BS23" s="134">
        <v>35</v>
      </c>
      <c r="BT23" s="134">
        <v>8</v>
      </c>
      <c r="BU23" s="134">
        <v>25</v>
      </c>
      <c r="BV23" s="134">
        <v>33</v>
      </c>
      <c r="BW23" s="134">
        <v>222</v>
      </c>
      <c r="BX23" s="134">
        <v>1314</v>
      </c>
      <c r="BY23" s="134">
        <v>1536</v>
      </c>
      <c r="BZ23" s="134">
        <v>222</v>
      </c>
      <c r="CA23" s="134">
        <v>1312</v>
      </c>
      <c r="CB23" s="134">
        <v>1534</v>
      </c>
      <c r="CC23" s="134">
        <v>3083</v>
      </c>
      <c r="CD23" s="134">
        <v>1</v>
      </c>
      <c r="CE23" s="134">
        <v>1</v>
      </c>
      <c r="CF23" s="134">
        <v>0</v>
      </c>
      <c r="CG23" s="134">
        <v>2</v>
      </c>
      <c r="CH23" s="134">
        <v>2</v>
      </c>
      <c r="CI23" s="134">
        <v>0</v>
      </c>
      <c r="CJ23" s="134">
        <v>0</v>
      </c>
      <c r="CK23" s="134">
        <v>0</v>
      </c>
      <c r="CL23" s="134">
        <v>0</v>
      </c>
      <c r="CM23" s="134">
        <v>0</v>
      </c>
      <c r="CN23" s="134">
        <v>18</v>
      </c>
      <c r="CO23" s="134">
        <v>136</v>
      </c>
      <c r="CP23" s="134">
        <v>154</v>
      </c>
      <c r="CQ23" s="134">
        <v>0</v>
      </c>
      <c r="CR23" s="134">
        <v>0</v>
      </c>
      <c r="CS23" s="134">
        <v>0</v>
      </c>
      <c r="CT23" s="134">
        <v>204</v>
      </c>
      <c r="CU23" s="134">
        <v>1178</v>
      </c>
      <c r="CV23" s="134">
        <v>1382</v>
      </c>
      <c r="CW23" s="134">
        <v>9</v>
      </c>
      <c r="CX23" s="134">
        <v>48</v>
      </c>
      <c r="CY23" s="134">
        <v>57</v>
      </c>
      <c r="CZ23" s="134">
        <v>9</v>
      </c>
      <c r="DA23" s="134">
        <v>0</v>
      </c>
      <c r="DB23" s="134">
        <v>0</v>
      </c>
      <c r="DC23" s="134">
        <v>48</v>
      </c>
      <c r="DD23" s="134">
        <v>0</v>
      </c>
      <c r="DE23" s="134">
        <v>0</v>
      </c>
      <c r="DF23" s="134">
        <v>9</v>
      </c>
      <c r="DG23" s="134">
        <v>48</v>
      </c>
      <c r="DH23" s="134">
        <v>57</v>
      </c>
      <c r="DI23" s="134">
        <v>0</v>
      </c>
      <c r="DJ23" s="134">
        <v>0</v>
      </c>
      <c r="DK23" s="134">
        <v>0</v>
      </c>
      <c r="DL23" s="134">
        <v>0</v>
      </c>
      <c r="DM23" s="134">
        <v>0</v>
      </c>
      <c r="DN23" s="134">
        <v>0</v>
      </c>
      <c r="DO23" s="134">
        <v>0</v>
      </c>
      <c r="DP23" s="134">
        <v>0</v>
      </c>
      <c r="DQ23" s="134">
        <v>0</v>
      </c>
      <c r="DR23" s="134">
        <v>0</v>
      </c>
      <c r="DS23" s="134">
        <v>0</v>
      </c>
      <c r="DT23" s="135">
        <v>0</v>
      </c>
      <c r="DV23" s="136"/>
      <c r="DW23" s="137"/>
      <c r="DX23" s="136"/>
      <c r="DY23" s="136"/>
    </row>
    <row r="24" spans="1:129" s="116" customFormat="1">
      <c r="A24" s="133" t="s">
        <v>293</v>
      </c>
      <c r="B24" s="134">
        <v>50714</v>
      </c>
      <c r="C24" s="134">
        <v>18159</v>
      </c>
      <c r="D24" s="134">
        <v>50667</v>
      </c>
      <c r="E24" s="134">
        <v>32514</v>
      </c>
      <c r="F24" s="134">
        <v>65</v>
      </c>
      <c r="G24" s="134">
        <v>347</v>
      </c>
      <c r="H24" s="134">
        <v>412</v>
      </c>
      <c r="I24" s="134">
        <v>27</v>
      </c>
      <c r="J24" s="134">
        <v>16168</v>
      </c>
      <c r="K24" s="134">
        <v>16195</v>
      </c>
      <c r="L24" s="134">
        <v>14</v>
      </c>
      <c r="M24" s="134">
        <v>4370</v>
      </c>
      <c r="N24" s="134">
        <v>4384</v>
      </c>
      <c r="O24" s="134">
        <v>13</v>
      </c>
      <c r="P24" s="134">
        <v>11798</v>
      </c>
      <c r="Q24" s="134">
        <v>11811</v>
      </c>
      <c r="R24" s="134">
        <v>0</v>
      </c>
      <c r="S24" s="134">
        <v>194</v>
      </c>
      <c r="T24" s="134">
        <v>194</v>
      </c>
      <c r="U24" s="134">
        <v>0</v>
      </c>
      <c r="V24" s="134">
        <v>1958</v>
      </c>
      <c r="W24" s="134">
        <v>1958</v>
      </c>
      <c r="X24" s="134">
        <v>2273</v>
      </c>
      <c r="Y24" s="134">
        <v>48390</v>
      </c>
      <c r="Z24" s="134">
        <v>50663</v>
      </c>
      <c r="AA24" s="134">
        <v>1549</v>
      </c>
      <c r="AB24" s="134">
        <v>19472</v>
      </c>
      <c r="AC24" s="134">
        <v>21021</v>
      </c>
      <c r="AD24" s="134">
        <v>1263</v>
      </c>
      <c r="AE24" s="134">
        <v>17753</v>
      </c>
      <c r="AF24" s="134">
        <v>19016</v>
      </c>
      <c r="AG24" s="134">
        <v>92</v>
      </c>
      <c r="AH24" s="134">
        <v>702</v>
      </c>
      <c r="AI24" s="134">
        <v>794</v>
      </c>
      <c r="AJ24" s="134">
        <v>194</v>
      </c>
      <c r="AK24" s="134">
        <v>1017</v>
      </c>
      <c r="AL24" s="134">
        <v>1211</v>
      </c>
      <c r="AM24" s="134">
        <v>724</v>
      </c>
      <c r="AN24" s="134">
        <v>28918</v>
      </c>
      <c r="AO24" s="134">
        <v>29642</v>
      </c>
      <c r="AP24" s="134">
        <v>76556</v>
      </c>
      <c r="AQ24" s="134">
        <v>433595</v>
      </c>
      <c r="AR24" s="134">
        <v>510151</v>
      </c>
      <c r="AS24" s="134">
        <v>77807</v>
      </c>
      <c r="AT24" s="134">
        <v>447639</v>
      </c>
      <c r="AU24" s="134">
        <v>525446</v>
      </c>
      <c r="AV24" s="134">
        <v>-1251</v>
      </c>
      <c r="AW24" s="134">
        <v>-14044</v>
      </c>
      <c r="AX24" s="134">
        <v>-15295</v>
      </c>
      <c r="AY24" s="134">
        <v>5154</v>
      </c>
      <c r="AZ24" s="134">
        <v>43658</v>
      </c>
      <c r="BA24" s="134">
        <v>48812</v>
      </c>
      <c r="BB24" s="134">
        <v>2497</v>
      </c>
      <c r="BC24" s="134">
        <v>58</v>
      </c>
      <c r="BD24" s="134">
        <v>10</v>
      </c>
      <c r="BE24" s="134">
        <v>29288</v>
      </c>
      <c r="BF24" s="134">
        <v>363</v>
      </c>
      <c r="BG24" s="134">
        <v>298</v>
      </c>
      <c r="BH24" s="134">
        <v>2565</v>
      </c>
      <c r="BI24" s="134">
        <v>29949</v>
      </c>
      <c r="BJ24" s="134">
        <v>32514</v>
      </c>
      <c r="BK24" s="134">
        <v>-158</v>
      </c>
      <c r="BL24" s="134">
        <v>158</v>
      </c>
      <c r="BM24" s="134">
        <v>0</v>
      </c>
      <c r="BN24" s="134">
        <v>79</v>
      </c>
      <c r="BO24" s="134">
        <v>309</v>
      </c>
      <c r="BP24" s="134">
        <v>388</v>
      </c>
      <c r="BQ24" s="134">
        <v>398</v>
      </c>
      <c r="BR24" s="134">
        <v>3221</v>
      </c>
      <c r="BS24" s="134">
        <v>3619</v>
      </c>
      <c r="BT24" s="134">
        <v>2270</v>
      </c>
      <c r="BU24" s="134">
        <v>10021</v>
      </c>
      <c r="BV24" s="134">
        <v>12291</v>
      </c>
      <c r="BW24" s="134">
        <v>81710</v>
      </c>
      <c r="BX24" s="134">
        <v>477253</v>
      </c>
      <c r="BY24" s="134">
        <v>558963</v>
      </c>
      <c r="BZ24" s="134">
        <v>79307</v>
      </c>
      <c r="CA24" s="134">
        <v>468501</v>
      </c>
      <c r="CB24" s="134">
        <v>547808</v>
      </c>
      <c r="CC24" s="134">
        <v>1094973</v>
      </c>
      <c r="CD24" s="134">
        <v>712</v>
      </c>
      <c r="CE24" s="134">
        <v>9137</v>
      </c>
      <c r="CF24" s="134">
        <v>2216</v>
      </c>
      <c r="CG24" s="134">
        <v>5477</v>
      </c>
      <c r="CH24" s="134">
        <v>7693</v>
      </c>
      <c r="CI24" s="134">
        <v>3900</v>
      </c>
      <c r="CJ24" s="134">
        <v>494</v>
      </c>
      <c r="CK24" s="134">
        <v>187</v>
      </c>
      <c r="CL24" s="134">
        <v>3275</v>
      </c>
      <c r="CM24" s="134">
        <v>3462</v>
      </c>
      <c r="CN24" s="134">
        <v>3257</v>
      </c>
      <c r="CO24" s="134">
        <v>25181</v>
      </c>
      <c r="CP24" s="134">
        <v>28438</v>
      </c>
      <c r="CQ24" s="134">
        <v>43</v>
      </c>
      <c r="CR24" s="134">
        <v>277</v>
      </c>
      <c r="CS24" s="134">
        <v>320</v>
      </c>
      <c r="CT24" s="134">
        <v>78453</v>
      </c>
      <c r="CU24" s="134">
        <v>452072</v>
      </c>
      <c r="CV24" s="134">
        <v>530525</v>
      </c>
      <c r="CW24" s="134">
        <v>5221</v>
      </c>
      <c r="CX24" s="134">
        <v>19273</v>
      </c>
      <c r="CY24" s="134">
        <v>24494</v>
      </c>
      <c r="CZ24" s="134">
        <v>5031</v>
      </c>
      <c r="DA24" s="134">
        <v>143</v>
      </c>
      <c r="DB24" s="134">
        <v>7</v>
      </c>
      <c r="DC24" s="134">
        <v>18486</v>
      </c>
      <c r="DD24" s="134">
        <v>263</v>
      </c>
      <c r="DE24" s="134">
        <v>86</v>
      </c>
      <c r="DF24" s="134">
        <v>5181</v>
      </c>
      <c r="DG24" s="134">
        <v>18835</v>
      </c>
      <c r="DH24" s="134">
        <v>24016</v>
      </c>
      <c r="DI24" s="134">
        <v>40</v>
      </c>
      <c r="DJ24" s="134">
        <v>0</v>
      </c>
      <c r="DK24" s="134">
        <v>0</v>
      </c>
      <c r="DL24" s="134">
        <v>418</v>
      </c>
      <c r="DM24" s="134">
        <v>19</v>
      </c>
      <c r="DN24" s="134">
        <v>1</v>
      </c>
      <c r="DO24" s="134">
        <v>40</v>
      </c>
      <c r="DP24" s="134">
        <v>438</v>
      </c>
      <c r="DQ24" s="134">
        <v>478</v>
      </c>
      <c r="DR24" s="134">
        <v>0</v>
      </c>
      <c r="DS24" s="134">
        <v>0</v>
      </c>
      <c r="DT24" s="135">
        <v>0</v>
      </c>
      <c r="DV24" s="136"/>
      <c r="DW24" s="137"/>
      <c r="DX24" s="136"/>
      <c r="DY24" s="136"/>
    </row>
    <row r="25" spans="1:129" s="116" customFormat="1">
      <c r="A25" s="133" t="s">
        <v>294</v>
      </c>
      <c r="B25" s="134">
        <v>658</v>
      </c>
      <c r="C25" s="134">
        <v>102</v>
      </c>
      <c r="D25" s="134">
        <v>655</v>
      </c>
      <c r="E25" s="134">
        <v>426</v>
      </c>
      <c r="F25" s="134">
        <v>0</v>
      </c>
      <c r="G25" s="134">
        <v>2</v>
      </c>
      <c r="H25" s="134">
        <v>2</v>
      </c>
      <c r="I25" s="134">
        <v>1</v>
      </c>
      <c r="J25" s="134">
        <v>194</v>
      </c>
      <c r="K25" s="134">
        <v>195</v>
      </c>
      <c r="L25" s="134">
        <v>1</v>
      </c>
      <c r="M25" s="134">
        <v>72</v>
      </c>
      <c r="N25" s="134">
        <v>73</v>
      </c>
      <c r="O25" s="134">
        <v>0</v>
      </c>
      <c r="P25" s="134">
        <v>122</v>
      </c>
      <c r="Q25" s="134">
        <v>122</v>
      </c>
      <c r="R25" s="134">
        <v>0</v>
      </c>
      <c r="S25" s="134">
        <v>1</v>
      </c>
      <c r="T25" s="134">
        <v>1</v>
      </c>
      <c r="U25" s="134">
        <v>0</v>
      </c>
      <c r="V25" s="134">
        <v>34</v>
      </c>
      <c r="W25" s="134">
        <v>34</v>
      </c>
      <c r="X25" s="134">
        <v>25</v>
      </c>
      <c r="Y25" s="134">
        <v>630</v>
      </c>
      <c r="Z25" s="134">
        <v>655</v>
      </c>
      <c r="AA25" s="134">
        <v>9</v>
      </c>
      <c r="AB25" s="134">
        <v>242</v>
      </c>
      <c r="AC25" s="134">
        <v>251</v>
      </c>
      <c r="AD25" s="134">
        <v>9</v>
      </c>
      <c r="AE25" s="134">
        <v>237</v>
      </c>
      <c r="AF25" s="134">
        <v>246</v>
      </c>
      <c r="AG25" s="134">
        <v>0</v>
      </c>
      <c r="AH25" s="134">
        <v>5</v>
      </c>
      <c r="AI25" s="134">
        <v>5</v>
      </c>
      <c r="AJ25" s="134">
        <v>0</v>
      </c>
      <c r="AK25" s="134">
        <v>0</v>
      </c>
      <c r="AL25" s="134">
        <v>0</v>
      </c>
      <c r="AM25" s="134">
        <v>16</v>
      </c>
      <c r="AN25" s="134">
        <v>388</v>
      </c>
      <c r="AO25" s="134">
        <v>404</v>
      </c>
      <c r="AP25" s="134">
        <v>1445</v>
      </c>
      <c r="AQ25" s="134">
        <v>9123</v>
      </c>
      <c r="AR25" s="134">
        <v>10568</v>
      </c>
      <c r="AS25" s="134">
        <v>1445</v>
      </c>
      <c r="AT25" s="134">
        <v>9123</v>
      </c>
      <c r="AU25" s="134">
        <v>10568</v>
      </c>
      <c r="AV25" s="134">
        <v>0</v>
      </c>
      <c r="AW25" s="134">
        <v>0</v>
      </c>
      <c r="AX25" s="134">
        <v>0</v>
      </c>
      <c r="AY25" s="134">
        <v>83</v>
      </c>
      <c r="AZ25" s="134">
        <v>702</v>
      </c>
      <c r="BA25" s="134">
        <v>785</v>
      </c>
      <c r="BB25" s="134">
        <v>30</v>
      </c>
      <c r="BC25" s="134">
        <v>1</v>
      </c>
      <c r="BD25" s="134">
        <v>0</v>
      </c>
      <c r="BE25" s="134">
        <v>391</v>
      </c>
      <c r="BF25" s="134">
        <v>3</v>
      </c>
      <c r="BG25" s="134">
        <v>1</v>
      </c>
      <c r="BH25" s="134">
        <v>31</v>
      </c>
      <c r="BI25" s="134">
        <v>395</v>
      </c>
      <c r="BJ25" s="134">
        <v>426</v>
      </c>
      <c r="BK25" s="134">
        <v>0</v>
      </c>
      <c r="BL25" s="134">
        <v>0</v>
      </c>
      <c r="BM25" s="134">
        <v>0</v>
      </c>
      <c r="BN25" s="134">
        <v>8</v>
      </c>
      <c r="BO25" s="134">
        <v>27</v>
      </c>
      <c r="BP25" s="134">
        <v>35</v>
      </c>
      <c r="BQ25" s="134">
        <v>9</v>
      </c>
      <c r="BR25" s="134">
        <v>142</v>
      </c>
      <c r="BS25" s="134">
        <v>151</v>
      </c>
      <c r="BT25" s="134">
        <v>35</v>
      </c>
      <c r="BU25" s="134">
        <v>138</v>
      </c>
      <c r="BV25" s="134">
        <v>173</v>
      </c>
      <c r="BW25" s="134">
        <v>1528</v>
      </c>
      <c r="BX25" s="134">
        <v>9825</v>
      </c>
      <c r="BY25" s="134">
        <v>11353</v>
      </c>
      <c r="BZ25" s="134">
        <v>1508</v>
      </c>
      <c r="CA25" s="134">
        <v>9759</v>
      </c>
      <c r="CB25" s="134">
        <v>11267</v>
      </c>
      <c r="CC25" s="134">
        <v>27346</v>
      </c>
      <c r="CD25" s="134">
        <v>2</v>
      </c>
      <c r="CE25" s="134">
        <v>81</v>
      </c>
      <c r="CF25" s="134">
        <v>19</v>
      </c>
      <c r="CG25" s="134">
        <v>60</v>
      </c>
      <c r="CH25" s="134">
        <v>79</v>
      </c>
      <c r="CI25" s="134">
        <v>7</v>
      </c>
      <c r="CJ25" s="134">
        <v>2</v>
      </c>
      <c r="CK25" s="134">
        <v>1</v>
      </c>
      <c r="CL25" s="134">
        <v>6</v>
      </c>
      <c r="CM25" s="134">
        <v>7</v>
      </c>
      <c r="CN25" s="134">
        <v>80</v>
      </c>
      <c r="CO25" s="134">
        <v>756</v>
      </c>
      <c r="CP25" s="134">
        <v>836</v>
      </c>
      <c r="CQ25" s="134">
        <v>0</v>
      </c>
      <c r="CR25" s="134">
        <v>0</v>
      </c>
      <c r="CS25" s="134">
        <v>0</v>
      </c>
      <c r="CT25" s="134">
        <v>1448</v>
      </c>
      <c r="CU25" s="134">
        <v>9069</v>
      </c>
      <c r="CV25" s="134">
        <v>10517</v>
      </c>
      <c r="CW25" s="134">
        <v>129</v>
      </c>
      <c r="CX25" s="134">
        <v>622</v>
      </c>
      <c r="CY25" s="134">
        <v>751</v>
      </c>
      <c r="CZ25" s="134">
        <v>127</v>
      </c>
      <c r="DA25" s="134">
        <v>2</v>
      </c>
      <c r="DB25" s="134">
        <v>0</v>
      </c>
      <c r="DC25" s="134">
        <v>604</v>
      </c>
      <c r="DD25" s="134">
        <v>8</v>
      </c>
      <c r="DE25" s="134">
        <v>0</v>
      </c>
      <c r="DF25" s="134">
        <v>129</v>
      </c>
      <c r="DG25" s="134">
        <v>612</v>
      </c>
      <c r="DH25" s="134">
        <v>741</v>
      </c>
      <c r="DI25" s="134">
        <v>0</v>
      </c>
      <c r="DJ25" s="134">
        <v>0</v>
      </c>
      <c r="DK25" s="134">
        <v>0</v>
      </c>
      <c r="DL25" s="134">
        <v>8</v>
      </c>
      <c r="DM25" s="134">
        <v>2</v>
      </c>
      <c r="DN25" s="134">
        <v>0</v>
      </c>
      <c r="DO25" s="134">
        <v>0</v>
      </c>
      <c r="DP25" s="134">
        <v>10</v>
      </c>
      <c r="DQ25" s="134">
        <v>10</v>
      </c>
      <c r="DR25" s="134">
        <v>0</v>
      </c>
      <c r="DS25" s="134">
        <v>0</v>
      </c>
      <c r="DT25" s="135">
        <v>0</v>
      </c>
      <c r="DV25" s="136"/>
      <c r="DW25" s="137"/>
      <c r="DX25" s="136"/>
      <c r="DY25" s="136"/>
    </row>
    <row r="26" spans="1:129" s="116" customFormat="1">
      <c r="A26" s="133" t="s">
        <v>295</v>
      </c>
      <c r="B26" s="134">
        <v>452</v>
      </c>
      <c r="C26" s="134">
        <v>145</v>
      </c>
      <c r="D26" s="134">
        <v>473</v>
      </c>
      <c r="E26" s="134">
        <v>298</v>
      </c>
      <c r="F26" s="134">
        <v>0</v>
      </c>
      <c r="G26" s="134">
        <v>10</v>
      </c>
      <c r="H26" s="134">
        <v>10</v>
      </c>
      <c r="I26" s="134">
        <v>1</v>
      </c>
      <c r="J26" s="134">
        <v>156</v>
      </c>
      <c r="K26" s="134">
        <v>157</v>
      </c>
      <c r="L26" s="134">
        <v>1</v>
      </c>
      <c r="M26" s="134">
        <v>43</v>
      </c>
      <c r="N26" s="134">
        <v>44</v>
      </c>
      <c r="O26" s="134">
        <v>0</v>
      </c>
      <c r="P26" s="134">
        <v>113</v>
      </c>
      <c r="Q26" s="134">
        <v>113</v>
      </c>
      <c r="R26" s="134">
        <v>0</v>
      </c>
      <c r="S26" s="134">
        <v>7</v>
      </c>
      <c r="T26" s="134">
        <v>7</v>
      </c>
      <c r="U26" s="134">
        <v>0</v>
      </c>
      <c r="V26" s="134">
        <v>18</v>
      </c>
      <c r="W26" s="134">
        <v>18</v>
      </c>
      <c r="X26" s="134">
        <v>7</v>
      </c>
      <c r="Y26" s="134">
        <v>466</v>
      </c>
      <c r="Z26" s="134">
        <v>473</v>
      </c>
      <c r="AA26" s="134">
        <v>3</v>
      </c>
      <c r="AB26" s="134">
        <v>184</v>
      </c>
      <c r="AC26" s="134">
        <v>187</v>
      </c>
      <c r="AD26" s="134">
        <v>2</v>
      </c>
      <c r="AE26" s="134">
        <v>172</v>
      </c>
      <c r="AF26" s="134">
        <v>174</v>
      </c>
      <c r="AG26" s="134">
        <v>1</v>
      </c>
      <c r="AH26" s="134">
        <v>5</v>
      </c>
      <c r="AI26" s="134">
        <v>6</v>
      </c>
      <c r="AJ26" s="134">
        <v>0</v>
      </c>
      <c r="AK26" s="134">
        <v>7</v>
      </c>
      <c r="AL26" s="134">
        <v>7</v>
      </c>
      <c r="AM26" s="134">
        <v>4</v>
      </c>
      <c r="AN26" s="134">
        <v>282</v>
      </c>
      <c r="AO26" s="134">
        <v>286</v>
      </c>
      <c r="AP26" s="134">
        <v>525</v>
      </c>
      <c r="AQ26" s="134">
        <v>4999</v>
      </c>
      <c r="AR26" s="134">
        <v>5524</v>
      </c>
      <c r="AS26" s="134">
        <v>525</v>
      </c>
      <c r="AT26" s="134">
        <v>4999</v>
      </c>
      <c r="AU26" s="134">
        <v>5524</v>
      </c>
      <c r="AV26" s="134">
        <v>0</v>
      </c>
      <c r="AW26" s="134">
        <v>0</v>
      </c>
      <c r="AX26" s="134">
        <v>0</v>
      </c>
      <c r="AY26" s="134">
        <v>4</v>
      </c>
      <c r="AZ26" s="134">
        <v>507</v>
      </c>
      <c r="BA26" s="134">
        <v>511</v>
      </c>
      <c r="BB26" s="134">
        <v>8</v>
      </c>
      <c r="BC26" s="134">
        <v>0</v>
      </c>
      <c r="BD26" s="134">
        <v>0</v>
      </c>
      <c r="BE26" s="134">
        <v>276</v>
      </c>
      <c r="BF26" s="134">
        <v>10</v>
      </c>
      <c r="BG26" s="134">
        <v>4</v>
      </c>
      <c r="BH26" s="134">
        <v>8</v>
      </c>
      <c r="BI26" s="134">
        <v>290</v>
      </c>
      <c r="BJ26" s="134">
        <v>298</v>
      </c>
      <c r="BK26" s="134">
        <v>-19</v>
      </c>
      <c r="BL26" s="134">
        <v>19</v>
      </c>
      <c r="BM26" s="134">
        <v>0</v>
      </c>
      <c r="BN26" s="134">
        <v>1</v>
      </c>
      <c r="BO26" s="134">
        <v>17</v>
      </c>
      <c r="BP26" s="134">
        <v>18</v>
      </c>
      <c r="BQ26" s="134">
        <v>2</v>
      </c>
      <c r="BR26" s="134">
        <v>47</v>
      </c>
      <c r="BS26" s="134">
        <v>49</v>
      </c>
      <c r="BT26" s="134">
        <v>12</v>
      </c>
      <c r="BU26" s="134">
        <v>134</v>
      </c>
      <c r="BV26" s="134">
        <v>146</v>
      </c>
      <c r="BW26" s="134">
        <v>529</v>
      </c>
      <c r="BX26" s="134">
        <v>5506</v>
      </c>
      <c r="BY26" s="134">
        <v>6035</v>
      </c>
      <c r="BZ26" s="134">
        <v>488</v>
      </c>
      <c r="CA26" s="134">
        <v>5206</v>
      </c>
      <c r="CB26" s="134">
        <v>5694</v>
      </c>
      <c r="CC26" s="134">
        <v>9557</v>
      </c>
      <c r="CD26" s="134">
        <v>9</v>
      </c>
      <c r="CE26" s="134">
        <v>301</v>
      </c>
      <c r="CF26" s="134">
        <v>39</v>
      </c>
      <c r="CG26" s="134">
        <v>231</v>
      </c>
      <c r="CH26" s="134">
        <v>270</v>
      </c>
      <c r="CI26" s="134">
        <v>71</v>
      </c>
      <c r="CJ26" s="134">
        <v>17</v>
      </c>
      <c r="CK26" s="134">
        <v>2</v>
      </c>
      <c r="CL26" s="134">
        <v>69</v>
      </c>
      <c r="CM26" s="134">
        <v>71</v>
      </c>
      <c r="CN26" s="134">
        <v>22</v>
      </c>
      <c r="CO26" s="134">
        <v>408</v>
      </c>
      <c r="CP26" s="134">
        <v>430</v>
      </c>
      <c r="CQ26" s="134">
        <v>0</v>
      </c>
      <c r="CR26" s="134">
        <v>2</v>
      </c>
      <c r="CS26" s="134">
        <v>2</v>
      </c>
      <c r="CT26" s="134">
        <v>507</v>
      </c>
      <c r="CU26" s="134">
        <v>5098</v>
      </c>
      <c r="CV26" s="134">
        <v>5605</v>
      </c>
      <c r="CW26" s="134">
        <v>32</v>
      </c>
      <c r="CX26" s="134">
        <v>183</v>
      </c>
      <c r="CY26" s="134">
        <v>215</v>
      </c>
      <c r="CZ26" s="134">
        <v>31</v>
      </c>
      <c r="DA26" s="134">
        <v>1</v>
      </c>
      <c r="DB26" s="134">
        <v>0</v>
      </c>
      <c r="DC26" s="134">
        <v>161</v>
      </c>
      <c r="DD26" s="134">
        <v>19</v>
      </c>
      <c r="DE26" s="134">
        <v>1</v>
      </c>
      <c r="DF26" s="134">
        <v>32</v>
      </c>
      <c r="DG26" s="134">
        <v>181</v>
      </c>
      <c r="DH26" s="134">
        <v>213</v>
      </c>
      <c r="DI26" s="134">
        <v>0</v>
      </c>
      <c r="DJ26" s="134">
        <v>0</v>
      </c>
      <c r="DK26" s="134">
        <v>0</v>
      </c>
      <c r="DL26" s="134">
        <v>2</v>
      </c>
      <c r="DM26" s="134">
        <v>0</v>
      </c>
      <c r="DN26" s="134">
        <v>0</v>
      </c>
      <c r="DO26" s="134">
        <v>0</v>
      </c>
      <c r="DP26" s="134">
        <v>2</v>
      </c>
      <c r="DQ26" s="134">
        <v>2</v>
      </c>
      <c r="DR26" s="134">
        <v>0</v>
      </c>
      <c r="DS26" s="134">
        <v>0</v>
      </c>
      <c r="DT26" s="135">
        <v>0</v>
      </c>
      <c r="DV26" s="136"/>
      <c r="DW26" s="137"/>
      <c r="DX26" s="136"/>
      <c r="DY26" s="136"/>
    </row>
    <row r="27" spans="1:129" s="116" customFormat="1">
      <c r="A27" s="133" t="s">
        <v>296</v>
      </c>
      <c r="B27" s="134">
        <v>74</v>
      </c>
      <c r="C27" s="134">
        <v>24</v>
      </c>
      <c r="D27" s="134">
        <v>62</v>
      </c>
      <c r="E27" s="134">
        <v>35</v>
      </c>
      <c r="F27" s="134">
        <v>0</v>
      </c>
      <c r="G27" s="134">
        <v>1</v>
      </c>
      <c r="H27" s="134">
        <v>1</v>
      </c>
      <c r="I27" s="134">
        <v>0</v>
      </c>
      <c r="J27" s="134">
        <v>24</v>
      </c>
      <c r="K27" s="134">
        <v>24</v>
      </c>
      <c r="L27" s="134">
        <v>0</v>
      </c>
      <c r="M27" s="134">
        <v>1</v>
      </c>
      <c r="N27" s="134">
        <v>1</v>
      </c>
      <c r="O27" s="134">
        <v>0</v>
      </c>
      <c r="P27" s="134">
        <v>23</v>
      </c>
      <c r="Q27" s="134">
        <v>23</v>
      </c>
      <c r="R27" s="134">
        <v>0</v>
      </c>
      <c r="S27" s="134">
        <v>0</v>
      </c>
      <c r="T27" s="134">
        <v>0</v>
      </c>
      <c r="U27" s="134">
        <v>0</v>
      </c>
      <c r="V27" s="134">
        <v>3</v>
      </c>
      <c r="W27" s="134">
        <v>3</v>
      </c>
      <c r="X27" s="134">
        <v>0</v>
      </c>
      <c r="Y27" s="134">
        <v>62</v>
      </c>
      <c r="Z27" s="134">
        <v>62</v>
      </c>
      <c r="AA27" s="134">
        <v>0</v>
      </c>
      <c r="AB27" s="134">
        <v>20</v>
      </c>
      <c r="AC27" s="134">
        <v>20</v>
      </c>
      <c r="AD27" s="134">
        <v>0</v>
      </c>
      <c r="AE27" s="134">
        <v>19</v>
      </c>
      <c r="AF27" s="134">
        <v>19</v>
      </c>
      <c r="AG27" s="134">
        <v>0</v>
      </c>
      <c r="AH27" s="134">
        <v>0</v>
      </c>
      <c r="AI27" s="134">
        <v>0</v>
      </c>
      <c r="AJ27" s="134">
        <v>0</v>
      </c>
      <c r="AK27" s="134">
        <v>1</v>
      </c>
      <c r="AL27" s="134">
        <v>1</v>
      </c>
      <c r="AM27" s="134">
        <v>0</v>
      </c>
      <c r="AN27" s="134">
        <v>42</v>
      </c>
      <c r="AO27" s="134">
        <v>42</v>
      </c>
      <c r="AP27" s="134">
        <v>83</v>
      </c>
      <c r="AQ27" s="134">
        <v>881</v>
      </c>
      <c r="AR27" s="134">
        <v>964</v>
      </c>
      <c r="AS27" s="134">
        <v>83</v>
      </c>
      <c r="AT27" s="134">
        <v>881</v>
      </c>
      <c r="AU27" s="134">
        <v>964</v>
      </c>
      <c r="AV27" s="134">
        <v>0</v>
      </c>
      <c r="AW27" s="134">
        <v>0</v>
      </c>
      <c r="AX27" s="134">
        <v>0</v>
      </c>
      <c r="AY27" s="134">
        <v>5</v>
      </c>
      <c r="AZ27" s="134">
        <v>70</v>
      </c>
      <c r="BA27" s="134">
        <v>75</v>
      </c>
      <c r="BB27" s="134">
        <v>0</v>
      </c>
      <c r="BC27" s="134">
        <v>0</v>
      </c>
      <c r="BD27" s="134">
        <v>0</v>
      </c>
      <c r="BE27" s="134">
        <v>35</v>
      </c>
      <c r="BF27" s="134">
        <v>0</v>
      </c>
      <c r="BG27" s="134">
        <v>0</v>
      </c>
      <c r="BH27" s="134">
        <v>0</v>
      </c>
      <c r="BI27" s="134">
        <v>35</v>
      </c>
      <c r="BJ27" s="134">
        <v>35</v>
      </c>
      <c r="BK27" s="134">
        <v>0</v>
      </c>
      <c r="BL27" s="134">
        <v>0</v>
      </c>
      <c r="BM27" s="134">
        <v>0</v>
      </c>
      <c r="BN27" s="134">
        <v>1</v>
      </c>
      <c r="BO27" s="134">
        <v>7</v>
      </c>
      <c r="BP27" s="134">
        <v>8</v>
      </c>
      <c r="BQ27" s="134">
        <v>0</v>
      </c>
      <c r="BR27" s="134">
        <v>5</v>
      </c>
      <c r="BS27" s="134">
        <v>5</v>
      </c>
      <c r="BT27" s="134">
        <v>4</v>
      </c>
      <c r="BU27" s="134">
        <v>23</v>
      </c>
      <c r="BV27" s="134">
        <v>27</v>
      </c>
      <c r="BW27" s="134">
        <v>88</v>
      </c>
      <c r="BX27" s="134">
        <v>951</v>
      </c>
      <c r="BY27" s="134">
        <v>1039</v>
      </c>
      <c r="BZ27" s="134">
        <v>87</v>
      </c>
      <c r="CA27" s="134">
        <v>949</v>
      </c>
      <c r="CB27" s="134">
        <v>1036</v>
      </c>
      <c r="CC27" s="134">
        <v>1906</v>
      </c>
      <c r="CD27" s="134">
        <v>0</v>
      </c>
      <c r="CE27" s="134">
        <v>2</v>
      </c>
      <c r="CF27" s="134">
        <v>1</v>
      </c>
      <c r="CG27" s="134">
        <v>1</v>
      </c>
      <c r="CH27" s="134">
        <v>2</v>
      </c>
      <c r="CI27" s="134">
        <v>1</v>
      </c>
      <c r="CJ27" s="134">
        <v>0</v>
      </c>
      <c r="CK27" s="134">
        <v>0</v>
      </c>
      <c r="CL27" s="134">
        <v>1</v>
      </c>
      <c r="CM27" s="134">
        <v>1</v>
      </c>
      <c r="CN27" s="134">
        <v>6</v>
      </c>
      <c r="CO27" s="134">
        <v>83</v>
      </c>
      <c r="CP27" s="134">
        <v>89</v>
      </c>
      <c r="CQ27" s="134">
        <v>0</v>
      </c>
      <c r="CR27" s="134">
        <v>0</v>
      </c>
      <c r="CS27" s="134">
        <v>0</v>
      </c>
      <c r="CT27" s="134">
        <v>82</v>
      </c>
      <c r="CU27" s="134">
        <v>868</v>
      </c>
      <c r="CV27" s="134">
        <v>950</v>
      </c>
      <c r="CW27" s="134">
        <v>8</v>
      </c>
      <c r="CX27" s="134">
        <v>56</v>
      </c>
      <c r="CY27" s="134">
        <v>64</v>
      </c>
      <c r="CZ27" s="134">
        <v>8</v>
      </c>
      <c r="DA27" s="134">
        <v>0</v>
      </c>
      <c r="DB27" s="134">
        <v>0</v>
      </c>
      <c r="DC27" s="134">
        <v>54</v>
      </c>
      <c r="DD27" s="134">
        <v>1</v>
      </c>
      <c r="DE27" s="134">
        <v>0</v>
      </c>
      <c r="DF27" s="134">
        <v>8</v>
      </c>
      <c r="DG27" s="134">
        <v>55</v>
      </c>
      <c r="DH27" s="134">
        <v>63</v>
      </c>
      <c r="DI27" s="134">
        <v>0</v>
      </c>
      <c r="DJ27" s="134">
        <v>0</v>
      </c>
      <c r="DK27" s="134">
        <v>0</v>
      </c>
      <c r="DL27" s="134">
        <v>1</v>
      </c>
      <c r="DM27" s="134">
        <v>0</v>
      </c>
      <c r="DN27" s="134">
        <v>0</v>
      </c>
      <c r="DO27" s="134">
        <v>0</v>
      </c>
      <c r="DP27" s="134">
        <v>1</v>
      </c>
      <c r="DQ27" s="134">
        <v>1</v>
      </c>
      <c r="DR27" s="134">
        <v>0</v>
      </c>
      <c r="DS27" s="134">
        <v>0</v>
      </c>
      <c r="DT27" s="135">
        <v>0</v>
      </c>
      <c r="DV27" s="136"/>
      <c r="DW27" s="137"/>
      <c r="DX27" s="136"/>
      <c r="DY27" s="136"/>
    </row>
    <row r="28" spans="1:129" s="116" customFormat="1">
      <c r="A28" s="133" t="s">
        <v>297</v>
      </c>
      <c r="B28" s="134">
        <v>605</v>
      </c>
      <c r="C28" s="134">
        <v>84</v>
      </c>
      <c r="D28" s="134">
        <v>590</v>
      </c>
      <c r="E28" s="134">
        <v>439</v>
      </c>
      <c r="F28" s="134">
        <v>2</v>
      </c>
      <c r="G28" s="134">
        <v>19</v>
      </c>
      <c r="H28" s="134">
        <v>21</v>
      </c>
      <c r="I28" s="134">
        <v>0</v>
      </c>
      <c r="J28" s="134">
        <v>131</v>
      </c>
      <c r="K28" s="134">
        <v>131</v>
      </c>
      <c r="L28" s="134">
        <v>0</v>
      </c>
      <c r="M28" s="134">
        <v>53</v>
      </c>
      <c r="N28" s="134">
        <v>53</v>
      </c>
      <c r="O28" s="134">
        <v>0</v>
      </c>
      <c r="P28" s="134">
        <v>78</v>
      </c>
      <c r="Q28" s="134">
        <v>78</v>
      </c>
      <c r="R28" s="134">
        <v>0</v>
      </c>
      <c r="S28" s="134">
        <v>4</v>
      </c>
      <c r="T28" s="134">
        <v>4</v>
      </c>
      <c r="U28" s="134">
        <v>0</v>
      </c>
      <c r="V28" s="134">
        <v>20</v>
      </c>
      <c r="W28" s="134">
        <v>20</v>
      </c>
      <c r="X28" s="134">
        <v>9</v>
      </c>
      <c r="Y28" s="134">
        <v>581</v>
      </c>
      <c r="Z28" s="134">
        <v>590</v>
      </c>
      <c r="AA28" s="134">
        <v>6</v>
      </c>
      <c r="AB28" s="134">
        <v>279</v>
      </c>
      <c r="AC28" s="134">
        <v>285</v>
      </c>
      <c r="AD28" s="134">
        <v>6</v>
      </c>
      <c r="AE28" s="134">
        <v>254</v>
      </c>
      <c r="AF28" s="134">
        <v>260</v>
      </c>
      <c r="AG28" s="134">
        <v>0</v>
      </c>
      <c r="AH28" s="134">
        <v>13</v>
      </c>
      <c r="AI28" s="134">
        <v>13</v>
      </c>
      <c r="AJ28" s="134">
        <v>0</v>
      </c>
      <c r="AK28" s="134">
        <v>12</v>
      </c>
      <c r="AL28" s="134">
        <v>12</v>
      </c>
      <c r="AM28" s="134">
        <v>3</v>
      </c>
      <c r="AN28" s="134">
        <v>302</v>
      </c>
      <c r="AO28" s="134">
        <v>305</v>
      </c>
      <c r="AP28" s="134">
        <v>456</v>
      </c>
      <c r="AQ28" s="134">
        <v>5408</v>
      </c>
      <c r="AR28" s="134">
        <v>5864</v>
      </c>
      <c r="AS28" s="134">
        <v>456</v>
      </c>
      <c r="AT28" s="134">
        <v>5408</v>
      </c>
      <c r="AU28" s="134">
        <v>5864</v>
      </c>
      <c r="AV28" s="134">
        <v>0</v>
      </c>
      <c r="AW28" s="134">
        <v>0</v>
      </c>
      <c r="AX28" s="134">
        <v>0</v>
      </c>
      <c r="AY28" s="134">
        <v>39</v>
      </c>
      <c r="AZ28" s="134">
        <v>616</v>
      </c>
      <c r="BA28" s="134">
        <v>655</v>
      </c>
      <c r="BB28" s="134">
        <v>12</v>
      </c>
      <c r="BC28" s="134">
        <v>0</v>
      </c>
      <c r="BD28" s="134">
        <v>0</v>
      </c>
      <c r="BE28" s="134">
        <v>421</v>
      </c>
      <c r="BF28" s="134">
        <v>4</v>
      </c>
      <c r="BG28" s="134">
        <v>2</v>
      </c>
      <c r="BH28" s="134">
        <v>12</v>
      </c>
      <c r="BI28" s="134">
        <v>427</v>
      </c>
      <c r="BJ28" s="134">
        <v>439</v>
      </c>
      <c r="BK28" s="134">
        <v>-4</v>
      </c>
      <c r="BL28" s="134">
        <v>4</v>
      </c>
      <c r="BM28" s="134">
        <v>0</v>
      </c>
      <c r="BN28" s="134">
        <v>2</v>
      </c>
      <c r="BO28" s="134">
        <v>12</v>
      </c>
      <c r="BP28" s="134">
        <v>14</v>
      </c>
      <c r="BQ28" s="134">
        <v>6</v>
      </c>
      <c r="BR28" s="134">
        <v>72</v>
      </c>
      <c r="BS28" s="134">
        <v>78</v>
      </c>
      <c r="BT28" s="134">
        <v>23</v>
      </c>
      <c r="BU28" s="134">
        <v>101</v>
      </c>
      <c r="BV28" s="134">
        <v>124</v>
      </c>
      <c r="BW28" s="134">
        <v>495</v>
      </c>
      <c r="BX28" s="134">
        <v>6024</v>
      </c>
      <c r="BY28" s="134">
        <v>6519</v>
      </c>
      <c r="BZ28" s="134">
        <v>494</v>
      </c>
      <c r="CA28" s="134">
        <v>5966</v>
      </c>
      <c r="CB28" s="134">
        <v>6460</v>
      </c>
      <c r="CC28" s="134">
        <v>11936</v>
      </c>
      <c r="CD28" s="134">
        <v>3</v>
      </c>
      <c r="CE28" s="134">
        <v>46</v>
      </c>
      <c r="CF28" s="134">
        <v>1</v>
      </c>
      <c r="CG28" s="134">
        <v>45</v>
      </c>
      <c r="CH28" s="134">
        <v>46</v>
      </c>
      <c r="CI28" s="134">
        <v>17</v>
      </c>
      <c r="CJ28" s="134">
        <v>0</v>
      </c>
      <c r="CK28" s="134">
        <v>0</v>
      </c>
      <c r="CL28" s="134">
        <v>13</v>
      </c>
      <c r="CM28" s="134">
        <v>13</v>
      </c>
      <c r="CN28" s="134">
        <v>43</v>
      </c>
      <c r="CO28" s="134">
        <v>593</v>
      </c>
      <c r="CP28" s="134">
        <v>636</v>
      </c>
      <c r="CQ28" s="134">
        <v>0</v>
      </c>
      <c r="CR28" s="134">
        <v>0</v>
      </c>
      <c r="CS28" s="134">
        <v>0</v>
      </c>
      <c r="CT28" s="134">
        <v>452</v>
      </c>
      <c r="CU28" s="134">
        <v>5431</v>
      </c>
      <c r="CV28" s="134">
        <v>5883</v>
      </c>
      <c r="CW28" s="134">
        <v>32</v>
      </c>
      <c r="CX28" s="134">
        <v>166</v>
      </c>
      <c r="CY28" s="134">
        <v>198</v>
      </c>
      <c r="CZ28" s="134">
        <v>32</v>
      </c>
      <c r="DA28" s="134">
        <v>0</v>
      </c>
      <c r="DB28" s="134">
        <v>0</v>
      </c>
      <c r="DC28" s="134">
        <v>159</v>
      </c>
      <c r="DD28" s="134">
        <v>3</v>
      </c>
      <c r="DE28" s="134">
        <v>1</v>
      </c>
      <c r="DF28" s="134">
        <v>32</v>
      </c>
      <c r="DG28" s="134">
        <v>163</v>
      </c>
      <c r="DH28" s="134">
        <v>195</v>
      </c>
      <c r="DI28" s="134">
        <v>0</v>
      </c>
      <c r="DJ28" s="134">
        <v>0</v>
      </c>
      <c r="DK28" s="134">
        <v>0</v>
      </c>
      <c r="DL28" s="134">
        <v>3</v>
      </c>
      <c r="DM28" s="134">
        <v>0</v>
      </c>
      <c r="DN28" s="134">
        <v>0</v>
      </c>
      <c r="DO28" s="134">
        <v>0</v>
      </c>
      <c r="DP28" s="134">
        <v>3</v>
      </c>
      <c r="DQ28" s="134">
        <v>3</v>
      </c>
      <c r="DR28" s="134">
        <v>0</v>
      </c>
      <c r="DS28" s="134">
        <v>0</v>
      </c>
      <c r="DT28" s="135">
        <v>0</v>
      </c>
      <c r="DV28" s="136"/>
      <c r="DW28" s="137"/>
      <c r="DX28" s="136"/>
      <c r="DY28" s="136"/>
    </row>
    <row r="29" spans="1:129" s="116" customFormat="1">
      <c r="A29" s="133" t="s">
        <v>298</v>
      </c>
      <c r="B29" s="134">
        <v>1614</v>
      </c>
      <c r="C29" s="134">
        <v>332</v>
      </c>
      <c r="D29" s="134">
        <v>1632</v>
      </c>
      <c r="E29" s="134">
        <v>936</v>
      </c>
      <c r="F29" s="134">
        <v>4</v>
      </c>
      <c r="G29" s="134">
        <v>24</v>
      </c>
      <c r="H29" s="134">
        <v>28</v>
      </c>
      <c r="I29" s="134">
        <v>0</v>
      </c>
      <c r="J29" s="134">
        <v>610</v>
      </c>
      <c r="K29" s="134">
        <v>610</v>
      </c>
      <c r="L29" s="134">
        <v>0</v>
      </c>
      <c r="M29" s="134">
        <v>172</v>
      </c>
      <c r="N29" s="134">
        <v>172</v>
      </c>
      <c r="O29" s="134">
        <v>0</v>
      </c>
      <c r="P29" s="134">
        <v>438</v>
      </c>
      <c r="Q29" s="134">
        <v>438</v>
      </c>
      <c r="R29" s="134">
        <v>0</v>
      </c>
      <c r="S29" s="134">
        <v>8</v>
      </c>
      <c r="T29" s="134">
        <v>8</v>
      </c>
      <c r="U29" s="134">
        <v>0</v>
      </c>
      <c r="V29" s="134">
        <v>86</v>
      </c>
      <c r="W29" s="134">
        <v>86</v>
      </c>
      <c r="X29" s="134">
        <v>48</v>
      </c>
      <c r="Y29" s="134">
        <v>1584</v>
      </c>
      <c r="Z29" s="134">
        <v>1632</v>
      </c>
      <c r="AA29" s="134">
        <v>24</v>
      </c>
      <c r="AB29" s="134">
        <v>618</v>
      </c>
      <c r="AC29" s="134">
        <v>642</v>
      </c>
      <c r="AD29" s="134">
        <v>22</v>
      </c>
      <c r="AE29" s="134">
        <v>597</v>
      </c>
      <c r="AF29" s="134">
        <v>619</v>
      </c>
      <c r="AG29" s="134">
        <v>1</v>
      </c>
      <c r="AH29" s="134">
        <v>15</v>
      </c>
      <c r="AI29" s="134">
        <v>16</v>
      </c>
      <c r="AJ29" s="134">
        <v>1</v>
      </c>
      <c r="AK29" s="134">
        <v>6</v>
      </c>
      <c r="AL29" s="134">
        <v>7</v>
      </c>
      <c r="AM29" s="134">
        <v>24</v>
      </c>
      <c r="AN29" s="134">
        <v>966</v>
      </c>
      <c r="AO29" s="134">
        <v>990</v>
      </c>
      <c r="AP29" s="134">
        <v>3208</v>
      </c>
      <c r="AQ29" s="134">
        <v>18538</v>
      </c>
      <c r="AR29" s="134">
        <v>21746</v>
      </c>
      <c r="AS29" s="134">
        <v>3208</v>
      </c>
      <c r="AT29" s="134">
        <v>18539</v>
      </c>
      <c r="AU29" s="134">
        <v>21747</v>
      </c>
      <c r="AV29" s="134">
        <v>0</v>
      </c>
      <c r="AW29" s="134">
        <v>-1</v>
      </c>
      <c r="AX29" s="134">
        <v>-1</v>
      </c>
      <c r="AY29" s="134">
        <v>68</v>
      </c>
      <c r="AZ29" s="134">
        <v>1683</v>
      </c>
      <c r="BA29" s="134">
        <v>1751</v>
      </c>
      <c r="BB29" s="134">
        <v>60</v>
      </c>
      <c r="BC29" s="134">
        <v>0</v>
      </c>
      <c r="BD29" s="134">
        <v>0</v>
      </c>
      <c r="BE29" s="134">
        <v>872</v>
      </c>
      <c r="BF29" s="134">
        <v>3</v>
      </c>
      <c r="BG29" s="134">
        <v>1</v>
      </c>
      <c r="BH29" s="134">
        <v>60</v>
      </c>
      <c r="BI29" s="134">
        <v>876</v>
      </c>
      <c r="BJ29" s="134">
        <v>936</v>
      </c>
      <c r="BK29" s="134">
        <v>-74</v>
      </c>
      <c r="BL29" s="134">
        <v>74</v>
      </c>
      <c r="BM29" s="134">
        <v>0</v>
      </c>
      <c r="BN29" s="134">
        <v>22</v>
      </c>
      <c r="BO29" s="134">
        <v>51</v>
      </c>
      <c r="BP29" s="134">
        <v>73</v>
      </c>
      <c r="BQ29" s="134">
        <v>19</v>
      </c>
      <c r="BR29" s="134">
        <v>306</v>
      </c>
      <c r="BS29" s="134">
        <v>325</v>
      </c>
      <c r="BT29" s="134">
        <v>41</v>
      </c>
      <c r="BU29" s="134">
        <v>376</v>
      </c>
      <c r="BV29" s="134">
        <v>417</v>
      </c>
      <c r="BW29" s="134">
        <v>3276</v>
      </c>
      <c r="BX29" s="134">
        <v>20221</v>
      </c>
      <c r="BY29" s="134">
        <v>23497</v>
      </c>
      <c r="BZ29" s="134">
        <v>3259</v>
      </c>
      <c r="CA29" s="134">
        <v>20119</v>
      </c>
      <c r="CB29" s="134">
        <v>23378</v>
      </c>
      <c r="CC29" s="134">
        <v>53872</v>
      </c>
      <c r="CD29" s="134">
        <v>3</v>
      </c>
      <c r="CE29" s="134">
        <v>116</v>
      </c>
      <c r="CF29" s="134">
        <v>17</v>
      </c>
      <c r="CG29" s="134">
        <v>89</v>
      </c>
      <c r="CH29" s="134">
        <v>106</v>
      </c>
      <c r="CI29" s="134">
        <v>11</v>
      </c>
      <c r="CJ29" s="134">
        <v>2</v>
      </c>
      <c r="CK29" s="134">
        <v>0</v>
      </c>
      <c r="CL29" s="134">
        <v>13</v>
      </c>
      <c r="CM29" s="134">
        <v>13</v>
      </c>
      <c r="CN29" s="134">
        <v>171</v>
      </c>
      <c r="CO29" s="134">
        <v>1836</v>
      </c>
      <c r="CP29" s="134">
        <v>2007</v>
      </c>
      <c r="CQ29" s="134">
        <v>1</v>
      </c>
      <c r="CR29" s="134">
        <v>35</v>
      </c>
      <c r="CS29" s="134">
        <v>36</v>
      </c>
      <c r="CT29" s="134">
        <v>3105</v>
      </c>
      <c r="CU29" s="134">
        <v>18385</v>
      </c>
      <c r="CV29" s="134">
        <v>21490</v>
      </c>
      <c r="CW29" s="134">
        <v>185</v>
      </c>
      <c r="CX29" s="134">
        <v>835</v>
      </c>
      <c r="CY29" s="134">
        <v>1020</v>
      </c>
      <c r="CZ29" s="134">
        <v>184</v>
      </c>
      <c r="DA29" s="134">
        <v>1</v>
      </c>
      <c r="DB29" s="134">
        <v>0</v>
      </c>
      <c r="DC29" s="134">
        <v>816</v>
      </c>
      <c r="DD29" s="134">
        <v>4</v>
      </c>
      <c r="DE29" s="134">
        <v>0</v>
      </c>
      <c r="DF29" s="134">
        <v>185</v>
      </c>
      <c r="DG29" s="134">
        <v>820</v>
      </c>
      <c r="DH29" s="134">
        <v>1005</v>
      </c>
      <c r="DI29" s="134">
        <v>0</v>
      </c>
      <c r="DJ29" s="134">
        <v>0</v>
      </c>
      <c r="DK29" s="134">
        <v>0</v>
      </c>
      <c r="DL29" s="134">
        <v>14</v>
      </c>
      <c r="DM29" s="134">
        <v>1</v>
      </c>
      <c r="DN29" s="134">
        <v>0</v>
      </c>
      <c r="DO29" s="134">
        <v>0</v>
      </c>
      <c r="DP29" s="134">
        <v>15</v>
      </c>
      <c r="DQ29" s="134">
        <v>15</v>
      </c>
      <c r="DR29" s="134">
        <v>0</v>
      </c>
      <c r="DS29" s="134">
        <v>0</v>
      </c>
      <c r="DT29" s="135">
        <v>0</v>
      </c>
      <c r="DV29" s="136"/>
      <c r="DW29" s="137"/>
      <c r="DX29" s="136"/>
      <c r="DY29" s="136"/>
    </row>
    <row r="30" spans="1:129" s="116" customFormat="1">
      <c r="A30" s="133" t="s">
        <v>299</v>
      </c>
      <c r="B30" s="134">
        <v>59</v>
      </c>
      <c r="C30" s="134">
        <v>13</v>
      </c>
      <c r="D30" s="134">
        <v>56</v>
      </c>
      <c r="E30" s="134">
        <v>37</v>
      </c>
      <c r="F30" s="134">
        <v>0</v>
      </c>
      <c r="G30" s="134">
        <v>1</v>
      </c>
      <c r="H30" s="134">
        <v>1</v>
      </c>
      <c r="I30" s="134">
        <v>0</v>
      </c>
      <c r="J30" s="134">
        <v>15</v>
      </c>
      <c r="K30" s="134">
        <v>15</v>
      </c>
      <c r="L30" s="134">
        <v>0</v>
      </c>
      <c r="M30" s="134">
        <v>4</v>
      </c>
      <c r="N30" s="134">
        <v>4</v>
      </c>
      <c r="O30" s="134">
        <v>0</v>
      </c>
      <c r="P30" s="134">
        <v>11</v>
      </c>
      <c r="Q30" s="134">
        <v>11</v>
      </c>
      <c r="R30" s="134">
        <v>0</v>
      </c>
      <c r="S30" s="134">
        <v>1</v>
      </c>
      <c r="T30" s="134">
        <v>1</v>
      </c>
      <c r="U30" s="134">
        <v>0</v>
      </c>
      <c r="V30" s="134">
        <v>4</v>
      </c>
      <c r="W30" s="134">
        <v>4</v>
      </c>
      <c r="X30" s="134">
        <v>1</v>
      </c>
      <c r="Y30" s="134">
        <v>55</v>
      </c>
      <c r="Z30" s="134">
        <v>56</v>
      </c>
      <c r="AA30" s="134">
        <v>1</v>
      </c>
      <c r="AB30" s="134">
        <v>28</v>
      </c>
      <c r="AC30" s="134">
        <v>29</v>
      </c>
      <c r="AD30" s="134">
        <v>1</v>
      </c>
      <c r="AE30" s="134">
        <v>26</v>
      </c>
      <c r="AF30" s="134">
        <v>27</v>
      </c>
      <c r="AG30" s="134">
        <v>0</v>
      </c>
      <c r="AH30" s="134">
        <v>2</v>
      </c>
      <c r="AI30" s="134">
        <v>2</v>
      </c>
      <c r="AJ30" s="134">
        <v>0</v>
      </c>
      <c r="AK30" s="134">
        <v>0</v>
      </c>
      <c r="AL30" s="134">
        <v>0</v>
      </c>
      <c r="AM30" s="134">
        <v>0</v>
      </c>
      <c r="AN30" s="134">
        <v>27</v>
      </c>
      <c r="AO30" s="134">
        <v>27</v>
      </c>
      <c r="AP30" s="134">
        <v>75</v>
      </c>
      <c r="AQ30" s="134">
        <v>425</v>
      </c>
      <c r="AR30" s="134">
        <v>500</v>
      </c>
      <c r="AS30" s="134">
        <v>75</v>
      </c>
      <c r="AT30" s="134">
        <v>425</v>
      </c>
      <c r="AU30" s="134">
        <v>500</v>
      </c>
      <c r="AV30" s="134">
        <v>0</v>
      </c>
      <c r="AW30" s="134">
        <v>0</v>
      </c>
      <c r="AX30" s="134">
        <v>0</v>
      </c>
      <c r="AY30" s="134">
        <v>9</v>
      </c>
      <c r="AZ30" s="134">
        <v>60</v>
      </c>
      <c r="BA30" s="134">
        <v>69</v>
      </c>
      <c r="BB30" s="134">
        <v>1</v>
      </c>
      <c r="BC30" s="134">
        <v>0</v>
      </c>
      <c r="BD30" s="134">
        <v>0</v>
      </c>
      <c r="BE30" s="134">
        <v>36</v>
      </c>
      <c r="BF30" s="134">
        <v>0</v>
      </c>
      <c r="BG30" s="134">
        <v>0</v>
      </c>
      <c r="BH30" s="134">
        <v>1</v>
      </c>
      <c r="BI30" s="134">
        <v>36</v>
      </c>
      <c r="BJ30" s="134">
        <v>37</v>
      </c>
      <c r="BK30" s="134">
        <v>2</v>
      </c>
      <c r="BL30" s="134">
        <v>-2</v>
      </c>
      <c r="BM30" s="134">
        <v>0</v>
      </c>
      <c r="BN30" s="134">
        <v>0</v>
      </c>
      <c r="BO30" s="134">
        <v>3</v>
      </c>
      <c r="BP30" s="134">
        <v>3</v>
      </c>
      <c r="BQ30" s="134">
        <v>1</v>
      </c>
      <c r="BR30" s="134">
        <v>7</v>
      </c>
      <c r="BS30" s="134">
        <v>8</v>
      </c>
      <c r="BT30" s="134">
        <v>5</v>
      </c>
      <c r="BU30" s="134">
        <v>16</v>
      </c>
      <c r="BV30" s="134">
        <v>21</v>
      </c>
      <c r="BW30" s="134">
        <v>84</v>
      </c>
      <c r="BX30" s="134">
        <v>485</v>
      </c>
      <c r="BY30" s="134">
        <v>569</v>
      </c>
      <c r="BZ30" s="134">
        <v>84</v>
      </c>
      <c r="CA30" s="134">
        <v>484</v>
      </c>
      <c r="CB30" s="134">
        <v>568</v>
      </c>
      <c r="CC30" s="134">
        <v>1190</v>
      </c>
      <c r="CD30" s="134">
        <v>0</v>
      </c>
      <c r="CE30" s="134">
        <v>1</v>
      </c>
      <c r="CF30" s="134">
        <v>0</v>
      </c>
      <c r="CG30" s="134">
        <v>1</v>
      </c>
      <c r="CH30" s="134">
        <v>1</v>
      </c>
      <c r="CI30" s="134">
        <v>0</v>
      </c>
      <c r="CJ30" s="134">
        <v>0</v>
      </c>
      <c r="CK30" s="134">
        <v>0</v>
      </c>
      <c r="CL30" s="134">
        <v>0</v>
      </c>
      <c r="CM30" s="134">
        <v>0</v>
      </c>
      <c r="CN30" s="134">
        <v>4</v>
      </c>
      <c r="CO30" s="134">
        <v>35</v>
      </c>
      <c r="CP30" s="134">
        <v>39</v>
      </c>
      <c r="CQ30" s="134">
        <v>0</v>
      </c>
      <c r="CR30" s="134">
        <v>1</v>
      </c>
      <c r="CS30" s="134">
        <v>1</v>
      </c>
      <c r="CT30" s="134">
        <v>80</v>
      </c>
      <c r="CU30" s="134">
        <v>450</v>
      </c>
      <c r="CV30" s="134">
        <v>530</v>
      </c>
      <c r="CW30" s="134">
        <v>5</v>
      </c>
      <c r="CX30" s="134">
        <v>15</v>
      </c>
      <c r="CY30" s="134">
        <v>20</v>
      </c>
      <c r="CZ30" s="134">
        <v>5</v>
      </c>
      <c r="DA30" s="134">
        <v>0</v>
      </c>
      <c r="DB30" s="134">
        <v>0</v>
      </c>
      <c r="DC30" s="134">
        <v>15</v>
      </c>
      <c r="DD30" s="134">
        <v>0</v>
      </c>
      <c r="DE30" s="134">
        <v>0</v>
      </c>
      <c r="DF30" s="134">
        <v>5</v>
      </c>
      <c r="DG30" s="134">
        <v>15</v>
      </c>
      <c r="DH30" s="134">
        <v>20</v>
      </c>
      <c r="DI30" s="134">
        <v>0</v>
      </c>
      <c r="DJ30" s="134">
        <v>0</v>
      </c>
      <c r="DK30" s="134">
        <v>0</v>
      </c>
      <c r="DL30" s="134">
        <v>0</v>
      </c>
      <c r="DM30" s="134">
        <v>0</v>
      </c>
      <c r="DN30" s="134">
        <v>0</v>
      </c>
      <c r="DO30" s="134">
        <v>0</v>
      </c>
      <c r="DP30" s="134">
        <v>0</v>
      </c>
      <c r="DQ30" s="134">
        <v>0</v>
      </c>
      <c r="DR30" s="134">
        <v>0</v>
      </c>
      <c r="DS30" s="134">
        <v>0</v>
      </c>
      <c r="DT30" s="135">
        <v>0</v>
      </c>
      <c r="DV30" s="136"/>
      <c r="DW30" s="137"/>
      <c r="DX30" s="136"/>
      <c r="DY30" s="136"/>
    </row>
    <row r="31" spans="1:129" s="116" customFormat="1">
      <c r="A31" s="133" t="s">
        <v>300</v>
      </c>
      <c r="B31" s="134">
        <v>65</v>
      </c>
      <c r="C31" s="134">
        <v>17</v>
      </c>
      <c r="D31" s="134">
        <v>56</v>
      </c>
      <c r="E31" s="134">
        <v>38</v>
      </c>
      <c r="F31" s="134">
        <v>0</v>
      </c>
      <c r="G31" s="134">
        <v>0</v>
      </c>
      <c r="H31" s="134">
        <v>0</v>
      </c>
      <c r="I31" s="134">
        <v>0</v>
      </c>
      <c r="J31" s="134">
        <v>13</v>
      </c>
      <c r="K31" s="134">
        <v>13</v>
      </c>
      <c r="L31" s="134">
        <v>0</v>
      </c>
      <c r="M31" s="134">
        <v>3</v>
      </c>
      <c r="N31" s="134">
        <v>3</v>
      </c>
      <c r="O31" s="134">
        <v>0</v>
      </c>
      <c r="P31" s="134">
        <v>10</v>
      </c>
      <c r="Q31" s="134">
        <v>10</v>
      </c>
      <c r="R31" s="134">
        <v>0</v>
      </c>
      <c r="S31" s="134">
        <v>0</v>
      </c>
      <c r="T31" s="134">
        <v>0</v>
      </c>
      <c r="U31" s="134">
        <v>0</v>
      </c>
      <c r="V31" s="134">
        <v>5</v>
      </c>
      <c r="W31" s="134">
        <v>5</v>
      </c>
      <c r="X31" s="134">
        <v>0</v>
      </c>
      <c r="Y31" s="134">
        <v>56</v>
      </c>
      <c r="Z31" s="134">
        <v>56</v>
      </c>
      <c r="AA31" s="134">
        <v>0</v>
      </c>
      <c r="AB31" s="134">
        <v>31</v>
      </c>
      <c r="AC31" s="134">
        <v>31</v>
      </c>
      <c r="AD31" s="134">
        <v>0</v>
      </c>
      <c r="AE31" s="134">
        <v>29</v>
      </c>
      <c r="AF31" s="134">
        <v>29</v>
      </c>
      <c r="AG31" s="134">
        <v>0</v>
      </c>
      <c r="AH31" s="134">
        <v>2</v>
      </c>
      <c r="AI31" s="134">
        <v>2</v>
      </c>
      <c r="AJ31" s="134">
        <v>0</v>
      </c>
      <c r="AK31" s="134">
        <v>0</v>
      </c>
      <c r="AL31" s="134">
        <v>0</v>
      </c>
      <c r="AM31" s="134">
        <v>0</v>
      </c>
      <c r="AN31" s="134">
        <v>25</v>
      </c>
      <c r="AO31" s="134">
        <v>25</v>
      </c>
      <c r="AP31" s="134">
        <v>12</v>
      </c>
      <c r="AQ31" s="134">
        <v>347</v>
      </c>
      <c r="AR31" s="134">
        <v>359</v>
      </c>
      <c r="AS31" s="134">
        <v>12</v>
      </c>
      <c r="AT31" s="134">
        <v>347</v>
      </c>
      <c r="AU31" s="134">
        <v>359</v>
      </c>
      <c r="AV31" s="134">
        <v>0</v>
      </c>
      <c r="AW31" s="134">
        <v>0</v>
      </c>
      <c r="AX31" s="134">
        <v>0</v>
      </c>
      <c r="AY31" s="134">
        <v>-1</v>
      </c>
      <c r="AZ31" s="134">
        <v>68</v>
      </c>
      <c r="BA31" s="134">
        <v>67</v>
      </c>
      <c r="BB31" s="134">
        <v>0</v>
      </c>
      <c r="BC31" s="134">
        <v>0</v>
      </c>
      <c r="BD31" s="134">
        <v>0</v>
      </c>
      <c r="BE31" s="134">
        <v>38</v>
      </c>
      <c r="BF31" s="134">
        <v>0</v>
      </c>
      <c r="BG31" s="134">
        <v>0</v>
      </c>
      <c r="BH31" s="134">
        <v>0</v>
      </c>
      <c r="BI31" s="134">
        <v>38</v>
      </c>
      <c r="BJ31" s="134">
        <v>38</v>
      </c>
      <c r="BK31" s="134">
        <v>-1</v>
      </c>
      <c r="BL31" s="134">
        <v>1</v>
      </c>
      <c r="BM31" s="134">
        <v>0</v>
      </c>
      <c r="BN31" s="134">
        <v>0</v>
      </c>
      <c r="BO31" s="134">
        <v>3</v>
      </c>
      <c r="BP31" s="134">
        <v>3</v>
      </c>
      <c r="BQ31" s="134">
        <v>0</v>
      </c>
      <c r="BR31" s="134">
        <v>5</v>
      </c>
      <c r="BS31" s="134">
        <v>5</v>
      </c>
      <c r="BT31" s="134">
        <v>0</v>
      </c>
      <c r="BU31" s="134">
        <v>21</v>
      </c>
      <c r="BV31" s="134">
        <v>21</v>
      </c>
      <c r="BW31" s="134">
        <v>11</v>
      </c>
      <c r="BX31" s="134">
        <v>415</v>
      </c>
      <c r="BY31" s="134">
        <v>426</v>
      </c>
      <c r="BZ31" s="134">
        <v>11</v>
      </c>
      <c r="CA31" s="134">
        <v>412</v>
      </c>
      <c r="CB31" s="134">
        <v>423</v>
      </c>
      <c r="CC31" s="134">
        <v>716</v>
      </c>
      <c r="CD31" s="134">
        <v>0</v>
      </c>
      <c r="CE31" s="134">
        <v>3</v>
      </c>
      <c r="CF31" s="134">
        <v>0</v>
      </c>
      <c r="CG31" s="134">
        <v>3</v>
      </c>
      <c r="CH31" s="134">
        <v>3</v>
      </c>
      <c r="CI31" s="134">
        <v>0</v>
      </c>
      <c r="CJ31" s="134">
        <v>0</v>
      </c>
      <c r="CK31" s="134">
        <v>0</v>
      </c>
      <c r="CL31" s="134">
        <v>0</v>
      </c>
      <c r="CM31" s="134">
        <v>0</v>
      </c>
      <c r="CN31" s="134">
        <v>2</v>
      </c>
      <c r="CO31" s="134">
        <v>59</v>
      </c>
      <c r="CP31" s="134">
        <v>61</v>
      </c>
      <c r="CQ31" s="134">
        <v>0</v>
      </c>
      <c r="CR31" s="134">
        <v>0</v>
      </c>
      <c r="CS31" s="134">
        <v>0</v>
      </c>
      <c r="CT31" s="134">
        <v>9</v>
      </c>
      <c r="CU31" s="134">
        <v>356</v>
      </c>
      <c r="CV31" s="134">
        <v>365</v>
      </c>
      <c r="CW31" s="134">
        <v>1</v>
      </c>
      <c r="CX31" s="134">
        <v>8</v>
      </c>
      <c r="CY31" s="134">
        <v>9</v>
      </c>
      <c r="CZ31" s="134">
        <v>1</v>
      </c>
      <c r="DA31" s="134">
        <v>0</v>
      </c>
      <c r="DB31" s="134">
        <v>0</v>
      </c>
      <c r="DC31" s="134">
        <v>7</v>
      </c>
      <c r="DD31" s="134">
        <v>1</v>
      </c>
      <c r="DE31" s="134">
        <v>0</v>
      </c>
      <c r="DF31" s="134">
        <v>1</v>
      </c>
      <c r="DG31" s="134">
        <v>8</v>
      </c>
      <c r="DH31" s="134">
        <v>9</v>
      </c>
      <c r="DI31" s="134">
        <v>0</v>
      </c>
      <c r="DJ31" s="134">
        <v>0</v>
      </c>
      <c r="DK31" s="134">
        <v>0</v>
      </c>
      <c r="DL31" s="134">
        <v>0</v>
      </c>
      <c r="DM31" s="134">
        <v>0</v>
      </c>
      <c r="DN31" s="134">
        <v>0</v>
      </c>
      <c r="DO31" s="134">
        <v>0</v>
      </c>
      <c r="DP31" s="134">
        <v>0</v>
      </c>
      <c r="DQ31" s="134">
        <v>0</v>
      </c>
      <c r="DR31" s="134">
        <v>0</v>
      </c>
      <c r="DS31" s="134">
        <v>0</v>
      </c>
      <c r="DT31" s="135">
        <v>0</v>
      </c>
      <c r="DV31" s="136"/>
      <c r="DW31" s="137"/>
      <c r="DX31" s="136"/>
      <c r="DY31" s="136"/>
    </row>
    <row r="32" spans="1:129" s="116" customFormat="1">
      <c r="A32" s="133" t="s">
        <v>301</v>
      </c>
      <c r="B32" s="134">
        <v>2145</v>
      </c>
      <c r="C32" s="134">
        <v>577</v>
      </c>
      <c r="D32" s="134">
        <v>1891</v>
      </c>
      <c r="E32" s="134">
        <v>1133</v>
      </c>
      <c r="F32" s="134">
        <v>0</v>
      </c>
      <c r="G32" s="134">
        <v>14</v>
      </c>
      <c r="H32" s="134">
        <v>14</v>
      </c>
      <c r="I32" s="134">
        <v>1</v>
      </c>
      <c r="J32" s="134">
        <v>658</v>
      </c>
      <c r="K32" s="134">
        <v>659</v>
      </c>
      <c r="L32" s="134">
        <v>1</v>
      </c>
      <c r="M32" s="134">
        <v>280</v>
      </c>
      <c r="N32" s="134">
        <v>281</v>
      </c>
      <c r="O32" s="134">
        <v>0</v>
      </c>
      <c r="P32" s="134">
        <v>378</v>
      </c>
      <c r="Q32" s="134">
        <v>378</v>
      </c>
      <c r="R32" s="134">
        <v>0</v>
      </c>
      <c r="S32" s="134">
        <v>8</v>
      </c>
      <c r="T32" s="134">
        <v>8</v>
      </c>
      <c r="U32" s="134">
        <v>0</v>
      </c>
      <c r="V32" s="134">
        <v>99</v>
      </c>
      <c r="W32" s="134">
        <v>99</v>
      </c>
      <c r="X32" s="134">
        <v>28</v>
      </c>
      <c r="Y32" s="134">
        <v>1863</v>
      </c>
      <c r="Z32" s="134">
        <v>1891</v>
      </c>
      <c r="AA32" s="134">
        <v>13</v>
      </c>
      <c r="AB32" s="134">
        <v>597</v>
      </c>
      <c r="AC32" s="134">
        <v>610</v>
      </c>
      <c r="AD32" s="134">
        <v>12</v>
      </c>
      <c r="AE32" s="134">
        <v>569</v>
      </c>
      <c r="AF32" s="134">
        <v>581</v>
      </c>
      <c r="AG32" s="134">
        <v>0</v>
      </c>
      <c r="AH32" s="134">
        <v>10</v>
      </c>
      <c r="AI32" s="134">
        <v>10</v>
      </c>
      <c r="AJ32" s="134">
        <v>1</v>
      </c>
      <c r="AK32" s="134">
        <v>18</v>
      </c>
      <c r="AL32" s="134">
        <v>19</v>
      </c>
      <c r="AM32" s="134">
        <v>15</v>
      </c>
      <c r="AN32" s="134">
        <v>1266</v>
      </c>
      <c r="AO32" s="134">
        <v>1281</v>
      </c>
      <c r="AP32" s="134">
        <v>1781</v>
      </c>
      <c r="AQ32" s="134">
        <v>15834</v>
      </c>
      <c r="AR32" s="134">
        <v>17615</v>
      </c>
      <c r="AS32" s="134">
        <v>1781</v>
      </c>
      <c r="AT32" s="134">
        <v>15834</v>
      </c>
      <c r="AU32" s="134">
        <v>17615</v>
      </c>
      <c r="AV32" s="134">
        <v>0</v>
      </c>
      <c r="AW32" s="134">
        <v>0</v>
      </c>
      <c r="AX32" s="134">
        <v>0</v>
      </c>
      <c r="AY32" s="134">
        <v>67</v>
      </c>
      <c r="AZ32" s="134">
        <v>1748</v>
      </c>
      <c r="BA32" s="134">
        <v>1815</v>
      </c>
      <c r="BB32" s="134">
        <v>45</v>
      </c>
      <c r="BC32" s="134">
        <v>0</v>
      </c>
      <c r="BD32" s="134">
        <v>0</v>
      </c>
      <c r="BE32" s="134">
        <v>1074</v>
      </c>
      <c r="BF32" s="134">
        <v>12</v>
      </c>
      <c r="BG32" s="134">
        <v>2</v>
      </c>
      <c r="BH32" s="134">
        <v>45</v>
      </c>
      <c r="BI32" s="134">
        <v>1088</v>
      </c>
      <c r="BJ32" s="134">
        <v>1133</v>
      </c>
      <c r="BK32" s="134">
        <v>-52</v>
      </c>
      <c r="BL32" s="134">
        <v>52</v>
      </c>
      <c r="BM32" s="134">
        <v>0</v>
      </c>
      <c r="BN32" s="134">
        <v>6</v>
      </c>
      <c r="BO32" s="134">
        <v>33</v>
      </c>
      <c r="BP32" s="134">
        <v>39</v>
      </c>
      <c r="BQ32" s="134">
        <v>10</v>
      </c>
      <c r="BR32" s="134">
        <v>159</v>
      </c>
      <c r="BS32" s="134">
        <v>169</v>
      </c>
      <c r="BT32" s="134">
        <v>58</v>
      </c>
      <c r="BU32" s="134">
        <v>416</v>
      </c>
      <c r="BV32" s="134">
        <v>474</v>
      </c>
      <c r="BW32" s="134">
        <v>1848</v>
      </c>
      <c r="BX32" s="134">
        <v>17582</v>
      </c>
      <c r="BY32" s="134">
        <v>19430</v>
      </c>
      <c r="BZ32" s="134">
        <v>1831</v>
      </c>
      <c r="CA32" s="134">
        <v>17392</v>
      </c>
      <c r="CB32" s="134">
        <v>19223</v>
      </c>
      <c r="CC32" s="134">
        <v>41854</v>
      </c>
      <c r="CD32" s="134">
        <v>12</v>
      </c>
      <c r="CE32" s="134">
        <v>190</v>
      </c>
      <c r="CF32" s="134">
        <v>17</v>
      </c>
      <c r="CG32" s="134">
        <v>161</v>
      </c>
      <c r="CH32" s="134">
        <v>178</v>
      </c>
      <c r="CI32" s="134">
        <v>32</v>
      </c>
      <c r="CJ32" s="134">
        <v>5</v>
      </c>
      <c r="CK32" s="134">
        <v>0</v>
      </c>
      <c r="CL32" s="134">
        <v>29</v>
      </c>
      <c r="CM32" s="134">
        <v>29</v>
      </c>
      <c r="CN32" s="134">
        <v>115</v>
      </c>
      <c r="CO32" s="134">
        <v>2415</v>
      </c>
      <c r="CP32" s="134">
        <v>2530</v>
      </c>
      <c r="CQ32" s="134">
        <v>0</v>
      </c>
      <c r="CR32" s="134">
        <v>3</v>
      </c>
      <c r="CS32" s="134">
        <v>3</v>
      </c>
      <c r="CT32" s="134">
        <v>1733</v>
      </c>
      <c r="CU32" s="134">
        <v>15167</v>
      </c>
      <c r="CV32" s="134">
        <v>16900</v>
      </c>
      <c r="CW32" s="134">
        <v>181</v>
      </c>
      <c r="CX32" s="134">
        <v>779</v>
      </c>
      <c r="CY32" s="134">
        <v>960</v>
      </c>
      <c r="CZ32" s="134">
        <v>177</v>
      </c>
      <c r="DA32" s="134">
        <v>2</v>
      </c>
      <c r="DB32" s="134">
        <v>0</v>
      </c>
      <c r="DC32" s="134">
        <v>715</v>
      </c>
      <c r="DD32" s="134">
        <v>12</v>
      </c>
      <c r="DE32" s="134">
        <v>0</v>
      </c>
      <c r="DF32" s="134">
        <v>179</v>
      </c>
      <c r="DG32" s="134">
        <v>727</v>
      </c>
      <c r="DH32" s="134">
        <v>906</v>
      </c>
      <c r="DI32" s="134">
        <v>2</v>
      </c>
      <c r="DJ32" s="134">
        <v>0</v>
      </c>
      <c r="DK32" s="134">
        <v>0</v>
      </c>
      <c r="DL32" s="134">
        <v>52</v>
      </c>
      <c r="DM32" s="134">
        <v>0</v>
      </c>
      <c r="DN32" s="134">
        <v>0</v>
      </c>
      <c r="DO32" s="134">
        <v>2</v>
      </c>
      <c r="DP32" s="134">
        <v>52</v>
      </c>
      <c r="DQ32" s="134">
        <v>54</v>
      </c>
      <c r="DR32" s="134">
        <v>0</v>
      </c>
      <c r="DS32" s="134">
        <v>0</v>
      </c>
      <c r="DT32" s="135">
        <v>0</v>
      </c>
      <c r="DV32" s="136"/>
      <c r="DW32" s="137"/>
      <c r="DX32" s="136"/>
      <c r="DY32" s="136"/>
    </row>
    <row r="33" spans="1:129" s="116" customFormat="1">
      <c r="A33" s="133" t="s">
        <v>302</v>
      </c>
      <c r="B33" s="134">
        <v>454</v>
      </c>
      <c r="C33" s="134">
        <v>113</v>
      </c>
      <c r="D33" s="134">
        <v>366</v>
      </c>
      <c r="E33" s="134">
        <v>118</v>
      </c>
      <c r="F33" s="134">
        <v>1</v>
      </c>
      <c r="G33" s="134">
        <v>10</v>
      </c>
      <c r="H33" s="134">
        <v>11</v>
      </c>
      <c r="I33" s="134">
        <v>0</v>
      </c>
      <c r="J33" s="134">
        <v>176</v>
      </c>
      <c r="K33" s="134">
        <v>176</v>
      </c>
      <c r="L33" s="134">
        <v>0</v>
      </c>
      <c r="M33" s="134">
        <v>30</v>
      </c>
      <c r="N33" s="134">
        <v>30</v>
      </c>
      <c r="O33" s="134">
        <v>0</v>
      </c>
      <c r="P33" s="134">
        <v>146</v>
      </c>
      <c r="Q33" s="134">
        <v>146</v>
      </c>
      <c r="R33" s="134">
        <v>0</v>
      </c>
      <c r="S33" s="134">
        <v>1</v>
      </c>
      <c r="T33" s="134">
        <v>1</v>
      </c>
      <c r="U33" s="134">
        <v>0</v>
      </c>
      <c r="V33" s="134">
        <v>72</v>
      </c>
      <c r="W33" s="134">
        <v>72</v>
      </c>
      <c r="X33" s="134">
        <v>3</v>
      </c>
      <c r="Y33" s="134">
        <v>363</v>
      </c>
      <c r="Z33" s="134">
        <v>366</v>
      </c>
      <c r="AA33" s="134">
        <v>1</v>
      </c>
      <c r="AB33" s="134">
        <v>66</v>
      </c>
      <c r="AC33" s="134">
        <v>67</v>
      </c>
      <c r="AD33" s="134">
        <v>1</v>
      </c>
      <c r="AE33" s="134">
        <v>59</v>
      </c>
      <c r="AF33" s="134">
        <v>60</v>
      </c>
      <c r="AG33" s="134">
        <v>0</v>
      </c>
      <c r="AH33" s="134">
        <v>3</v>
      </c>
      <c r="AI33" s="134">
        <v>3</v>
      </c>
      <c r="AJ33" s="134">
        <v>0</v>
      </c>
      <c r="AK33" s="134">
        <v>4</v>
      </c>
      <c r="AL33" s="134">
        <v>4</v>
      </c>
      <c r="AM33" s="134">
        <v>2</v>
      </c>
      <c r="AN33" s="134">
        <v>297</v>
      </c>
      <c r="AO33" s="134">
        <v>299</v>
      </c>
      <c r="AP33" s="134">
        <v>224</v>
      </c>
      <c r="AQ33" s="134">
        <v>2582</v>
      </c>
      <c r="AR33" s="134">
        <v>2806</v>
      </c>
      <c r="AS33" s="134">
        <v>224</v>
      </c>
      <c r="AT33" s="134">
        <v>2582</v>
      </c>
      <c r="AU33" s="134">
        <v>2806</v>
      </c>
      <c r="AV33" s="134">
        <v>0</v>
      </c>
      <c r="AW33" s="134">
        <v>0</v>
      </c>
      <c r="AX33" s="134">
        <v>0</v>
      </c>
      <c r="AY33" s="134">
        <v>9</v>
      </c>
      <c r="AZ33" s="134">
        <v>249</v>
      </c>
      <c r="BA33" s="134">
        <v>258</v>
      </c>
      <c r="BB33" s="134">
        <v>3</v>
      </c>
      <c r="BC33" s="134">
        <v>1</v>
      </c>
      <c r="BD33" s="134">
        <v>0</v>
      </c>
      <c r="BE33" s="134">
        <v>107</v>
      </c>
      <c r="BF33" s="134">
        <v>5</v>
      </c>
      <c r="BG33" s="134">
        <v>2</v>
      </c>
      <c r="BH33" s="134">
        <v>4</v>
      </c>
      <c r="BI33" s="134">
        <v>114</v>
      </c>
      <c r="BJ33" s="134">
        <v>118</v>
      </c>
      <c r="BK33" s="134">
        <v>-6</v>
      </c>
      <c r="BL33" s="134">
        <v>6</v>
      </c>
      <c r="BM33" s="134">
        <v>0</v>
      </c>
      <c r="BN33" s="134">
        <v>3</v>
      </c>
      <c r="BO33" s="134">
        <v>11</v>
      </c>
      <c r="BP33" s="134">
        <v>14</v>
      </c>
      <c r="BQ33" s="134">
        <v>2</v>
      </c>
      <c r="BR33" s="134">
        <v>11</v>
      </c>
      <c r="BS33" s="134">
        <v>13</v>
      </c>
      <c r="BT33" s="134">
        <v>6</v>
      </c>
      <c r="BU33" s="134">
        <v>107</v>
      </c>
      <c r="BV33" s="134">
        <v>113</v>
      </c>
      <c r="BW33" s="134">
        <v>233</v>
      </c>
      <c r="BX33" s="134">
        <v>2831</v>
      </c>
      <c r="BY33" s="134">
        <v>3064</v>
      </c>
      <c r="BZ33" s="134">
        <v>229</v>
      </c>
      <c r="CA33" s="134">
        <v>2775</v>
      </c>
      <c r="CB33" s="134">
        <v>3004</v>
      </c>
      <c r="CC33" s="134">
        <v>6038</v>
      </c>
      <c r="CD33" s="134">
        <v>3</v>
      </c>
      <c r="CE33" s="134">
        <v>57</v>
      </c>
      <c r="CF33" s="134">
        <v>4</v>
      </c>
      <c r="CG33" s="134">
        <v>51</v>
      </c>
      <c r="CH33" s="134">
        <v>55</v>
      </c>
      <c r="CI33" s="134">
        <v>4</v>
      </c>
      <c r="CJ33" s="134">
        <v>1</v>
      </c>
      <c r="CK33" s="134">
        <v>0</v>
      </c>
      <c r="CL33" s="134">
        <v>5</v>
      </c>
      <c r="CM33" s="134">
        <v>5</v>
      </c>
      <c r="CN33" s="134">
        <v>14</v>
      </c>
      <c r="CO33" s="134">
        <v>249</v>
      </c>
      <c r="CP33" s="134">
        <v>263</v>
      </c>
      <c r="CQ33" s="134">
        <v>0</v>
      </c>
      <c r="CR33" s="134">
        <v>0</v>
      </c>
      <c r="CS33" s="134">
        <v>0</v>
      </c>
      <c r="CT33" s="134">
        <v>219</v>
      </c>
      <c r="CU33" s="134">
        <v>2582</v>
      </c>
      <c r="CV33" s="134">
        <v>2801</v>
      </c>
      <c r="CW33" s="134">
        <v>12</v>
      </c>
      <c r="CX33" s="134">
        <v>91</v>
      </c>
      <c r="CY33" s="134">
        <v>103</v>
      </c>
      <c r="CZ33" s="134">
        <v>12</v>
      </c>
      <c r="DA33" s="134">
        <v>0</v>
      </c>
      <c r="DB33" s="134">
        <v>0</v>
      </c>
      <c r="DC33" s="134">
        <v>88</v>
      </c>
      <c r="DD33" s="134">
        <v>2</v>
      </c>
      <c r="DE33" s="134">
        <v>0</v>
      </c>
      <c r="DF33" s="134">
        <v>12</v>
      </c>
      <c r="DG33" s="134">
        <v>90</v>
      </c>
      <c r="DH33" s="134">
        <v>102</v>
      </c>
      <c r="DI33" s="134">
        <v>0</v>
      </c>
      <c r="DJ33" s="134">
        <v>0</v>
      </c>
      <c r="DK33" s="134">
        <v>0</v>
      </c>
      <c r="DL33" s="134">
        <v>1</v>
      </c>
      <c r="DM33" s="134">
        <v>0</v>
      </c>
      <c r="DN33" s="134">
        <v>0</v>
      </c>
      <c r="DO33" s="134">
        <v>0</v>
      </c>
      <c r="DP33" s="134">
        <v>1</v>
      </c>
      <c r="DQ33" s="134">
        <v>1</v>
      </c>
      <c r="DR33" s="134">
        <v>0</v>
      </c>
      <c r="DS33" s="134">
        <v>0</v>
      </c>
      <c r="DT33" s="135">
        <v>0</v>
      </c>
      <c r="DV33" s="136"/>
      <c r="DW33" s="137"/>
      <c r="DX33" s="136"/>
      <c r="DY33" s="136"/>
    </row>
    <row r="34" spans="1:129" s="116" customFormat="1">
      <c r="A34" s="133" t="s">
        <v>303</v>
      </c>
      <c r="B34" s="134">
        <v>391</v>
      </c>
      <c r="C34" s="134">
        <v>114</v>
      </c>
      <c r="D34" s="134">
        <v>358</v>
      </c>
      <c r="E34" s="134">
        <v>210</v>
      </c>
      <c r="F34" s="134">
        <v>1</v>
      </c>
      <c r="G34" s="134">
        <v>22</v>
      </c>
      <c r="H34" s="134">
        <v>23</v>
      </c>
      <c r="I34" s="134">
        <v>0</v>
      </c>
      <c r="J34" s="134">
        <v>139</v>
      </c>
      <c r="K34" s="134">
        <v>139</v>
      </c>
      <c r="L34" s="134">
        <v>0</v>
      </c>
      <c r="M34" s="134">
        <v>32</v>
      </c>
      <c r="N34" s="134">
        <v>32</v>
      </c>
      <c r="O34" s="134">
        <v>0</v>
      </c>
      <c r="P34" s="134">
        <v>107</v>
      </c>
      <c r="Q34" s="134">
        <v>107</v>
      </c>
      <c r="R34" s="134">
        <v>0</v>
      </c>
      <c r="S34" s="134">
        <v>3</v>
      </c>
      <c r="T34" s="134">
        <v>3</v>
      </c>
      <c r="U34" s="134">
        <v>0</v>
      </c>
      <c r="V34" s="134">
        <v>9</v>
      </c>
      <c r="W34" s="134">
        <v>9</v>
      </c>
      <c r="X34" s="134">
        <v>3</v>
      </c>
      <c r="Y34" s="134">
        <v>355</v>
      </c>
      <c r="Z34" s="134">
        <v>358</v>
      </c>
      <c r="AA34" s="134">
        <v>2</v>
      </c>
      <c r="AB34" s="134">
        <v>140</v>
      </c>
      <c r="AC34" s="134">
        <v>142</v>
      </c>
      <c r="AD34" s="134">
        <v>2</v>
      </c>
      <c r="AE34" s="134">
        <v>114</v>
      </c>
      <c r="AF34" s="134">
        <v>116</v>
      </c>
      <c r="AG34" s="134">
        <v>0</v>
      </c>
      <c r="AH34" s="134">
        <v>8</v>
      </c>
      <c r="AI34" s="134">
        <v>8</v>
      </c>
      <c r="AJ34" s="134">
        <v>0</v>
      </c>
      <c r="AK34" s="134">
        <v>18</v>
      </c>
      <c r="AL34" s="134">
        <v>18</v>
      </c>
      <c r="AM34" s="134">
        <v>1</v>
      </c>
      <c r="AN34" s="134">
        <v>215</v>
      </c>
      <c r="AO34" s="134">
        <v>216</v>
      </c>
      <c r="AP34" s="134">
        <v>224</v>
      </c>
      <c r="AQ34" s="134">
        <v>3595</v>
      </c>
      <c r="AR34" s="134">
        <v>3819</v>
      </c>
      <c r="AS34" s="134">
        <v>224</v>
      </c>
      <c r="AT34" s="134">
        <v>3596</v>
      </c>
      <c r="AU34" s="134">
        <v>3820</v>
      </c>
      <c r="AV34" s="134">
        <v>0</v>
      </c>
      <c r="AW34" s="134">
        <v>-1</v>
      </c>
      <c r="AX34" s="134">
        <v>-1</v>
      </c>
      <c r="AY34" s="134">
        <v>21</v>
      </c>
      <c r="AZ34" s="134">
        <v>343</v>
      </c>
      <c r="BA34" s="134">
        <v>364</v>
      </c>
      <c r="BB34" s="134">
        <v>4</v>
      </c>
      <c r="BC34" s="134">
        <v>0</v>
      </c>
      <c r="BD34" s="134">
        <v>0</v>
      </c>
      <c r="BE34" s="134">
        <v>206</v>
      </c>
      <c r="BF34" s="134">
        <v>0</v>
      </c>
      <c r="BG34" s="134">
        <v>0</v>
      </c>
      <c r="BH34" s="134">
        <v>4</v>
      </c>
      <c r="BI34" s="134">
        <v>206</v>
      </c>
      <c r="BJ34" s="134">
        <v>210</v>
      </c>
      <c r="BK34" s="134">
        <v>6</v>
      </c>
      <c r="BL34" s="134">
        <v>-6</v>
      </c>
      <c r="BM34" s="134">
        <v>0</v>
      </c>
      <c r="BN34" s="134">
        <v>5</v>
      </c>
      <c r="BO34" s="134">
        <v>15</v>
      </c>
      <c r="BP34" s="134">
        <v>20</v>
      </c>
      <c r="BQ34" s="134">
        <v>1</v>
      </c>
      <c r="BR34" s="134">
        <v>52</v>
      </c>
      <c r="BS34" s="134">
        <v>53</v>
      </c>
      <c r="BT34" s="134">
        <v>5</v>
      </c>
      <c r="BU34" s="134">
        <v>76</v>
      </c>
      <c r="BV34" s="134">
        <v>81</v>
      </c>
      <c r="BW34" s="134">
        <v>245</v>
      </c>
      <c r="BX34" s="134">
        <v>3938</v>
      </c>
      <c r="BY34" s="134">
        <v>4183</v>
      </c>
      <c r="BZ34" s="134">
        <v>244</v>
      </c>
      <c r="CA34" s="134">
        <v>3927</v>
      </c>
      <c r="CB34" s="134">
        <v>4171</v>
      </c>
      <c r="CC34" s="134">
        <v>7179</v>
      </c>
      <c r="CD34" s="134">
        <v>1</v>
      </c>
      <c r="CE34" s="134">
        <v>10</v>
      </c>
      <c r="CF34" s="134">
        <v>1</v>
      </c>
      <c r="CG34" s="134">
        <v>10</v>
      </c>
      <c r="CH34" s="134">
        <v>11</v>
      </c>
      <c r="CI34" s="134">
        <v>1</v>
      </c>
      <c r="CJ34" s="134">
        <v>0</v>
      </c>
      <c r="CK34" s="134">
        <v>0</v>
      </c>
      <c r="CL34" s="134">
        <v>1</v>
      </c>
      <c r="CM34" s="134">
        <v>1</v>
      </c>
      <c r="CN34" s="134">
        <v>20</v>
      </c>
      <c r="CO34" s="134">
        <v>389</v>
      </c>
      <c r="CP34" s="134">
        <v>409</v>
      </c>
      <c r="CQ34" s="134">
        <v>0</v>
      </c>
      <c r="CR34" s="134">
        <v>4</v>
      </c>
      <c r="CS34" s="134">
        <v>4</v>
      </c>
      <c r="CT34" s="134">
        <v>225</v>
      </c>
      <c r="CU34" s="134">
        <v>3549</v>
      </c>
      <c r="CV34" s="134">
        <v>3774</v>
      </c>
      <c r="CW34" s="134">
        <v>17</v>
      </c>
      <c r="CX34" s="134">
        <v>170</v>
      </c>
      <c r="CY34" s="134">
        <v>187</v>
      </c>
      <c r="CZ34" s="134">
        <v>17</v>
      </c>
      <c r="DA34" s="134">
        <v>0</v>
      </c>
      <c r="DB34" s="134">
        <v>0</v>
      </c>
      <c r="DC34" s="134">
        <v>168</v>
      </c>
      <c r="DD34" s="134">
        <v>0</v>
      </c>
      <c r="DE34" s="134">
        <v>0</v>
      </c>
      <c r="DF34" s="134">
        <v>17</v>
      </c>
      <c r="DG34" s="134">
        <v>168</v>
      </c>
      <c r="DH34" s="134">
        <v>185</v>
      </c>
      <c r="DI34" s="134">
        <v>0</v>
      </c>
      <c r="DJ34" s="134">
        <v>0</v>
      </c>
      <c r="DK34" s="134">
        <v>0</v>
      </c>
      <c r="DL34" s="134">
        <v>2</v>
      </c>
      <c r="DM34" s="134">
        <v>0</v>
      </c>
      <c r="DN34" s="134">
        <v>0</v>
      </c>
      <c r="DO34" s="134">
        <v>0</v>
      </c>
      <c r="DP34" s="134">
        <v>2</v>
      </c>
      <c r="DQ34" s="134">
        <v>2</v>
      </c>
      <c r="DR34" s="134">
        <v>0</v>
      </c>
      <c r="DS34" s="134">
        <v>0</v>
      </c>
      <c r="DT34" s="135">
        <v>0</v>
      </c>
      <c r="DV34" s="136"/>
      <c r="DW34" s="137"/>
      <c r="DX34" s="136"/>
      <c r="DY34" s="136"/>
    </row>
    <row r="35" spans="1:129" s="116" customFormat="1">
      <c r="A35" s="133" t="s">
        <v>304</v>
      </c>
      <c r="B35" s="134">
        <v>7290</v>
      </c>
      <c r="C35" s="134">
        <v>1856</v>
      </c>
      <c r="D35" s="134">
        <v>6856</v>
      </c>
      <c r="E35" s="134">
        <v>4695</v>
      </c>
      <c r="F35" s="134">
        <v>4</v>
      </c>
      <c r="G35" s="134">
        <v>31</v>
      </c>
      <c r="H35" s="134">
        <v>35</v>
      </c>
      <c r="I35" s="134">
        <v>87</v>
      </c>
      <c r="J35" s="134">
        <v>1756</v>
      </c>
      <c r="K35" s="134">
        <v>1843</v>
      </c>
      <c r="L35" s="134">
        <v>44</v>
      </c>
      <c r="M35" s="134">
        <v>875</v>
      </c>
      <c r="N35" s="134">
        <v>919</v>
      </c>
      <c r="O35" s="134">
        <v>43</v>
      </c>
      <c r="P35" s="134">
        <v>881</v>
      </c>
      <c r="Q35" s="134">
        <v>924</v>
      </c>
      <c r="R35" s="134">
        <v>1</v>
      </c>
      <c r="S35" s="134">
        <v>85</v>
      </c>
      <c r="T35" s="134">
        <v>86</v>
      </c>
      <c r="U35" s="134">
        <v>50</v>
      </c>
      <c r="V35" s="134">
        <v>268</v>
      </c>
      <c r="W35" s="134">
        <v>318</v>
      </c>
      <c r="X35" s="134">
        <v>334</v>
      </c>
      <c r="Y35" s="134">
        <v>5509</v>
      </c>
      <c r="Z35" s="134">
        <v>5843</v>
      </c>
      <c r="AA35" s="134">
        <v>96</v>
      </c>
      <c r="AB35" s="134">
        <v>2170</v>
      </c>
      <c r="AC35" s="134">
        <v>2266</v>
      </c>
      <c r="AD35" s="134">
        <v>96</v>
      </c>
      <c r="AE35" s="134">
        <v>2168</v>
      </c>
      <c r="AF35" s="134">
        <v>2264</v>
      </c>
      <c r="AG35" s="134">
        <v>0</v>
      </c>
      <c r="AH35" s="134">
        <v>2</v>
      </c>
      <c r="AI35" s="134">
        <v>2</v>
      </c>
      <c r="AJ35" s="134">
        <v>0</v>
      </c>
      <c r="AK35" s="134">
        <v>0</v>
      </c>
      <c r="AL35" s="134">
        <v>0</v>
      </c>
      <c r="AM35" s="134">
        <v>238</v>
      </c>
      <c r="AN35" s="134">
        <v>3339</v>
      </c>
      <c r="AO35" s="134">
        <v>3577</v>
      </c>
      <c r="AP35" s="134">
        <v>8780</v>
      </c>
      <c r="AQ35" s="134">
        <v>97649</v>
      </c>
      <c r="AR35" s="134">
        <v>106429</v>
      </c>
      <c r="AS35" s="134">
        <v>8934</v>
      </c>
      <c r="AT35" s="134">
        <v>97464</v>
      </c>
      <c r="AU35" s="134">
        <v>106398</v>
      </c>
      <c r="AV35" s="134">
        <v>-154</v>
      </c>
      <c r="AW35" s="134">
        <v>185</v>
      </c>
      <c r="AX35" s="134">
        <v>31</v>
      </c>
      <c r="AY35" s="134">
        <v>494</v>
      </c>
      <c r="AZ35" s="134">
        <v>8655</v>
      </c>
      <c r="BA35" s="134">
        <v>9149</v>
      </c>
      <c r="BB35" s="134">
        <v>254</v>
      </c>
      <c r="BC35" s="134">
        <v>5</v>
      </c>
      <c r="BD35" s="134">
        <v>1</v>
      </c>
      <c r="BE35" s="134">
        <v>4300</v>
      </c>
      <c r="BF35" s="134">
        <v>83</v>
      </c>
      <c r="BG35" s="134">
        <v>52</v>
      </c>
      <c r="BH35" s="134">
        <v>260</v>
      </c>
      <c r="BI35" s="134">
        <v>4435</v>
      </c>
      <c r="BJ35" s="134">
        <v>4695</v>
      </c>
      <c r="BK35" s="134">
        <v>-93</v>
      </c>
      <c r="BL35" s="134">
        <v>93</v>
      </c>
      <c r="BM35" s="134">
        <v>0</v>
      </c>
      <c r="BN35" s="134">
        <v>13</v>
      </c>
      <c r="BO35" s="134">
        <v>76</v>
      </c>
      <c r="BP35" s="134">
        <v>89</v>
      </c>
      <c r="BQ35" s="134">
        <v>56</v>
      </c>
      <c r="BR35" s="134">
        <v>929</v>
      </c>
      <c r="BS35" s="134">
        <v>985</v>
      </c>
      <c r="BT35" s="134">
        <v>258</v>
      </c>
      <c r="BU35" s="134">
        <v>3122</v>
      </c>
      <c r="BV35" s="134">
        <v>3380</v>
      </c>
      <c r="BW35" s="134">
        <v>9274</v>
      </c>
      <c r="BX35" s="134">
        <v>106304</v>
      </c>
      <c r="BY35" s="134">
        <v>115578</v>
      </c>
      <c r="BZ35" s="134">
        <v>9098</v>
      </c>
      <c r="CA35" s="134">
        <v>103272</v>
      </c>
      <c r="CB35" s="134">
        <v>112370</v>
      </c>
      <c r="CC35" s="134">
        <v>233695</v>
      </c>
      <c r="CD35" s="134">
        <v>252</v>
      </c>
      <c r="CE35" s="134">
        <v>2864</v>
      </c>
      <c r="CF35" s="134">
        <v>174</v>
      </c>
      <c r="CG35" s="134">
        <v>1997</v>
      </c>
      <c r="CH35" s="134">
        <v>2171</v>
      </c>
      <c r="CI35" s="134">
        <v>1409</v>
      </c>
      <c r="CJ35" s="134">
        <v>20</v>
      </c>
      <c r="CK35" s="134">
        <v>2</v>
      </c>
      <c r="CL35" s="134">
        <v>1035</v>
      </c>
      <c r="CM35" s="134">
        <v>1037</v>
      </c>
      <c r="CN35" s="134">
        <v>507</v>
      </c>
      <c r="CO35" s="134">
        <v>9021</v>
      </c>
      <c r="CP35" s="134">
        <v>9528</v>
      </c>
      <c r="CQ35" s="134">
        <v>0</v>
      </c>
      <c r="CR35" s="134">
        <v>0</v>
      </c>
      <c r="CS35" s="134">
        <v>0</v>
      </c>
      <c r="CT35" s="134">
        <v>8767</v>
      </c>
      <c r="CU35" s="134">
        <v>97283</v>
      </c>
      <c r="CV35" s="134">
        <v>106050</v>
      </c>
      <c r="CW35" s="134">
        <v>612</v>
      </c>
      <c r="CX35" s="134">
        <v>5395</v>
      </c>
      <c r="CY35" s="134">
        <v>6007</v>
      </c>
      <c r="CZ35" s="134">
        <v>584</v>
      </c>
      <c r="DA35" s="134">
        <v>10</v>
      </c>
      <c r="DB35" s="134">
        <v>0</v>
      </c>
      <c r="DC35" s="134">
        <v>4259</v>
      </c>
      <c r="DD35" s="134">
        <v>104</v>
      </c>
      <c r="DE35" s="134">
        <v>29</v>
      </c>
      <c r="DF35" s="134">
        <v>594</v>
      </c>
      <c r="DG35" s="134">
        <v>4392</v>
      </c>
      <c r="DH35" s="134">
        <v>4986</v>
      </c>
      <c r="DI35" s="134">
        <v>18</v>
      </c>
      <c r="DJ35" s="134">
        <v>0</v>
      </c>
      <c r="DK35" s="134">
        <v>0</v>
      </c>
      <c r="DL35" s="134">
        <v>974</v>
      </c>
      <c r="DM35" s="134">
        <v>19</v>
      </c>
      <c r="DN35" s="134">
        <v>10</v>
      </c>
      <c r="DO35" s="134">
        <v>18</v>
      </c>
      <c r="DP35" s="134">
        <v>1003</v>
      </c>
      <c r="DQ35" s="134">
        <v>1021</v>
      </c>
      <c r="DR35" s="134">
        <v>1</v>
      </c>
      <c r="DS35" s="134">
        <v>0</v>
      </c>
      <c r="DT35" s="135">
        <v>1</v>
      </c>
      <c r="DV35" s="136"/>
      <c r="DW35" s="137"/>
      <c r="DX35" s="136"/>
      <c r="DY35" s="136"/>
    </row>
    <row r="36" spans="1:129" s="116" customFormat="1">
      <c r="A36" s="133" t="s">
        <v>305</v>
      </c>
      <c r="B36" s="134">
        <v>695</v>
      </c>
      <c r="C36" s="134">
        <v>347</v>
      </c>
      <c r="D36" s="134">
        <v>642</v>
      </c>
      <c r="E36" s="134">
        <v>296</v>
      </c>
      <c r="F36" s="134">
        <v>0</v>
      </c>
      <c r="G36" s="134">
        <v>0</v>
      </c>
      <c r="H36" s="134">
        <v>0</v>
      </c>
      <c r="I36" s="134">
        <v>1</v>
      </c>
      <c r="J36" s="134">
        <v>327</v>
      </c>
      <c r="K36" s="134">
        <v>328</v>
      </c>
      <c r="L36" s="134">
        <v>0</v>
      </c>
      <c r="M36" s="134">
        <v>77</v>
      </c>
      <c r="N36" s="134">
        <v>77</v>
      </c>
      <c r="O36" s="134">
        <v>1</v>
      </c>
      <c r="P36" s="134">
        <v>250</v>
      </c>
      <c r="Q36" s="134">
        <v>251</v>
      </c>
      <c r="R36" s="134">
        <v>0</v>
      </c>
      <c r="S36" s="134">
        <v>29</v>
      </c>
      <c r="T36" s="134">
        <v>29</v>
      </c>
      <c r="U36" s="134">
        <v>0</v>
      </c>
      <c r="V36" s="134">
        <v>18</v>
      </c>
      <c r="W36" s="134">
        <v>18</v>
      </c>
      <c r="X36" s="134">
        <v>2</v>
      </c>
      <c r="Y36" s="134">
        <v>428</v>
      </c>
      <c r="Z36" s="134">
        <v>430</v>
      </c>
      <c r="AA36" s="134">
        <v>2</v>
      </c>
      <c r="AB36" s="134">
        <v>193</v>
      </c>
      <c r="AC36" s="134">
        <v>195</v>
      </c>
      <c r="AD36" s="134">
        <v>1</v>
      </c>
      <c r="AE36" s="134">
        <v>175</v>
      </c>
      <c r="AF36" s="134">
        <v>176</v>
      </c>
      <c r="AG36" s="134">
        <v>1</v>
      </c>
      <c r="AH36" s="134">
        <v>14</v>
      </c>
      <c r="AI36" s="134">
        <v>15</v>
      </c>
      <c r="AJ36" s="134">
        <v>0</v>
      </c>
      <c r="AK36" s="134">
        <v>4</v>
      </c>
      <c r="AL36" s="134">
        <v>4</v>
      </c>
      <c r="AM36" s="134">
        <v>0</v>
      </c>
      <c r="AN36" s="134">
        <v>235</v>
      </c>
      <c r="AO36" s="134">
        <v>235</v>
      </c>
      <c r="AP36" s="134">
        <v>600</v>
      </c>
      <c r="AQ36" s="134">
        <v>7408</v>
      </c>
      <c r="AR36" s="134">
        <v>8008</v>
      </c>
      <c r="AS36" s="134">
        <v>594</v>
      </c>
      <c r="AT36" s="134">
        <v>7220</v>
      </c>
      <c r="AU36" s="134">
        <v>7814</v>
      </c>
      <c r="AV36" s="134">
        <v>6</v>
      </c>
      <c r="AW36" s="134">
        <v>188</v>
      </c>
      <c r="AX36" s="134">
        <v>194</v>
      </c>
      <c r="AY36" s="134">
        <v>23</v>
      </c>
      <c r="AZ36" s="134">
        <v>637</v>
      </c>
      <c r="BA36" s="134">
        <v>660</v>
      </c>
      <c r="BB36" s="134">
        <v>10</v>
      </c>
      <c r="BC36" s="134">
        <v>0</v>
      </c>
      <c r="BD36" s="134">
        <v>0</v>
      </c>
      <c r="BE36" s="134">
        <v>281</v>
      </c>
      <c r="BF36" s="134">
        <v>3</v>
      </c>
      <c r="BG36" s="134">
        <v>2</v>
      </c>
      <c r="BH36" s="134">
        <v>10</v>
      </c>
      <c r="BI36" s="134">
        <v>286</v>
      </c>
      <c r="BJ36" s="134">
        <v>296</v>
      </c>
      <c r="BK36" s="134">
        <v>-25</v>
      </c>
      <c r="BL36" s="134">
        <v>25</v>
      </c>
      <c r="BM36" s="134">
        <v>0</v>
      </c>
      <c r="BN36" s="134">
        <v>8</v>
      </c>
      <c r="BO36" s="134">
        <v>21</v>
      </c>
      <c r="BP36" s="134">
        <v>29</v>
      </c>
      <c r="BQ36" s="134">
        <v>10</v>
      </c>
      <c r="BR36" s="134">
        <v>92</v>
      </c>
      <c r="BS36" s="134">
        <v>102</v>
      </c>
      <c r="BT36" s="134">
        <v>20</v>
      </c>
      <c r="BU36" s="134">
        <v>213</v>
      </c>
      <c r="BV36" s="134">
        <v>233</v>
      </c>
      <c r="BW36" s="134">
        <v>623</v>
      </c>
      <c r="BX36" s="134">
        <v>8045</v>
      </c>
      <c r="BY36" s="134">
        <v>8668</v>
      </c>
      <c r="BZ36" s="134">
        <v>610</v>
      </c>
      <c r="CA36" s="134">
        <v>7975</v>
      </c>
      <c r="CB36" s="134">
        <v>8585</v>
      </c>
      <c r="CC36" s="134">
        <v>15795</v>
      </c>
      <c r="CD36" s="134">
        <v>1</v>
      </c>
      <c r="CE36" s="134">
        <v>82</v>
      </c>
      <c r="CF36" s="134">
        <v>12</v>
      </c>
      <c r="CG36" s="134">
        <v>43</v>
      </c>
      <c r="CH36" s="134">
        <v>55</v>
      </c>
      <c r="CI36" s="134">
        <v>35</v>
      </c>
      <c r="CJ36" s="134">
        <v>7</v>
      </c>
      <c r="CK36" s="134">
        <v>1</v>
      </c>
      <c r="CL36" s="134">
        <v>27</v>
      </c>
      <c r="CM36" s="134">
        <v>28</v>
      </c>
      <c r="CN36" s="134">
        <v>53</v>
      </c>
      <c r="CO36" s="134">
        <v>798</v>
      </c>
      <c r="CP36" s="134">
        <v>851</v>
      </c>
      <c r="CQ36" s="134">
        <v>0</v>
      </c>
      <c r="CR36" s="134">
        <v>0</v>
      </c>
      <c r="CS36" s="134">
        <v>0</v>
      </c>
      <c r="CT36" s="134">
        <v>570</v>
      </c>
      <c r="CU36" s="134">
        <v>7247</v>
      </c>
      <c r="CV36" s="134">
        <v>7817</v>
      </c>
      <c r="CW36" s="134">
        <v>39</v>
      </c>
      <c r="CX36" s="134">
        <v>312</v>
      </c>
      <c r="CY36" s="134">
        <v>351</v>
      </c>
      <c r="CZ36" s="134">
        <v>38</v>
      </c>
      <c r="DA36" s="134">
        <v>0</v>
      </c>
      <c r="DB36" s="134">
        <v>0</v>
      </c>
      <c r="DC36" s="134">
        <v>301</v>
      </c>
      <c r="DD36" s="134">
        <v>1</v>
      </c>
      <c r="DE36" s="134">
        <v>1</v>
      </c>
      <c r="DF36" s="134">
        <v>38</v>
      </c>
      <c r="DG36" s="134">
        <v>303</v>
      </c>
      <c r="DH36" s="134">
        <v>341</v>
      </c>
      <c r="DI36" s="134">
        <v>1</v>
      </c>
      <c r="DJ36" s="134">
        <v>0</v>
      </c>
      <c r="DK36" s="134">
        <v>0</v>
      </c>
      <c r="DL36" s="134">
        <v>9</v>
      </c>
      <c r="DM36" s="134">
        <v>0</v>
      </c>
      <c r="DN36" s="134">
        <v>0</v>
      </c>
      <c r="DO36" s="134">
        <v>1</v>
      </c>
      <c r="DP36" s="134">
        <v>9</v>
      </c>
      <c r="DQ36" s="134">
        <v>10</v>
      </c>
      <c r="DR36" s="134">
        <v>0</v>
      </c>
      <c r="DS36" s="134">
        <v>0</v>
      </c>
      <c r="DT36" s="135">
        <v>0</v>
      </c>
      <c r="DV36" s="136"/>
      <c r="DW36" s="137"/>
      <c r="DX36" s="136"/>
      <c r="DY36" s="136"/>
    </row>
    <row r="37" spans="1:129" s="116" customFormat="1">
      <c r="A37" s="133" t="s">
        <v>306</v>
      </c>
      <c r="B37" s="134">
        <v>105</v>
      </c>
      <c r="C37" s="134">
        <v>19</v>
      </c>
      <c r="D37" s="134">
        <v>111</v>
      </c>
      <c r="E37" s="134">
        <v>74</v>
      </c>
      <c r="F37" s="134">
        <v>0</v>
      </c>
      <c r="G37" s="134">
        <v>2</v>
      </c>
      <c r="H37" s="134">
        <v>2</v>
      </c>
      <c r="I37" s="134">
        <v>0</v>
      </c>
      <c r="J37" s="134">
        <v>32</v>
      </c>
      <c r="K37" s="134">
        <v>32</v>
      </c>
      <c r="L37" s="134">
        <v>0</v>
      </c>
      <c r="M37" s="134">
        <v>13</v>
      </c>
      <c r="N37" s="134">
        <v>13</v>
      </c>
      <c r="O37" s="134">
        <v>0</v>
      </c>
      <c r="P37" s="134">
        <v>19</v>
      </c>
      <c r="Q37" s="134">
        <v>19</v>
      </c>
      <c r="R37" s="134">
        <v>0</v>
      </c>
      <c r="S37" s="134">
        <v>0</v>
      </c>
      <c r="T37" s="134">
        <v>0</v>
      </c>
      <c r="U37" s="134">
        <v>0</v>
      </c>
      <c r="V37" s="134">
        <v>5</v>
      </c>
      <c r="W37" s="134">
        <v>5</v>
      </c>
      <c r="X37" s="134">
        <v>1</v>
      </c>
      <c r="Y37" s="134">
        <v>110</v>
      </c>
      <c r="Z37" s="134">
        <v>111</v>
      </c>
      <c r="AA37" s="134">
        <v>0</v>
      </c>
      <c r="AB37" s="134">
        <v>52</v>
      </c>
      <c r="AC37" s="134">
        <v>52</v>
      </c>
      <c r="AD37" s="134">
        <v>0</v>
      </c>
      <c r="AE37" s="134">
        <v>52</v>
      </c>
      <c r="AF37" s="134">
        <v>52</v>
      </c>
      <c r="AG37" s="134">
        <v>0</v>
      </c>
      <c r="AH37" s="134">
        <v>0</v>
      </c>
      <c r="AI37" s="134">
        <v>0</v>
      </c>
      <c r="AJ37" s="134">
        <v>0</v>
      </c>
      <c r="AK37" s="134">
        <v>0</v>
      </c>
      <c r="AL37" s="134">
        <v>0</v>
      </c>
      <c r="AM37" s="134">
        <v>1</v>
      </c>
      <c r="AN37" s="134">
        <v>58</v>
      </c>
      <c r="AO37" s="134">
        <v>59</v>
      </c>
      <c r="AP37" s="134">
        <v>60</v>
      </c>
      <c r="AQ37" s="134">
        <v>989</v>
      </c>
      <c r="AR37" s="134">
        <v>1049</v>
      </c>
      <c r="AS37" s="134">
        <v>60</v>
      </c>
      <c r="AT37" s="134">
        <v>989</v>
      </c>
      <c r="AU37" s="134">
        <v>1049</v>
      </c>
      <c r="AV37" s="134">
        <v>0</v>
      </c>
      <c r="AW37" s="134">
        <v>0</v>
      </c>
      <c r="AX37" s="134">
        <v>0</v>
      </c>
      <c r="AY37" s="134">
        <v>7</v>
      </c>
      <c r="AZ37" s="134">
        <v>106</v>
      </c>
      <c r="BA37" s="134">
        <v>113</v>
      </c>
      <c r="BB37" s="134">
        <v>2</v>
      </c>
      <c r="BC37" s="134">
        <v>0</v>
      </c>
      <c r="BD37" s="134">
        <v>0</v>
      </c>
      <c r="BE37" s="134">
        <v>72</v>
      </c>
      <c r="BF37" s="134">
        <v>0</v>
      </c>
      <c r="BG37" s="134">
        <v>0</v>
      </c>
      <c r="BH37" s="134">
        <v>2</v>
      </c>
      <c r="BI37" s="134">
        <v>72</v>
      </c>
      <c r="BJ37" s="134">
        <v>74</v>
      </c>
      <c r="BK37" s="134">
        <v>5</v>
      </c>
      <c r="BL37" s="134">
        <v>-5</v>
      </c>
      <c r="BM37" s="134">
        <v>0</v>
      </c>
      <c r="BN37" s="134">
        <v>0</v>
      </c>
      <c r="BO37" s="134">
        <v>8</v>
      </c>
      <c r="BP37" s="134">
        <v>8</v>
      </c>
      <c r="BQ37" s="134">
        <v>0</v>
      </c>
      <c r="BR37" s="134">
        <v>11</v>
      </c>
      <c r="BS37" s="134">
        <v>11</v>
      </c>
      <c r="BT37" s="134">
        <v>0</v>
      </c>
      <c r="BU37" s="134">
        <v>20</v>
      </c>
      <c r="BV37" s="134">
        <v>20</v>
      </c>
      <c r="BW37" s="134">
        <v>67</v>
      </c>
      <c r="BX37" s="134">
        <v>1095</v>
      </c>
      <c r="BY37" s="134">
        <v>1162</v>
      </c>
      <c r="BZ37" s="134">
        <v>67</v>
      </c>
      <c r="CA37" s="134">
        <v>1094</v>
      </c>
      <c r="CB37" s="134">
        <v>1161</v>
      </c>
      <c r="CC37" s="134">
        <v>2068</v>
      </c>
      <c r="CD37" s="134">
        <v>0</v>
      </c>
      <c r="CE37" s="134">
        <v>1</v>
      </c>
      <c r="CF37" s="134">
        <v>0</v>
      </c>
      <c r="CG37" s="134">
        <v>1</v>
      </c>
      <c r="CH37" s="134">
        <v>1</v>
      </c>
      <c r="CI37" s="134">
        <v>0</v>
      </c>
      <c r="CJ37" s="134">
        <v>0</v>
      </c>
      <c r="CK37" s="134">
        <v>0</v>
      </c>
      <c r="CL37" s="134">
        <v>0</v>
      </c>
      <c r="CM37" s="134">
        <v>0</v>
      </c>
      <c r="CN37" s="134">
        <v>0</v>
      </c>
      <c r="CO37" s="134">
        <v>114</v>
      </c>
      <c r="CP37" s="134">
        <v>114</v>
      </c>
      <c r="CQ37" s="134">
        <v>0</v>
      </c>
      <c r="CR37" s="134">
        <v>0</v>
      </c>
      <c r="CS37" s="134">
        <v>0</v>
      </c>
      <c r="CT37" s="134">
        <v>67</v>
      </c>
      <c r="CU37" s="134">
        <v>981</v>
      </c>
      <c r="CV37" s="134">
        <v>1048</v>
      </c>
      <c r="CW37" s="134">
        <v>6</v>
      </c>
      <c r="CX37" s="134">
        <v>41</v>
      </c>
      <c r="CY37" s="134">
        <v>47</v>
      </c>
      <c r="CZ37" s="134">
        <v>6</v>
      </c>
      <c r="DA37" s="134">
        <v>0</v>
      </c>
      <c r="DB37" s="134">
        <v>0</v>
      </c>
      <c r="DC37" s="134">
        <v>41</v>
      </c>
      <c r="DD37" s="134">
        <v>0</v>
      </c>
      <c r="DE37" s="134">
        <v>0</v>
      </c>
      <c r="DF37" s="134">
        <v>6</v>
      </c>
      <c r="DG37" s="134">
        <v>41</v>
      </c>
      <c r="DH37" s="134">
        <v>47</v>
      </c>
      <c r="DI37" s="134">
        <v>0</v>
      </c>
      <c r="DJ37" s="134">
        <v>0</v>
      </c>
      <c r="DK37" s="134">
        <v>0</v>
      </c>
      <c r="DL37" s="134">
        <v>0</v>
      </c>
      <c r="DM37" s="134">
        <v>0</v>
      </c>
      <c r="DN37" s="134">
        <v>0</v>
      </c>
      <c r="DO37" s="134">
        <v>0</v>
      </c>
      <c r="DP37" s="134">
        <v>0</v>
      </c>
      <c r="DQ37" s="134">
        <v>0</v>
      </c>
      <c r="DR37" s="134">
        <v>0</v>
      </c>
      <c r="DS37" s="134">
        <v>0</v>
      </c>
      <c r="DT37" s="135">
        <v>0</v>
      </c>
      <c r="DV37" s="136"/>
      <c r="DW37" s="137"/>
      <c r="DX37" s="136"/>
      <c r="DY37" s="136"/>
    </row>
    <row r="38" spans="1:129" s="116" customFormat="1">
      <c r="A38" s="133" t="s">
        <v>307</v>
      </c>
      <c r="B38" s="134">
        <v>10305</v>
      </c>
      <c r="C38" s="134">
        <v>3027</v>
      </c>
      <c r="D38" s="134">
        <v>10529</v>
      </c>
      <c r="E38" s="134">
        <v>5804</v>
      </c>
      <c r="F38" s="134">
        <v>5</v>
      </c>
      <c r="G38" s="134">
        <v>63</v>
      </c>
      <c r="H38" s="134">
        <v>68</v>
      </c>
      <c r="I38" s="134">
        <v>2</v>
      </c>
      <c r="J38" s="134">
        <v>4336</v>
      </c>
      <c r="K38" s="134">
        <v>4338</v>
      </c>
      <c r="L38" s="134">
        <v>2</v>
      </c>
      <c r="M38" s="134">
        <v>1027</v>
      </c>
      <c r="N38" s="134">
        <v>1029</v>
      </c>
      <c r="O38" s="134">
        <v>0</v>
      </c>
      <c r="P38" s="134">
        <v>3309</v>
      </c>
      <c r="Q38" s="134">
        <v>3309</v>
      </c>
      <c r="R38" s="134">
        <v>0</v>
      </c>
      <c r="S38" s="134">
        <v>30</v>
      </c>
      <c r="T38" s="134">
        <v>30</v>
      </c>
      <c r="U38" s="134">
        <v>0</v>
      </c>
      <c r="V38" s="134">
        <v>387</v>
      </c>
      <c r="W38" s="134">
        <v>387</v>
      </c>
      <c r="X38" s="134">
        <v>282</v>
      </c>
      <c r="Y38" s="134">
        <v>10244</v>
      </c>
      <c r="Z38" s="134">
        <v>10526</v>
      </c>
      <c r="AA38" s="134">
        <v>202</v>
      </c>
      <c r="AB38" s="134">
        <v>3883</v>
      </c>
      <c r="AC38" s="134">
        <v>4085</v>
      </c>
      <c r="AD38" s="134">
        <v>189</v>
      </c>
      <c r="AE38" s="134">
        <v>3486</v>
      </c>
      <c r="AF38" s="134">
        <v>3675</v>
      </c>
      <c r="AG38" s="134">
        <v>6</v>
      </c>
      <c r="AH38" s="134">
        <v>246</v>
      </c>
      <c r="AI38" s="134">
        <v>252</v>
      </c>
      <c r="AJ38" s="134">
        <v>7</v>
      </c>
      <c r="AK38" s="134">
        <v>151</v>
      </c>
      <c r="AL38" s="134">
        <v>158</v>
      </c>
      <c r="AM38" s="134">
        <v>80</v>
      </c>
      <c r="AN38" s="134">
        <v>6361</v>
      </c>
      <c r="AO38" s="134">
        <v>6441</v>
      </c>
      <c r="AP38" s="134">
        <v>13592</v>
      </c>
      <c r="AQ38" s="134">
        <v>100577</v>
      </c>
      <c r="AR38" s="134">
        <v>114169</v>
      </c>
      <c r="AS38" s="134">
        <v>13592</v>
      </c>
      <c r="AT38" s="134">
        <v>100576</v>
      </c>
      <c r="AU38" s="134">
        <v>114168</v>
      </c>
      <c r="AV38" s="134">
        <v>0</v>
      </c>
      <c r="AW38" s="134">
        <v>1</v>
      </c>
      <c r="AX38" s="134">
        <v>1</v>
      </c>
      <c r="AY38" s="134">
        <v>781</v>
      </c>
      <c r="AZ38" s="134">
        <v>9476</v>
      </c>
      <c r="BA38" s="134">
        <v>10257</v>
      </c>
      <c r="BB38" s="134">
        <v>309</v>
      </c>
      <c r="BC38" s="134">
        <v>6</v>
      </c>
      <c r="BD38" s="134">
        <v>0</v>
      </c>
      <c r="BE38" s="134">
        <v>5444</v>
      </c>
      <c r="BF38" s="134">
        <v>38</v>
      </c>
      <c r="BG38" s="134">
        <v>7</v>
      </c>
      <c r="BH38" s="134">
        <v>315</v>
      </c>
      <c r="BI38" s="134">
        <v>5489</v>
      </c>
      <c r="BJ38" s="134">
        <v>5804</v>
      </c>
      <c r="BK38" s="134">
        <v>3</v>
      </c>
      <c r="BL38" s="134">
        <v>-3</v>
      </c>
      <c r="BM38" s="134">
        <v>0</v>
      </c>
      <c r="BN38" s="134">
        <v>65</v>
      </c>
      <c r="BO38" s="134">
        <v>252</v>
      </c>
      <c r="BP38" s="134">
        <v>317</v>
      </c>
      <c r="BQ38" s="134">
        <v>98</v>
      </c>
      <c r="BR38" s="134">
        <v>1672</v>
      </c>
      <c r="BS38" s="134">
        <v>1770</v>
      </c>
      <c r="BT38" s="134">
        <v>300</v>
      </c>
      <c r="BU38" s="134">
        <v>2066</v>
      </c>
      <c r="BV38" s="134">
        <v>2366</v>
      </c>
      <c r="BW38" s="134">
        <v>14373</v>
      </c>
      <c r="BX38" s="134">
        <v>110053</v>
      </c>
      <c r="BY38" s="134">
        <v>124426</v>
      </c>
      <c r="BZ38" s="134">
        <v>14263</v>
      </c>
      <c r="CA38" s="134">
        <v>109210</v>
      </c>
      <c r="CB38" s="134">
        <v>123473</v>
      </c>
      <c r="CC38" s="134">
        <v>272139</v>
      </c>
      <c r="CD38" s="134">
        <v>102</v>
      </c>
      <c r="CE38" s="134">
        <v>801</v>
      </c>
      <c r="CF38" s="134">
        <v>109</v>
      </c>
      <c r="CG38" s="134">
        <v>672</v>
      </c>
      <c r="CH38" s="134">
        <v>781</v>
      </c>
      <c r="CI38" s="134">
        <v>200</v>
      </c>
      <c r="CJ38" s="134">
        <v>18</v>
      </c>
      <c r="CK38" s="134">
        <v>1</v>
      </c>
      <c r="CL38" s="134">
        <v>171</v>
      </c>
      <c r="CM38" s="134">
        <v>172</v>
      </c>
      <c r="CN38" s="134">
        <v>732</v>
      </c>
      <c r="CO38" s="134">
        <v>9576</v>
      </c>
      <c r="CP38" s="134">
        <v>10308</v>
      </c>
      <c r="CQ38" s="134">
        <v>1</v>
      </c>
      <c r="CR38" s="134">
        <v>124</v>
      </c>
      <c r="CS38" s="134">
        <v>125</v>
      </c>
      <c r="CT38" s="134">
        <v>13641</v>
      </c>
      <c r="CU38" s="134">
        <v>100477</v>
      </c>
      <c r="CV38" s="134">
        <v>114118</v>
      </c>
      <c r="CW38" s="134">
        <v>811</v>
      </c>
      <c r="CX38" s="134">
        <v>4119</v>
      </c>
      <c r="CY38" s="134">
        <v>4930</v>
      </c>
      <c r="CZ38" s="134">
        <v>803</v>
      </c>
      <c r="DA38" s="134">
        <v>7</v>
      </c>
      <c r="DB38" s="134">
        <v>0</v>
      </c>
      <c r="DC38" s="134">
        <v>4043</v>
      </c>
      <c r="DD38" s="134">
        <v>31</v>
      </c>
      <c r="DE38" s="134">
        <v>5</v>
      </c>
      <c r="DF38" s="134">
        <v>810</v>
      </c>
      <c r="DG38" s="134">
        <v>4079</v>
      </c>
      <c r="DH38" s="134">
        <v>4889</v>
      </c>
      <c r="DI38" s="134">
        <v>1</v>
      </c>
      <c r="DJ38" s="134">
        <v>0</v>
      </c>
      <c r="DK38" s="134">
        <v>0</v>
      </c>
      <c r="DL38" s="134">
        <v>39</v>
      </c>
      <c r="DM38" s="134">
        <v>1</v>
      </c>
      <c r="DN38" s="134">
        <v>0</v>
      </c>
      <c r="DO38" s="134">
        <v>1</v>
      </c>
      <c r="DP38" s="134">
        <v>40</v>
      </c>
      <c r="DQ38" s="134">
        <v>41</v>
      </c>
      <c r="DR38" s="134">
        <v>0</v>
      </c>
      <c r="DS38" s="134">
        <v>0</v>
      </c>
      <c r="DT38" s="135">
        <v>0</v>
      </c>
      <c r="DV38" s="136"/>
      <c r="DW38" s="137"/>
      <c r="DX38" s="136"/>
      <c r="DY38" s="136"/>
    </row>
    <row r="39" spans="1:129" s="116" customFormat="1">
      <c r="A39" s="133" t="s">
        <v>308</v>
      </c>
      <c r="B39" s="134">
        <v>7748</v>
      </c>
      <c r="C39" s="134">
        <v>2294</v>
      </c>
      <c r="D39" s="134">
        <v>6048</v>
      </c>
      <c r="E39" s="134">
        <v>3727</v>
      </c>
      <c r="F39" s="134">
        <v>1</v>
      </c>
      <c r="G39" s="134">
        <v>16</v>
      </c>
      <c r="H39" s="134">
        <v>17</v>
      </c>
      <c r="I39" s="134">
        <v>2</v>
      </c>
      <c r="J39" s="134">
        <v>2130</v>
      </c>
      <c r="K39" s="134">
        <v>2132</v>
      </c>
      <c r="L39" s="134">
        <v>0</v>
      </c>
      <c r="M39" s="134">
        <v>647</v>
      </c>
      <c r="N39" s="134">
        <v>647</v>
      </c>
      <c r="O39" s="134">
        <v>2</v>
      </c>
      <c r="P39" s="134">
        <v>1483</v>
      </c>
      <c r="Q39" s="134">
        <v>1485</v>
      </c>
      <c r="R39" s="134">
        <v>0</v>
      </c>
      <c r="S39" s="134">
        <v>78</v>
      </c>
      <c r="T39" s="134">
        <v>78</v>
      </c>
      <c r="U39" s="134">
        <v>0</v>
      </c>
      <c r="V39" s="134">
        <v>189</v>
      </c>
      <c r="W39" s="134">
        <v>189</v>
      </c>
      <c r="X39" s="134">
        <v>274</v>
      </c>
      <c r="Y39" s="134">
        <v>5774</v>
      </c>
      <c r="Z39" s="134">
        <v>6048</v>
      </c>
      <c r="AA39" s="134">
        <v>117</v>
      </c>
      <c r="AB39" s="134">
        <v>1738</v>
      </c>
      <c r="AC39" s="134">
        <v>1855</v>
      </c>
      <c r="AD39" s="134">
        <v>116</v>
      </c>
      <c r="AE39" s="134">
        <v>1726</v>
      </c>
      <c r="AF39" s="134">
        <v>1842</v>
      </c>
      <c r="AG39" s="134">
        <v>1</v>
      </c>
      <c r="AH39" s="134">
        <v>11</v>
      </c>
      <c r="AI39" s="134">
        <v>12</v>
      </c>
      <c r="AJ39" s="134">
        <v>0</v>
      </c>
      <c r="AK39" s="134">
        <v>1</v>
      </c>
      <c r="AL39" s="134">
        <v>1</v>
      </c>
      <c r="AM39" s="134">
        <v>157</v>
      </c>
      <c r="AN39" s="134">
        <v>4036</v>
      </c>
      <c r="AO39" s="134">
        <v>4193</v>
      </c>
      <c r="AP39" s="134">
        <v>12748</v>
      </c>
      <c r="AQ39" s="134">
        <v>76672</v>
      </c>
      <c r="AR39" s="134">
        <v>89420</v>
      </c>
      <c r="AS39" s="134">
        <v>12633</v>
      </c>
      <c r="AT39" s="134">
        <v>77151</v>
      </c>
      <c r="AU39" s="134">
        <v>89784</v>
      </c>
      <c r="AV39" s="134">
        <v>115</v>
      </c>
      <c r="AW39" s="134">
        <v>-479</v>
      </c>
      <c r="AX39" s="134">
        <v>-364</v>
      </c>
      <c r="AY39" s="134">
        <v>785</v>
      </c>
      <c r="AZ39" s="134">
        <v>7910</v>
      </c>
      <c r="BA39" s="134">
        <v>8695</v>
      </c>
      <c r="BB39" s="134">
        <v>383</v>
      </c>
      <c r="BC39" s="134">
        <v>15</v>
      </c>
      <c r="BD39" s="134">
        <v>0</v>
      </c>
      <c r="BE39" s="134">
        <v>3247</v>
      </c>
      <c r="BF39" s="134">
        <v>49</v>
      </c>
      <c r="BG39" s="134">
        <v>33</v>
      </c>
      <c r="BH39" s="134">
        <v>398</v>
      </c>
      <c r="BI39" s="134">
        <v>3329</v>
      </c>
      <c r="BJ39" s="134">
        <v>3727</v>
      </c>
      <c r="BK39" s="134">
        <v>-298</v>
      </c>
      <c r="BL39" s="134">
        <v>298</v>
      </c>
      <c r="BM39" s="134">
        <v>0</v>
      </c>
      <c r="BN39" s="134">
        <v>13</v>
      </c>
      <c r="BO39" s="134">
        <v>92</v>
      </c>
      <c r="BP39" s="134">
        <v>105</v>
      </c>
      <c r="BQ39" s="134">
        <v>68</v>
      </c>
      <c r="BR39" s="134">
        <v>962</v>
      </c>
      <c r="BS39" s="134">
        <v>1030</v>
      </c>
      <c r="BT39" s="134">
        <v>604</v>
      </c>
      <c r="BU39" s="134">
        <v>3229</v>
      </c>
      <c r="BV39" s="134">
        <v>3833</v>
      </c>
      <c r="BW39" s="134">
        <v>13533</v>
      </c>
      <c r="BX39" s="134">
        <v>84582</v>
      </c>
      <c r="BY39" s="134">
        <v>98115</v>
      </c>
      <c r="BZ39" s="134">
        <v>13023</v>
      </c>
      <c r="CA39" s="134">
        <v>82944</v>
      </c>
      <c r="CB39" s="134">
        <v>95967</v>
      </c>
      <c r="CC39" s="134">
        <v>205180</v>
      </c>
      <c r="CD39" s="134">
        <v>128</v>
      </c>
      <c r="CE39" s="134">
        <v>2558</v>
      </c>
      <c r="CF39" s="134">
        <v>502</v>
      </c>
      <c r="CG39" s="134">
        <v>1127</v>
      </c>
      <c r="CH39" s="134">
        <v>1629</v>
      </c>
      <c r="CI39" s="134">
        <v>700</v>
      </c>
      <c r="CJ39" s="134">
        <v>18</v>
      </c>
      <c r="CK39" s="134">
        <v>8</v>
      </c>
      <c r="CL39" s="134">
        <v>511</v>
      </c>
      <c r="CM39" s="134">
        <v>519</v>
      </c>
      <c r="CN39" s="134">
        <v>1040</v>
      </c>
      <c r="CO39" s="134">
        <v>8409</v>
      </c>
      <c r="CP39" s="134">
        <v>9449</v>
      </c>
      <c r="CQ39" s="134">
        <v>0</v>
      </c>
      <c r="CR39" s="134">
        <v>0</v>
      </c>
      <c r="CS39" s="134">
        <v>0</v>
      </c>
      <c r="CT39" s="134">
        <v>12493</v>
      </c>
      <c r="CU39" s="134">
        <v>76173</v>
      </c>
      <c r="CV39" s="134">
        <v>88666</v>
      </c>
      <c r="CW39" s="134">
        <v>767</v>
      </c>
      <c r="CX39" s="134">
        <v>3512</v>
      </c>
      <c r="CY39" s="134">
        <v>4279</v>
      </c>
      <c r="CZ39" s="134">
        <v>684</v>
      </c>
      <c r="DA39" s="134">
        <v>37</v>
      </c>
      <c r="DB39" s="134">
        <v>0</v>
      </c>
      <c r="DC39" s="134">
        <v>3203</v>
      </c>
      <c r="DD39" s="134">
        <v>63</v>
      </c>
      <c r="DE39" s="134">
        <v>10</v>
      </c>
      <c r="DF39" s="134">
        <v>721</v>
      </c>
      <c r="DG39" s="134">
        <v>3276</v>
      </c>
      <c r="DH39" s="134">
        <v>3997</v>
      </c>
      <c r="DI39" s="134">
        <v>46</v>
      </c>
      <c r="DJ39" s="134">
        <v>0</v>
      </c>
      <c r="DK39" s="134">
        <v>0</v>
      </c>
      <c r="DL39" s="134">
        <v>230</v>
      </c>
      <c r="DM39" s="134">
        <v>6</v>
      </c>
      <c r="DN39" s="134">
        <v>0</v>
      </c>
      <c r="DO39" s="134">
        <v>46</v>
      </c>
      <c r="DP39" s="134">
        <v>236</v>
      </c>
      <c r="DQ39" s="134">
        <v>282</v>
      </c>
      <c r="DR39" s="134">
        <v>0</v>
      </c>
      <c r="DS39" s="134">
        <v>0</v>
      </c>
      <c r="DT39" s="135">
        <v>0</v>
      </c>
      <c r="DV39" s="136"/>
      <c r="DW39" s="137"/>
      <c r="DX39" s="136"/>
      <c r="DY39" s="136"/>
    </row>
    <row r="40" spans="1:129" s="116" customFormat="1">
      <c r="A40" s="133" t="s">
        <v>309</v>
      </c>
      <c r="B40" s="134">
        <v>178</v>
      </c>
      <c r="C40" s="134">
        <v>27</v>
      </c>
      <c r="D40" s="134">
        <v>196</v>
      </c>
      <c r="E40" s="134">
        <v>126</v>
      </c>
      <c r="F40" s="134">
        <v>2</v>
      </c>
      <c r="G40" s="134">
        <v>9</v>
      </c>
      <c r="H40" s="134">
        <v>11</v>
      </c>
      <c r="I40" s="134">
        <v>0</v>
      </c>
      <c r="J40" s="134">
        <v>62</v>
      </c>
      <c r="K40" s="134">
        <v>62</v>
      </c>
      <c r="L40" s="134">
        <v>0</v>
      </c>
      <c r="M40" s="134">
        <v>19</v>
      </c>
      <c r="N40" s="134">
        <v>19</v>
      </c>
      <c r="O40" s="134">
        <v>0</v>
      </c>
      <c r="P40" s="134">
        <v>43</v>
      </c>
      <c r="Q40" s="134">
        <v>43</v>
      </c>
      <c r="R40" s="134">
        <v>0</v>
      </c>
      <c r="S40" s="134">
        <v>1</v>
      </c>
      <c r="T40" s="134">
        <v>1</v>
      </c>
      <c r="U40" s="134">
        <v>0</v>
      </c>
      <c r="V40" s="134">
        <v>8</v>
      </c>
      <c r="W40" s="134">
        <v>8</v>
      </c>
      <c r="X40" s="134">
        <v>9</v>
      </c>
      <c r="Y40" s="134">
        <v>187</v>
      </c>
      <c r="Z40" s="134">
        <v>196</v>
      </c>
      <c r="AA40" s="134">
        <v>4</v>
      </c>
      <c r="AB40" s="134">
        <v>66</v>
      </c>
      <c r="AC40" s="134">
        <v>70</v>
      </c>
      <c r="AD40" s="134">
        <v>4</v>
      </c>
      <c r="AE40" s="134">
        <v>61</v>
      </c>
      <c r="AF40" s="134">
        <v>65</v>
      </c>
      <c r="AG40" s="134">
        <v>0</v>
      </c>
      <c r="AH40" s="134">
        <v>1</v>
      </c>
      <c r="AI40" s="134">
        <v>1</v>
      </c>
      <c r="AJ40" s="134">
        <v>0</v>
      </c>
      <c r="AK40" s="134">
        <v>4</v>
      </c>
      <c r="AL40" s="134">
        <v>4</v>
      </c>
      <c r="AM40" s="134">
        <v>5</v>
      </c>
      <c r="AN40" s="134">
        <v>121</v>
      </c>
      <c r="AO40" s="134">
        <v>126</v>
      </c>
      <c r="AP40" s="134">
        <v>218</v>
      </c>
      <c r="AQ40" s="134">
        <v>1735</v>
      </c>
      <c r="AR40" s="134">
        <v>1953</v>
      </c>
      <c r="AS40" s="134">
        <v>218</v>
      </c>
      <c r="AT40" s="134">
        <v>1736</v>
      </c>
      <c r="AU40" s="134">
        <v>1954</v>
      </c>
      <c r="AV40" s="134">
        <v>0</v>
      </c>
      <c r="AW40" s="134">
        <v>-1</v>
      </c>
      <c r="AX40" s="134">
        <v>-1</v>
      </c>
      <c r="AY40" s="134">
        <v>34</v>
      </c>
      <c r="AZ40" s="134">
        <v>176</v>
      </c>
      <c r="BA40" s="134">
        <v>210</v>
      </c>
      <c r="BB40" s="134">
        <v>11</v>
      </c>
      <c r="BC40" s="134">
        <v>0</v>
      </c>
      <c r="BD40" s="134">
        <v>0</v>
      </c>
      <c r="BE40" s="134">
        <v>112</v>
      </c>
      <c r="BF40" s="134">
        <v>2</v>
      </c>
      <c r="BG40" s="134">
        <v>1</v>
      </c>
      <c r="BH40" s="134">
        <v>11</v>
      </c>
      <c r="BI40" s="134">
        <v>115</v>
      </c>
      <c r="BJ40" s="134">
        <v>126</v>
      </c>
      <c r="BK40" s="134">
        <v>12</v>
      </c>
      <c r="BL40" s="134">
        <v>-12</v>
      </c>
      <c r="BM40" s="134">
        <v>0</v>
      </c>
      <c r="BN40" s="134">
        <v>2</v>
      </c>
      <c r="BO40" s="134">
        <v>13</v>
      </c>
      <c r="BP40" s="134">
        <v>15</v>
      </c>
      <c r="BQ40" s="134">
        <v>0</v>
      </c>
      <c r="BR40" s="134">
        <v>7</v>
      </c>
      <c r="BS40" s="134">
        <v>7</v>
      </c>
      <c r="BT40" s="134">
        <v>9</v>
      </c>
      <c r="BU40" s="134">
        <v>53</v>
      </c>
      <c r="BV40" s="134">
        <v>62</v>
      </c>
      <c r="BW40" s="134">
        <v>252</v>
      </c>
      <c r="BX40" s="134">
        <v>1911</v>
      </c>
      <c r="BY40" s="134">
        <v>2163</v>
      </c>
      <c r="BZ40" s="134">
        <v>250</v>
      </c>
      <c r="CA40" s="134">
        <v>1892</v>
      </c>
      <c r="CB40" s="134">
        <v>2142</v>
      </c>
      <c r="CC40" s="134">
        <v>4753</v>
      </c>
      <c r="CD40" s="134">
        <v>1</v>
      </c>
      <c r="CE40" s="134">
        <v>18</v>
      </c>
      <c r="CF40" s="134">
        <v>2</v>
      </c>
      <c r="CG40" s="134">
        <v>15</v>
      </c>
      <c r="CH40" s="134">
        <v>17</v>
      </c>
      <c r="CI40" s="134">
        <v>5</v>
      </c>
      <c r="CJ40" s="134">
        <v>0</v>
      </c>
      <c r="CK40" s="134">
        <v>0</v>
      </c>
      <c r="CL40" s="134">
        <v>4</v>
      </c>
      <c r="CM40" s="134">
        <v>4</v>
      </c>
      <c r="CN40" s="134">
        <v>23</v>
      </c>
      <c r="CO40" s="134">
        <v>171</v>
      </c>
      <c r="CP40" s="134">
        <v>194</v>
      </c>
      <c r="CQ40" s="134">
        <v>0</v>
      </c>
      <c r="CR40" s="134">
        <v>0</v>
      </c>
      <c r="CS40" s="134">
        <v>0</v>
      </c>
      <c r="CT40" s="134">
        <v>229</v>
      </c>
      <c r="CU40" s="134">
        <v>1740</v>
      </c>
      <c r="CV40" s="134">
        <v>1969</v>
      </c>
      <c r="CW40" s="134">
        <v>12</v>
      </c>
      <c r="CX40" s="134">
        <v>80</v>
      </c>
      <c r="CY40" s="134">
        <v>92</v>
      </c>
      <c r="CZ40" s="134">
        <v>12</v>
      </c>
      <c r="DA40" s="134">
        <v>0</v>
      </c>
      <c r="DB40" s="134">
        <v>0</v>
      </c>
      <c r="DC40" s="134">
        <v>78</v>
      </c>
      <c r="DD40" s="134">
        <v>2</v>
      </c>
      <c r="DE40" s="134">
        <v>0</v>
      </c>
      <c r="DF40" s="134">
        <v>12</v>
      </c>
      <c r="DG40" s="134">
        <v>80</v>
      </c>
      <c r="DH40" s="134">
        <v>92</v>
      </c>
      <c r="DI40" s="134">
        <v>0</v>
      </c>
      <c r="DJ40" s="134">
        <v>0</v>
      </c>
      <c r="DK40" s="134">
        <v>0</v>
      </c>
      <c r="DL40" s="134">
        <v>0</v>
      </c>
      <c r="DM40" s="134">
        <v>0</v>
      </c>
      <c r="DN40" s="134">
        <v>0</v>
      </c>
      <c r="DO40" s="134">
        <v>0</v>
      </c>
      <c r="DP40" s="134">
        <v>0</v>
      </c>
      <c r="DQ40" s="134">
        <v>0</v>
      </c>
      <c r="DR40" s="134">
        <v>0</v>
      </c>
      <c r="DS40" s="134">
        <v>0</v>
      </c>
      <c r="DT40" s="135">
        <v>0</v>
      </c>
      <c r="DV40" s="136"/>
      <c r="DW40" s="137"/>
      <c r="DX40" s="136"/>
      <c r="DY40" s="136"/>
    </row>
    <row r="41" spans="1:129" s="116" customFormat="1">
      <c r="A41" s="133" t="s">
        <v>310</v>
      </c>
      <c r="B41" s="134">
        <v>12202</v>
      </c>
      <c r="C41" s="134">
        <v>3564</v>
      </c>
      <c r="D41" s="134">
        <v>12316</v>
      </c>
      <c r="E41" s="134">
        <v>8383</v>
      </c>
      <c r="F41" s="134">
        <v>3</v>
      </c>
      <c r="G41" s="134">
        <v>51</v>
      </c>
      <c r="H41" s="134">
        <v>54</v>
      </c>
      <c r="I41" s="134">
        <v>3</v>
      </c>
      <c r="J41" s="134">
        <v>3580</v>
      </c>
      <c r="K41" s="134">
        <v>3583</v>
      </c>
      <c r="L41" s="134">
        <v>3</v>
      </c>
      <c r="M41" s="134">
        <v>1410</v>
      </c>
      <c r="N41" s="134">
        <v>1413</v>
      </c>
      <c r="O41" s="134">
        <v>0</v>
      </c>
      <c r="P41" s="134">
        <v>2170</v>
      </c>
      <c r="Q41" s="134">
        <v>2170</v>
      </c>
      <c r="R41" s="134">
        <v>0</v>
      </c>
      <c r="S41" s="134">
        <v>47</v>
      </c>
      <c r="T41" s="134">
        <v>47</v>
      </c>
      <c r="U41" s="134">
        <v>0</v>
      </c>
      <c r="V41" s="134">
        <v>350</v>
      </c>
      <c r="W41" s="134">
        <v>350</v>
      </c>
      <c r="X41" s="134">
        <v>368</v>
      </c>
      <c r="Y41" s="134">
        <v>11946</v>
      </c>
      <c r="Z41" s="134">
        <v>12314</v>
      </c>
      <c r="AA41" s="134">
        <v>253</v>
      </c>
      <c r="AB41" s="134">
        <v>5343</v>
      </c>
      <c r="AC41" s="134">
        <v>5596</v>
      </c>
      <c r="AD41" s="134">
        <v>234</v>
      </c>
      <c r="AE41" s="134">
        <v>5053</v>
      </c>
      <c r="AF41" s="134">
        <v>5287</v>
      </c>
      <c r="AG41" s="134">
        <v>16</v>
      </c>
      <c r="AH41" s="134">
        <v>183</v>
      </c>
      <c r="AI41" s="134">
        <v>199</v>
      </c>
      <c r="AJ41" s="134">
        <v>3</v>
      </c>
      <c r="AK41" s="134">
        <v>107</v>
      </c>
      <c r="AL41" s="134">
        <v>110</v>
      </c>
      <c r="AM41" s="134">
        <v>115</v>
      </c>
      <c r="AN41" s="134">
        <v>6603</v>
      </c>
      <c r="AO41" s="134">
        <v>6718</v>
      </c>
      <c r="AP41" s="134">
        <v>21129</v>
      </c>
      <c r="AQ41" s="134">
        <v>132996</v>
      </c>
      <c r="AR41" s="134">
        <v>154125</v>
      </c>
      <c r="AS41" s="134">
        <v>21129</v>
      </c>
      <c r="AT41" s="134">
        <v>132999</v>
      </c>
      <c r="AU41" s="134">
        <v>154128</v>
      </c>
      <c r="AV41" s="134">
        <v>0</v>
      </c>
      <c r="AW41" s="134">
        <v>-3</v>
      </c>
      <c r="AX41" s="134">
        <v>-3</v>
      </c>
      <c r="AY41" s="134">
        <v>1167</v>
      </c>
      <c r="AZ41" s="134">
        <v>12516</v>
      </c>
      <c r="BA41" s="134">
        <v>13683</v>
      </c>
      <c r="BB41" s="134">
        <v>424</v>
      </c>
      <c r="BC41" s="134">
        <v>9</v>
      </c>
      <c r="BD41" s="134">
        <v>0</v>
      </c>
      <c r="BE41" s="134">
        <v>7886</v>
      </c>
      <c r="BF41" s="134">
        <v>43</v>
      </c>
      <c r="BG41" s="134">
        <v>21</v>
      </c>
      <c r="BH41" s="134">
        <v>433</v>
      </c>
      <c r="BI41" s="134">
        <v>7950</v>
      </c>
      <c r="BJ41" s="134">
        <v>8383</v>
      </c>
      <c r="BK41" s="134">
        <v>-91</v>
      </c>
      <c r="BL41" s="134">
        <v>91</v>
      </c>
      <c r="BM41" s="134">
        <v>0</v>
      </c>
      <c r="BN41" s="134">
        <v>90</v>
      </c>
      <c r="BO41" s="134">
        <v>279</v>
      </c>
      <c r="BP41" s="134">
        <v>369</v>
      </c>
      <c r="BQ41" s="134">
        <v>74</v>
      </c>
      <c r="BR41" s="134">
        <v>1318</v>
      </c>
      <c r="BS41" s="134">
        <v>1392</v>
      </c>
      <c r="BT41" s="134">
        <v>661</v>
      </c>
      <c r="BU41" s="134">
        <v>2878</v>
      </c>
      <c r="BV41" s="134">
        <v>3539</v>
      </c>
      <c r="BW41" s="134">
        <v>22296</v>
      </c>
      <c r="BX41" s="134">
        <v>145512</v>
      </c>
      <c r="BY41" s="134">
        <v>167808</v>
      </c>
      <c r="BZ41" s="134">
        <v>22157</v>
      </c>
      <c r="CA41" s="134">
        <v>144336</v>
      </c>
      <c r="CB41" s="134">
        <v>166493</v>
      </c>
      <c r="CC41" s="134">
        <v>361873</v>
      </c>
      <c r="CD41" s="134">
        <v>103</v>
      </c>
      <c r="CE41" s="134">
        <v>1078</v>
      </c>
      <c r="CF41" s="134">
        <v>132</v>
      </c>
      <c r="CG41" s="134">
        <v>878</v>
      </c>
      <c r="CH41" s="134">
        <v>1010</v>
      </c>
      <c r="CI41" s="134">
        <v>354</v>
      </c>
      <c r="CJ41" s="134">
        <v>57</v>
      </c>
      <c r="CK41" s="134">
        <v>7</v>
      </c>
      <c r="CL41" s="134">
        <v>298</v>
      </c>
      <c r="CM41" s="134">
        <v>305</v>
      </c>
      <c r="CN41" s="134">
        <v>1291</v>
      </c>
      <c r="CO41" s="134">
        <v>12997</v>
      </c>
      <c r="CP41" s="134">
        <v>14288</v>
      </c>
      <c r="CQ41" s="134">
        <v>1</v>
      </c>
      <c r="CR41" s="134">
        <v>32</v>
      </c>
      <c r="CS41" s="134">
        <v>33</v>
      </c>
      <c r="CT41" s="134">
        <v>21005</v>
      </c>
      <c r="CU41" s="134">
        <v>132515</v>
      </c>
      <c r="CV41" s="134">
        <v>153520</v>
      </c>
      <c r="CW41" s="134">
        <v>1449</v>
      </c>
      <c r="CX41" s="134">
        <v>5449</v>
      </c>
      <c r="CY41" s="134">
        <v>6898</v>
      </c>
      <c r="CZ41" s="134">
        <v>1434</v>
      </c>
      <c r="DA41" s="134">
        <v>14</v>
      </c>
      <c r="DB41" s="134">
        <v>0</v>
      </c>
      <c r="DC41" s="134">
        <v>5359</v>
      </c>
      <c r="DD41" s="134">
        <v>42</v>
      </c>
      <c r="DE41" s="134">
        <v>8</v>
      </c>
      <c r="DF41" s="134">
        <v>1448</v>
      </c>
      <c r="DG41" s="134">
        <v>5409</v>
      </c>
      <c r="DH41" s="134">
        <v>6857</v>
      </c>
      <c r="DI41" s="134">
        <v>1</v>
      </c>
      <c r="DJ41" s="134">
        <v>0</v>
      </c>
      <c r="DK41" s="134">
        <v>0</v>
      </c>
      <c r="DL41" s="134">
        <v>40</v>
      </c>
      <c r="DM41" s="134">
        <v>0</v>
      </c>
      <c r="DN41" s="134">
        <v>0</v>
      </c>
      <c r="DO41" s="134">
        <v>1</v>
      </c>
      <c r="DP41" s="134">
        <v>40</v>
      </c>
      <c r="DQ41" s="134">
        <v>41</v>
      </c>
      <c r="DR41" s="134">
        <v>0</v>
      </c>
      <c r="DS41" s="134">
        <v>0</v>
      </c>
      <c r="DT41" s="135">
        <v>0</v>
      </c>
      <c r="DV41" s="136"/>
      <c r="DW41" s="137"/>
      <c r="DX41" s="136"/>
      <c r="DY41" s="136"/>
    </row>
    <row r="42" spans="1:129" s="116" customFormat="1">
      <c r="A42" s="133" t="s">
        <v>311</v>
      </c>
      <c r="B42" s="134">
        <v>13206</v>
      </c>
      <c r="C42" s="134">
        <v>5992</v>
      </c>
      <c r="D42" s="134">
        <v>12806</v>
      </c>
      <c r="E42" s="134">
        <v>6666</v>
      </c>
      <c r="F42" s="134">
        <v>11</v>
      </c>
      <c r="G42" s="134">
        <v>161</v>
      </c>
      <c r="H42" s="134">
        <v>172</v>
      </c>
      <c r="I42" s="134">
        <v>4</v>
      </c>
      <c r="J42" s="134">
        <v>5650</v>
      </c>
      <c r="K42" s="134">
        <v>5654</v>
      </c>
      <c r="L42" s="134">
        <v>4</v>
      </c>
      <c r="M42" s="134">
        <v>5645</v>
      </c>
      <c r="N42" s="134">
        <v>5649</v>
      </c>
      <c r="O42" s="134">
        <v>0</v>
      </c>
      <c r="P42" s="134">
        <v>5</v>
      </c>
      <c r="Q42" s="134">
        <v>5</v>
      </c>
      <c r="R42" s="134">
        <v>0</v>
      </c>
      <c r="S42" s="134">
        <v>731</v>
      </c>
      <c r="T42" s="134">
        <v>731</v>
      </c>
      <c r="U42" s="134">
        <v>0</v>
      </c>
      <c r="V42" s="134">
        <v>486</v>
      </c>
      <c r="W42" s="134">
        <v>486</v>
      </c>
      <c r="X42" s="134">
        <v>132</v>
      </c>
      <c r="Y42" s="134">
        <v>7764</v>
      </c>
      <c r="Z42" s="134">
        <v>7896</v>
      </c>
      <c r="AA42" s="134">
        <v>68</v>
      </c>
      <c r="AB42" s="134">
        <v>2496</v>
      </c>
      <c r="AC42" s="134">
        <v>2564</v>
      </c>
      <c r="AD42" s="134">
        <v>65</v>
      </c>
      <c r="AE42" s="134">
        <v>2386</v>
      </c>
      <c r="AF42" s="134">
        <v>2451</v>
      </c>
      <c r="AG42" s="134">
        <v>3</v>
      </c>
      <c r="AH42" s="134">
        <v>78</v>
      </c>
      <c r="AI42" s="134">
        <v>81</v>
      </c>
      <c r="AJ42" s="134">
        <v>0</v>
      </c>
      <c r="AK42" s="134">
        <v>32</v>
      </c>
      <c r="AL42" s="134">
        <v>32</v>
      </c>
      <c r="AM42" s="134">
        <v>64</v>
      </c>
      <c r="AN42" s="134">
        <v>5268</v>
      </c>
      <c r="AO42" s="134">
        <v>5332</v>
      </c>
      <c r="AP42" s="134">
        <v>10683</v>
      </c>
      <c r="AQ42" s="134">
        <v>112454</v>
      </c>
      <c r="AR42" s="134">
        <v>123137</v>
      </c>
      <c r="AS42" s="134">
        <v>10642</v>
      </c>
      <c r="AT42" s="134">
        <v>111741</v>
      </c>
      <c r="AU42" s="134">
        <v>122383</v>
      </c>
      <c r="AV42" s="134">
        <v>41</v>
      </c>
      <c r="AW42" s="134">
        <v>713</v>
      </c>
      <c r="AX42" s="134">
        <v>754</v>
      </c>
      <c r="AY42" s="134">
        <v>757</v>
      </c>
      <c r="AZ42" s="134">
        <v>10928</v>
      </c>
      <c r="BA42" s="134">
        <v>11685</v>
      </c>
      <c r="BB42" s="134">
        <v>218</v>
      </c>
      <c r="BC42" s="134">
        <v>6</v>
      </c>
      <c r="BD42" s="134">
        <v>2</v>
      </c>
      <c r="BE42" s="134">
        <v>6309</v>
      </c>
      <c r="BF42" s="134">
        <v>89</v>
      </c>
      <c r="BG42" s="134">
        <v>42</v>
      </c>
      <c r="BH42" s="134">
        <v>226</v>
      </c>
      <c r="BI42" s="134">
        <v>6440</v>
      </c>
      <c r="BJ42" s="134">
        <v>6666</v>
      </c>
      <c r="BK42" s="134">
        <v>19</v>
      </c>
      <c r="BL42" s="134">
        <v>-19</v>
      </c>
      <c r="BM42" s="134">
        <v>0</v>
      </c>
      <c r="BN42" s="134">
        <v>17</v>
      </c>
      <c r="BO42" s="134">
        <v>149</v>
      </c>
      <c r="BP42" s="134">
        <v>166</v>
      </c>
      <c r="BQ42" s="134">
        <v>16</v>
      </c>
      <c r="BR42" s="134">
        <v>344</v>
      </c>
      <c r="BS42" s="134">
        <v>360</v>
      </c>
      <c r="BT42" s="134">
        <v>479</v>
      </c>
      <c r="BU42" s="134">
        <v>4014</v>
      </c>
      <c r="BV42" s="134">
        <v>4493</v>
      </c>
      <c r="BW42" s="134">
        <v>11440</v>
      </c>
      <c r="BX42" s="134">
        <v>123382</v>
      </c>
      <c r="BY42" s="134">
        <v>134822</v>
      </c>
      <c r="BZ42" s="134">
        <v>11119</v>
      </c>
      <c r="CA42" s="134">
        <v>121130</v>
      </c>
      <c r="CB42" s="134">
        <v>132249</v>
      </c>
      <c r="CC42" s="134">
        <v>270313</v>
      </c>
      <c r="CD42" s="134">
        <v>238</v>
      </c>
      <c r="CE42" s="134">
        <v>2385</v>
      </c>
      <c r="CF42" s="134">
        <v>313</v>
      </c>
      <c r="CG42" s="134">
        <v>1642</v>
      </c>
      <c r="CH42" s="134">
        <v>1955</v>
      </c>
      <c r="CI42" s="134">
        <v>760</v>
      </c>
      <c r="CJ42" s="134">
        <v>32</v>
      </c>
      <c r="CK42" s="134">
        <v>8</v>
      </c>
      <c r="CL42" s="134">
        <v>610</v>
      </c>
      <c r="CM42" s="134">
        <v>618</v>
      </c>
      <c r="CN42" s="134">
        <v>727</v>
      </c>
      <c r="CO42" s="134">
        <v>10866</v>
      </c>
      <c r="CP42" s="134">
        <v>11593</v>
      </c>
      <c r="CQ42" s="134">
        <v>0</v>
      </c>
      <c r="CR42" s="134">
        <v>6</v>
      </c>
      <c r="CS42" s="134">
        <v>6</v>
      </c>
      <c r="CT42" s="134">
        <v>10713</v>
      </c>
      <c r="CU42" s="134">
        <v>112516</v>
      </c>
      <c r="CV42" s="134">
        <v>123229</v>
      </c>
      <c r="CW42" s="134">
        <v>777</v>
      </c>
      <c r="CX42" s="134">
        <v>5429</v>
      </c>
      <c r="CY42" s="134">
        <v>6206</v>
      </c>
      <c r="CZ42" s="134">
        <v>722</v>
      </c>
      <c r="DA42" s="134">
        <v>24</v>
      </c>
      <c r="DB42" s="134">
        <v>0</v>
      </c>
      <c r="DC42" s="134">
        <v>4826</v>
      </c>
      <c r="DD42" s="134">
        <v>98</v>
      </c>
      <c r="DE42" s="134">
        <v>27</v>
      </c>
      <c r="DF42" s="134">
        <v>746</v>
      </c>
      <c r="DG42" s="134">
        <v>4951</v>
      </c>
      <c r="DH42" s="134">
        <v>5697</v>
      </c>
      <c r="DI42" s="134">
        <v>29</v>
      </c>
      <c r="DJ42" s="134">
        <v>2</v>
      </c>
      <c r="DK42" s="134">
        <v>0</v>
      </c>
      <c r="DL42" s="134">
        <v>463</v>
      </c>
      <c r="DM42" s="134">
        <v>12</v>
      </c>
      <c r="DN42" s="134">
        <v>3</v>
      </c>
      <c r="DO42" s="134">
        <v>31</v>
      </c>
      <c r="DP42" s="134">
        <v>478</v>
      </c>
      <c r="DQ42" s="134">
        <v>509</v>
      </c>
      <c r="DR42" s="134">
        <v>0</v>
      </c>
      <c r="DS42" s="134">
        <v>0</v>
      </c>
      <c r="DT42" s="135">
        <v>0</v>
      </c>
      <c r="DV42" s="136"/>
      <c r="DW42" s="137"/>
      <c r="DX42" s="136"/>
      <c r="DY42" s="136"/>
    </row>
    <row r="43" spans="1:129" s="116" customFormat="1">
      <c r="A43" s="133" t="s">
        <v>312</v>
      </c>
      <c r="B43" s="134">
        <v>3226</v>
      </c>
      <c r="C43" s="134">
        <v>1286</v>
      </c>
      <c r="D43" s="134">
        <v>2747</v>
      </c>
      <c r="E43" s="134">
        <v>1497</v>
      </c>
      <c r="F43" s="134">
        <v>1</v>
      </c>
      <c r="G43" s="134">
        <v>37</v>
      </c>
      <c r="H43" s="134">
        <v>38</v>
      </c>
      <c r="I43" s="134">
        <v>1</v>
      </c>
      <c r="J43" s="134">
        <v>1093</v>
      </c>
      <c r="K43" s="134">
        <v>1094</v>
      </c>
      <c r="L43" s="134">
        <v>0</v>
      </c>
      <c r="M43" s="134">
        <v>282</v>
      </c>
      <c r="N43" s="134">
        <v>282</v>
      </c>
      <c r="O43" s="134">
        <v>1</v>
      </c>
      <c r="P43" s="134">
        <v>811</v>
      </c>
      <c r="Q43" s="134">
        <v>812</v>
      </c>
      <c r="R43" s="134">
        <v>0</v>
      </c>
      <c r="S43" s="134">
        <v>58</v>
      </c>
      <c r="T43" s="134">
        <v>58</v>
      </c>
      <c r="U43" s="134">
        <v>0</v>
      </c>
      <c r="V43" s="134">
        <v>156</v>
      </c>
      <c r="W43" s="134">
        <v>156</v>
      </c>
      <c r="X43" s="134">
        <v>40</v>
      </c>
      <c r="Y43" s="134">
        <v>1948</v>
      </c>
      <c r="Z43" s="134">
        <v>1988</v>
      </c>
      <c r="AA43" s="134">
        <v>20</v>
      </c>
      <c r="AB43" s="134">
        <v>667</v>
      </c>
      <c r="AC43" s="134">
        <v>687</v>
      </c>
      <c r="AD43" s="134">
        <v>19</v>
      </c>
      <c r="AE43" s="134">
        <v>578</v>
      </c>
      <c r="AF43" s="134">
        <v>597</v>
      </c>
      <c r="AG43" s="134">
        <v>0</v>
      </c>
      <c r="AH43" s="134">
        <v>59</v>
      </c>
      <c r="AI43" s="134">
        <v>59</v>
      </c>
      <c r="AJ43" s="134">
        <v>1</v>
      </c>
      <c r="AK43" s="134">
        <v>30</v>
      </c>
      <c r="AL43" s="134">
        <v>31</v>
      </c>
      <c r="AM43" s="134">
        <v>20</v>
      </c>
      <c r="AN43" s="134">
        <v>1281</v>
      </c>
      <c r="AO43" s="134">
        <v>1301</v>
      </c>
      <c r="AP43" s="134">
        <v>1950</v>
      </c>
      <c r="AQ43" s="134">
        <v>29180</v>
      </c>
      <c r="AR43" s="134">
        <v>31130</v>
      </c>
      <c r="AS43" s="134">
        <v>1918</v>
      </c>
      <c r="AT43" s="134">
        <v>29220</v>
      </c>
      <c r="AU43" s="134">
        <v>31138</v>
      </c>
      <c r="AV43" s="134">
        <v>32</v>
      </c>
      <c r="AW43" s="134">
        <v>-40</v>
      </c>
      <c r="AX43" s="134">
        <v>-8</v>
      </c>
      <c r="AY43" s="134">
        <v>119</v>
      </c>
      <c r="AZ43" s="134">
        <v>2743</v>
      </c>
      <c r="BA43" s="134">
        <v>2862</v>
      </c>
      <c r="BB43" s="134">
        <v>52</v>
      </c>
      <c r="BC43" s="134">
        <v>3</v>
      </c>
      <c r="BD43" s="134">
        <v>1</v>
      </c>
      <c r="BE43" s="134">
        <v>1362</v>
      </c>
      <c r="BF43" s="134">
        <v>43</v>
      </c>
      <c r="BG43" s="134">
        <v>36</v>
      </c>
      <c r="BH43" s="134">
        <v>56</v>
      </c>
      <c r="BI43" s="134">
        <v>1441</v>
      </c>
      <c r="BJ43" s="134">
        <v>1497</v>
      </c>
      <c r="BK43" s="134">
        <v>-29</v>
      </c>
      <c r="BL43" s="134">
        <v>29</v>
      </c>
      <c r="BM43" s="134">
        <v>0</v>
      </c>
      <c r="BN43" s="134">
        <v>7</v>
      </c>
      <c r="BO43" s="134">
        <v>57</v>
      </c>
      <c r="BP43" s="134">
        <v>64</v>
      </c>
      <c r="BQ43" s="134">
        <v>9</v>
      </c>
      <c r="BR43" s="134">
        <v>338</v>
      </c>
      <c r="BS43" s="134">
        <v>347</v>
      </c>
      <c r="BT43" s="134">
        <v>76</v>
      </c>
      <c r="BU43" s="134">
        <v>878</v>
      </c>
      <c r="BV43" s="134">
        <v>954</v>
      </c>
      <c r="BW43" s="134">
        <v>2069</v>
      </c>
      <c r="BX43" s="134">
        <v>31923</v>
      </c>
      <c r="BY43" s="134">
        <v>33992</v>
      </c>
      <c r="BZ43" s="134">
        <v>1922</v>
      </c>
      <c r="CA43" s="134">
        <v>30386</v>
      </c>
      <c r="CB43" s="134">
        <v>32308</v>
      </c>
      <c r="CC43" s="134">
        <v>49964</v>
      </c>
      <c r="CD43" s="134">
        <v>104</v>
      </c>
      <c r="CE43" s="134">
        <v>1069</v>
      </c>
      <c r="CF43" s="134">
        <v>132</v>
      </c>
      <c r="CG43" s="134">
        <v>723</v>
      </c>
      <c r="CH43" s="134">
        <v>855</v>
      </c>
      <c r="CI43" s="134">
        <v>1070</v>
      </c>
      <c r="CJ43" s="134">
        <v>43</v>
      </c>
      <c r="CK43" s="134">
        <v>15</v>
      </c>
      <c r="CL43" s="134">
        <v>814</v>
      </c>
      <c r="CM43" s="134">
        <v>829</v>
      </c>
      <c r="CN43" s="134">
        <v>169</v>
      </c>
      <c r="CO43" s="134">
        <v>2714</v>
      </c>
      <c r="CP43" s="134">
        <v>2883</v>
      </c>
      <c r="CQ43" s="134">
        <v>0</v>
      </c>
      <c r="CR43" s="134">
        <v>0</v>
      </c>
      <c r="CS43" s="134">
        <v>0</v>
      </c>
      <c r="CT43" s="134">
        <v>1900</v>
      </c>
      <c r="CU43" s="134">
        <v>29209</v>
      </c>
      <c r="CV43" s="134">
        <v>31109</v>
      </c>
      <c r="CW43" s="134">
        <v>115</v>
      </c>
      <c r="CX43" s="134">
        <v>1063</v>
      </c>
      <c r="CY43" s="134">
        <v>1178</v>
      </c>
      <c r="CZ43" s="134">
        <v>108</v>
      </c>
      <c r="DA43" s="134">
        <v>5</v>
      </c>
      <c r="DB43" s="134">
        <v>1</v>
      </c>
      <c r="DC43" s="134">
        <v>973</v>
      </c>
      <c r="DD43" s="134">
        <v>47</v>
      </c>
      <c r="DE43" s="134">
        <v>14</v>
      </c>
      <c r="DF43" s="134">
        <v>114</v>
      </c>
      <c r="DG43" s="134">
        <v>1034</v>
      </c>
      <c r="DH43" s="134">
        <v>1148</v>
      </c>
      <c r="DI43" s="134">
        <v>1</v>
      </c>
      <c r="DJ43" s="134">
        <v>0</v>
      </c>
      <c r="DK43" s="134">
        <v>0</v>
      </c>
      <c r="DL43" s="134">
        <v>29</v>
      </c>
      <c r="DM43" s="134">
        <v>0</v>
      </c>
      <c r="DN43" s="134">
        <v>0</v>
      </c>
      <c r="DO43" s="134">
        <v>1</v>
      </c>
      <c r="DP43" s="134">
        <v>29</v>
      </c>
      <c r="DQ43" s="134">
        <v>30</v>
      </c>
      <c r="DR43" s="134">
        <v>0</v>
      </c>
      <c r="DS43" s="134">
        <v>2</v>
      </c>
      <c r="DT43" s="135">
        <v>2</v>
      </c>
      <c r="DV43" s="136"/>
      <c r="DW43" s="137"/>
      <c r="DX43" s="136"/>
      <c r="DY43" s="136"/>
    </row>
    <row r="44" spans="1:129" s="116" customFormat="1">
      <c r="A44" s="133" t="s">
        <v>313</v>
      </c>
      <c r="B44" s="134">
        <v>3213</v>
      </c>
      <c r="C44" s="134">
        <v>1166</v>
      </c>
      <c r="D44" s="134">
        <v>3187</v>
      </c>
      <c r="E44" s="134">
        <v>1931</v>
      </c>
      <c r="F44" s="134">
        <v>1</v>
      </c>
      <c r="G44" s="134">
        <v>33</v>
      </c>
      <c r="H44" s="134">
        <v>34</v>
      </c>
      <c r="I44" s="134">
        <v>1</v>
      </c>
      <c r="J44" s="134">
        <v>1112</v>
      </c>
      <c r="K44" s="134">
        <v>1113</v>
      </c>
      <c r="L44" s="134">
        <v>1</v>
      </c>
      <c r="M44" s="134">
        <v>446</v>
      </c>
      <c r="N44" s="134">
        <v>447</v>
      </c>
      <c r="O44" s="134">
        <v>0</v>
      </c>
      <c r="P44" s="134">
        <v>666</v>
      </c>
      <c r="Q44" s="134">
        <v>666</v>
      </c>
      <c r="R44" s="134">
        <v>0</v>
      </c>
      <c r="S44" s="134">
        <v>20</v>
      </c>
      <c r="T44" s="134">
        <v>20</v>
      </c>
      <c r="U44" s="134">
        <v>0</v>
      </c>
      <c r="V44" s="134">
        <v>143</v>
      </c>
      <c r="W44" s="134">
        <v>143</v>
      </c>
      <c r="X44" s="134">
        <v>97</v>
      </c>
      <c r="Y44" s="134">
        <v>3087</v>
      </c>
      <c r="Z44" s="134">
        <v>3184</v>
      </c>
      <c r="AA44" s="134">
        <v>62</v>
      </c>
      <c r="AB44" s="134">
        <v>1186</v>
      </c>
      <c r="AC44" s="134">
        <v>1248</v>
      </c>
      <c r="AD44" s="134">
        <v>58</v>
      </c>
      <c r="AE44" s="134">
        <v>1091</v>
      </c>
      <c r="AF44" s="134">
        <v>1149</v>
      </c>
      <c r="AG44" s="134">
        <v>3</v>
      </c>
      <c r="AH44" s="134">
        <v>57</v>
      </c>
      <c r="AI44" s="134">
        <v>60</v>
      </c>
      <c r="AJ44" s="134">
        <v>1</v>
      </c>
      <c r="AK44" s="134">
        <v>38</v>
      </c>
      <c r="AL44" s="134">
        <v>39</v>
      </c>
      <c r="AM44" s="134">
        <v>35</v>
      </c>
      <c r="AN44" s="134">
        <v>1901</v>
      </c>
      <c r="AO44" s="134">
        <v>1936</v>
      </c>
      <c r="AP44" s="134">
        <v>6074</v>
      </c>
      <c r="AQ44" s="134">
        <v>38464</v>
      </c>
      <c r="AR44" s="134">
        <v>44538</v>
      </c>
      <c r="AS44" s="134">
        <v>6074</v>
      </c>
      <c r="AT44" s="134">
        <v>38465</v>
      </c>
      <c r="AU44" s="134">
        <v>44539</v>
      </c>
      <c r="AV44" s="134">
        <v>0</v>
      </c>
      <c r="AW44" s="134">
        <v>-1</v>
      </c>
      <c r="AX44" s="134">
        <v>-1</v>
      </c>
      <c r="AY44" s="134">
        <v>228</v>
      </c>
      <c r="AZ44" s="134">
        <v>3268</v>
      </c>
      <c r="BA44" s="134">
        <v>3496</v>
      </c>
      <c r="BB44" s="134">
        <v>131</v>
      </c>
      <c r="BC44" s="134">
        <v>7</v>
      </c>
      <c r="BD44" s="134">
        <v>0</v>
      </c>
      <c r="BE44" s="134">
        <v>1774</v>
      </c>
      <c r="BF44" s="134">
        <v>11</v>
      </c>
      <c r="BG44" s="134">
        <v>8</v>
      </c>
      <c r="BH44" s="134">
        <v>138</v>
      </c>
      <c r="BI44" s="134">
        <v>1793</v>
      </c>
      <c r="BJ44" s="134">
        <v>1931</v>
      </c>
      <c r="BK44" s="134">
        <v>-104</v>
      </c>
      <c r="BL44" s="134">
        <v>104</v>
      </c>
      <c r="BM44" s="134">
        <v>0</v>
      </c>
      <c r="BN44" s="134">
        <v>26</v>
      </c>
      <c r="BO44" s="134">
        <v>106</v>
      </c>
      <c r="BP44" s="134">
        <v>132</v>
      </c>
      <c r="BQ44" s="134">
        <v>37</v>
      </c>
      <c r="BR44" s="134">
        <v>544</v>
      </c>
      <c r="BS44" s="134">
        <v>581</v>
      </c>
      <c r="BT44" s="134">
        <v>131</v>
      </c>
      <c r="BU44" s="134">
        <v>721</v>
      </c>
      <c r="BV44" s="134">
        <v>852</v>
      </c>
      <c r="BW44" s="134">
        <v>6302</v>
      </c>
      <c r="BX44" s="134">
        <v>41732</v>
      </c>
      <c r="BY44" s="134">
        <v>48034</v>
      </c>
      <c r="BZ44" s="134">
        <v>6242</v>
      </c>
      <c r="CA44" s="134">
        <v>41205</v>
      </c>
      <c r="CB44" s="134">
        <v>47447</v>
      </c>
      <c r="CC44" s="134">
        <v>104943</v>
      </c>
      <c r="CD44" s="134">
        <v>38</v>
      </c>
      <c r="CE44" s="134">
        <v>541</v>
      </c>
      <c r="CF44" s="134">
        <v>58</v>
      </c>
      <c r="CG44" s="134">
        <v>400</v>
      </c>
      <c r="CH44" s="134">
        <v>458</v>
      </c>
      <c r="CI44" s="134">
        <v>157</v>
      </c>
      <c r="CJ44" s="134">
        <v>22</v>
      </c>
      <c r="CK44" s="134">
        <v>2</v>
      </c>
      <c r="CL44" s="134">
        <v>127</v>
      </c>
      <c r="CM44" s="134">
        <v>129</v>
      </c>
      <c r="CN44" s="134">
        <v>330</v>
      </c>
      <c r="CO44" s="134">
        <v>3477</v>
      </c>
      <c r="CP44" s="134">
        <v>3807</v>
      </c>
      <c r="CQ44" s="134">
        <v>0</v>
      </c>
      <c r="CR44" s="134">
        <v>2</v>
      </c>
      <c r="CS44" s="134">
        <v>2</v>
      </c>
      <c r="CT44" s="134">
        <v>5972</v>
      </c>
      <c r="CU44" s="134">
        <v>38255</v>
      </c>
      <c r="CV44" s="134">
        <v>44227</v>
      </c>
      <c r="CW44" s="134">
        <v>324</v>
      </c>
      <c r="CX44" s="134">
        <v>1669</v>
      </c>
      <c r="CY44" s="134">
        <v>1993</v>
      </c>
      <c r="CZ44" s="134">
        <v>318</v>
      </c>
      <c r="DA44" s="134">
        <v>4</v>
      </c>
      <c r="DB44" s="134">
        <v>0</v>
      </c>
      <c r="DC44" s="134">
        <v>1625</v>
      </c>
      <c r="DD44" s="134">
        <v>19</v>
      </c>
      <c r="DE44" s="134">
        <v>4</v>
      </c>
      <c r="DF44" s="134">
        <v>322</v>
      </c>
      <c r="DG44" s="134">
        <v>1648</v>
      </c>
      <c r="DH44" s="134">
        <v>1970</v>
      </c>
      <c r="DI44" s="134">
        <v>2</v>
      </c>
      <c r="DJ44" s="134">
        <v>0</v>
      </c>
      <c r="DK44" s="134">
        <v>0</v>
      </c>
      <c r="DL44" s="134">
        <v>20</v>
      </c>
      <c r="DM44" s="134">
        <v>1</v>
      </c>
      <c r="DN44" s="134">
        <v>0</v>
      </c>
      <c r="DO44" s="134">
        <v>2</v>
      </c>
      <c r="DP44" s="134">
        <v>21</v>
      </c>
      <c r="DQ44" s="134">
        <v>23</v>
      </c>
      <c r="DR44" s="134">
        <v>0</v>
      </c>
      <c r="DS44" s="134">
        <v>0</v>
      </c>
      <c r="DT44" s="135">
        <v>0</v>
      </c>
      <c r="DV44" s="136"/>
      <c r="DW44" s="137"/>
      <c r="DX44" s="136"/>
      <c r="DY44" s="136"/>
    </row>
    <row r="45" spans="1:129" s="116" customFormat="1">
      <c r="A45" s="133" t="s">
        <v>314</v>
      </c>
      <c r="B45" s="134">
        <v>837</v>
      </c>
      <c r="C45" s="134">
        <v>285</v>
      </c>
      <c r="D45" s="134">
        <v>743</v>
      </c>
      <c r="E45" s="134">
        <v>390</v>
      </c>
      <c r="F45" s="134">
        <v>1</v>
      </c>
      <c r="G45" s="134">
        <v>8</v>
      </c>
      <c r="H45" s="134">
        <v>9</v>
      </c>
      <c r="I45" s="134">
        <v>0</v>
      </c>
      <c r="J45" s="134">
        <v>222</v>
      </c>
      <c r="K45" s="134">
        <v>222</v>
      </c>
      <c r="L45" s="134">
        <v>0</v>
      </c>
      <c r="M45" s="134">
        <v>69</v>
      </c>
      <c r="N45" s="134">
        <v>69</v>
      </c>
      <c r="O45" s="134">
        <v>0</v>
      </c>
      <c r="P45" s="134">
        <v>153</v>
      </c>
      <c r="Q45" s="134">
        <v>153</v>
      </c>
      <c r="R45" s="134">
        <v>0</v>
      </c>
      <c r="S45" s="134">
        <v>10</v>
      </c>
      <c r="T45" s="134">
        <v>10</v>
      </c>
      <c r="U45" s="134">
        <v>0</v>
      </c>
      <c r="V45" s="134">
        <v>131</v>
      </c>
      <c r="W45" s="134">
        <v>131</v>
      </c>
      <c r="X45" s="134">
        <v>9</v>
      </c>
      <c r="Y45" s="134">
        <v>369</v>
      </c>
      <c r="Z45" s="134">
        <v>378</v>
      </c>
      <c r="AA45" s="134">
        <v>2</v>
      </c>
      <c r="AB45" s="134">
        <v>232</v>
      </c>
      <c r="AC45" s="134">
        <v>234</v>
      </c>
      <c r="AD45" s="134">
        <v>1</v>
      </c>
      <c r="AE45" s="134">
        <v>221</v>
      </c>
      <c r="AF45" s="134">
        <v>222</v>
      </c>
      <c r="AG45" s="134">
        <v>1</v>
      </c>
      <c r="AH45" s="134">
        <v>10</v>
      </c>
      <c r="AI45" s="134">
        <v>11</v>
      </c>
      <c r="AJ45" s="134">
        <v>0</v>
      </c>
      <c r="AK45" s="134">
        <v>1</v>
      </c>
      <c r="AL45" s="134">
        <v>1</v>
      </c>
      <c r="AM45" s="134">
        <v>7</v>
      </c>
      <c r="AN45" s="134">
        <v>137</v>
      </c>
      <c r="AO45" s="134">
        <v>144</v>
      </c>
      <c r="AP45" s="134">
        <v>740</v>
      </c>
      <c r="AQ45" s="134">
        <v>7775</v>
      </c>
      <c r="AR45" s="134">
        <v>8515</v>
      </c>
      <c r="AS45" s="134">
        <v>740</v>
      </c>
      <c r="AT45" s="134">
        <v>7775</v>
      </c>
      <c r="AU45" s="134">
        <v>8515</v>
      </c>
      <c r="AV45" s="134">
        <v>0</v>
      </c>
      <c r="AW45" s="134">
        <v>0</v>
      </c>
      <c r="AX45" s="134">
        <v>0</v>
      </c>
      <c r="AY45" s="134">
        <v>19</v>
      </c>
      <c r="AZ45" s="134">
        <v>889</v>
      </c>
      <c r="BA45" s="134">
        <v>908</v>
      </c>
      <c r="BB45" s="134">
        <v>18</v>
      </c>
      <c r="BC45" s="134">
        <v>0</v>
      </c>
      <c r="BD45" s="134">
        <v>0</v>
      </c>
      <c r="BE45" s="134">
        <v>370</v>
      </c>
      <c r="BF45" s="134">
        <v>1</v>
      </c>
      <c r="BG45" s="134">
        <v>1</v>
      </c>
      <c r="BH45" s="134">
        <v>18</v>
      </c>
      <c r="BI45" s="134">
        <v>372</v>
      </c>
      <c r="BJ45" s="134">
        <v>390</v>
      </c>
      <c r="BK45" s="134">
        <v>-8</v>
      </c>
      <c r="BL45" s="134">
        <v>8</v>
      </c>
      <c r="BM45" s="134">
        <v>0</v>
      </c>
      <c r="BN45" s="134">
        <v>5</v>
      </c>
      <c r="BO45" s="134">
        <v>14</v>
      </c>
      <c r="BP45" s="134">
        <v>19</v>
      </c>
      <c r="BQ45" s="134">
        <v>4</v>
      </c>
      <c r="BR45" s="134">
        <v>117</v>
      </c>
      <c r="BS45" s="134">
        <v>121</v>
      </c>
      <c r="BT45" s="134">
        <v>0</v>
      </c>
      <c r="BU45" s="134">
        <v>378</v>
      </c>
      <c r="BV45" s="134">
        <v>378</v>
      </c>
      <c r="BW45" s="134">
        <v>759</v>
      </c>
      <c r="BX45" s="134">
        <v>8664</v>
      </c>
      <c r="BY45" s="134">
        <v>9423</v>
      </c>
      <c r="BZ45" s="134">
        <v>753</v>
      </c>
      <c r="CA45" s="134">
        <v>8625</v>
      </c>
      <c r="CB45" s="134">
        <v>9378</v>
      </c>
      <c r="CC45" s="134">
        <v>16515</v>
      </c>
      <c r="CD45" s="134">
        <v>0</v>
      </c>
      <c r="CE45" s="134">
        <v>38</v>
      </c>
      <c r="CF45" s="134">
        <v>6</v>
      </c>
      <c r="CG45" s="134">
        <v>29</v>
      </c>
      <c r="CH45" s="134">
        <v>35</v>
      </c>
      <c r="CI45" s="134">
        <v>9</v>
      </c>
      <c r="CJ45" s="134">
        <v>2</v>
      </c>
      <c r="CK45" s="134">
        <v>0</v>
      </c>
      <c r="CL45" s="134">
        <v>10</v>
      </c>
      <c r="CM45" s="134">
        <v>10</v>
      </c>
      <c r="CN45" s="134">
        <v>61</v>
      </c>
      <c r="CO45" s="134">
        <v>840</v>
      </c>
      <c r="CP45" s="134">
        <v>901</v>
      </c>
      <c r="CQ45" s="134">
        <v>0</v>
      </c>
      <c r="CR45" s="134">
        <v>0</v>
      </c>
      <c r="CS45" s="134">
        <v>0</v>
      </c>
      <c r="CT45" s="134">
        <v>698</v>
      </c>
      <c r="CU45" s="134">
        <v>7824</v>
      </c>
      <c r="CV45" s="134">
        <v>8522</v>
      </c>
      <c r="CW45" s="134">
        <v>44</v>
      </c>
      <c r="CX45" s="134">
        <v>344</v>
      </c>
      <c r="CY45" s="134">
        <v>388</v>
      </c>
      <c r="CZ45" s="134">
        <v>44</v>
      </c>
      <c r="DA45" s="134">
        <v>0</v>
      </c>
      <c r="DB45" s="134">
        <v>0</v>
      </c>
      <c r="DC45" s="134">
        <v>301</v>
      </c>
      <c r="DD45" s="134">
        <v>0</v>
      </c>
      <c r="DE45" s="134">
        <v>0</v>
      </c>
      <c r="DF45" s="134">
        <v>44</v>
      </c>
      <c r="DG45" s="134">
        <v>301</v>
      </c>
      <c r="DH45" s="134">
        <v>345</v>
      </c>
      <c r="DI45" s="134">
        <v>0</v>
      </c>
      <c r="DJ45" s="134">
        <v>0</v>
      </c>
      <c r="DK45" s="134">
        <v>0</v>
      </c>
      <c r="DL45" s="134">
        <v>40</v>
      </c>
      <c r="DM45" s="134">
        <v>2</v>
      </c>
      <c r="DN45" s="134">
        <v>1</v>
      </c>
      <c r="DO45" s="134">
        <v>0</v>
      </c>
      <c r="DP45" s="134">
        <v>43</v>
      </c>
      <c r="DQ45" s="134">
        <v>43</v>
      </c>
      <c r="DR45" s="134">
        <v>0</v>
      </c>
      <c r="DS45" s="134">
        <v>0</v>
      </c>
      <c r="DT45" s="135">
        <v>0</v>
      </c>
      <c r="DV45" s="136"/>
      <c r="DW45" s="137"/>
      <c r="DX45" s="136"/>
      <c r="DY45" s="136"/>
    </row>
    <row r="46" spans="1:129" s="116" customFormat="1">
      <c r="A46" s="133" t="s">
        <v>315</v>
      </c>
      <c r="B46" s="134">
        <v>1229</v>
      </c>
      <c r="C46" s="134">
        <v>427</v>
      </c>
      <c r="D46" s="134">
        <v>1149</v>
      </c>
      <c r="E46" s="134">
        <v>535</v>
      </c>
      <c r="F46" s="134">
        <v>0</v>
      </c>
      <c r="G46" s="134">
        <v>3</v>
      </c>
      <c r="H46" s="134">
        <v>3</v>
      </c>
      <c r="I46" s="134">
        <v>0</v>
      </c>
      <c r="J46" s="134">
        <v>536</v>
      </c>
      <c r="K46" s="134">
        <v>536</v>
      </c>
      <c r="L46" s="134">
        <v>0</v>
      </c>
      <c r="M46" s="134">
        <v>179</v>
      </c>
      <c r="N46" s="134">
        <v>179</v>
      </c>
      <c r="O46" s="134">
        <v>0</v>
      </c>
      <c r="P46" s="134">
        <v>357</v>
      </c>
      <c r="Q46" s="134">
        <v>357</v>
      </c>
      <c r="R46" s="134">
        <v>0</v>
      </c>
      <c r="S46" s="134">
        <v>47</v>
      </c>
      <c r="T46" s="134">
        <v>47</v>
      </c>
      <c r="U46" s="134">
        <v>0</v>
      </c>
      <c r="V46" s="134">
        <v>78</v>
      </c>
      <c r="W46" s="134">
        <v>78</v>
      </c>
      <c r="X46" s="134">
        <v>15</v>
      </c>
      <c r="Y46" s="134">
        <v>853</v>
      </c>
      <c r="Z46" s="134">
        <v>868</v>
      </c>
      <c r="AA46" s="134">
        <v>7</v>
      </c>
      <c r="AB46" s="134">
        <v>326</v>
      </c>
      <c r="AC46" s="134">
        <v>333</v>
      </c>
      <c r="AD46" s="134">
        <v>4</v>
      </c>
      <c r="AE46" s="134">
        <v>288</v>
      </c>
      <c r="AF46" s="134">
        <v>292</v>
      </c>
      <c r="AG46" s="134">
        <v>2</v>
      </c>
      <c r="AH46" s="134">
        <v>25</v>
      </c>
      <c r="AI46" s="134">
        <v>27</v>
      </c>
      <c r="AJ46" s="134">
        <v>1</v>
      </c>
      <c r="AK46" s="134">
        <v>13</v>
      </c>
      <c r="AL46" s="134">
        <v>14</v>
      </c>
      <c r="AM46" s="134">
        <v>8</v>
      </c>
      <c r="AN46" s="134">
        <v>527</v>
      </c>
      <c r="AO46" s="134">
        <v>535</v>
      </c>
      <c r="AP46" s="134">
        <v>584</v>
      </c>
      <c r="AQ46" s="134">
        <v>11583</v>
      </c>
      <c r="AR46" s="134">
        <v>12167</v>
      </c>
      <c r="AS46" s="134">
        <v>614</v>
      </c>
      <c r="AT46" s="134">
        <v>11588</v>
      </c>
      <c r="AU46" s="134">
        <v>12202</v>
      </c>
      <c r="AV46" s="134">
        <v>-30</v>
      </c>
      <c r="AW46" s="134">
        <v>-5</v>
      </c>
      <c r="AX46" s="134">
        <v>-35</v>
      </c>
      <c r="AY46" s="134">
        <v>57</v>
      </c>
      <c r="AZ46" s="134">
        <v>1065</v>
      </c>
      <c r="BA46" s="134">
        <v>1122</v>
      </c>
      <c r="BB46" s="134">
        <v>7</v>
      </c>
      <c r="BC46" s="134">
        <v>0</v>
      </c>
      <c r="BD46" s="134">
        <v>0</v>
      </c>
      <c r="BE46" s="134">
        <v>507</v>
      </c>
      <c r="BF46" s="134">
        <v>17</v>
      </c>
      <c r="BG46" s="134">
        <v>4</v>
      </c>
      <c r="BH46" s="134">
        <v>7</v>
      </c>
      <c r="BI46" s="134">
        <v>528</v>
      </c>
      <c r="BJ46" s="134">
        <v>535</v>
      </c>
      <c r="BK46" s="134">
        <v>-4</v>
      </c>
      <c r="BL46" s="134">
        <v>4</v>
      </c>
      <c r="BM46" s="134">
        <v>0</v>
      </c>
      <c r="BN46" s="134">
        <v>27</v>
      </c>
      <c r="BO46" s="134">
        <v>28</v>
      </c>
      <c r="BP46" s="134">
        <v>55</v>
      </c>
      <c r="BQ46" s="134">
        <v>2</v>
      </c>
      <c r="BR46" s="134">
        <v>124</v>
      </c>
      <c r="BS46" s="134">
        <v>126</v>
      </c>
      <c r="BT46" s="134">
        <v>25</v>
      </c>
      <c r="BU46" s="134">
        <v>381</v>
      </c>
      <c r="BV46" s="134">
        <v>406</v>
      </c>
      <c r="BW46" s="134">
        <v>641</v>
      </c>
      <c r="BX46" s="134">
        <v>12648</v>
      </c>
      <c r="BY46" s="134">
        <v>13289</v>
      </c>
      <c r="BZ46" s="134">
        <v>624</v>
      </c>
      <c r="CA46" s="134">
        <v>12135</v>
      </c>
      <c r="CB46" s="134">
        <v>12759</v>
      </c>
      <c r="CC46" s="134">
        <v>24802</v>
      </c>
      <c r="CD46" s="134">
        <v>37</v>
      </c>
      <c r="CE46" s="134">
        <v>495</v>
      </c>
      <c r="CF46" s="134">
        <v>17</v>
      </c>
      <c r="CG46" s="134">
        <v>386</v>
      </c>
      <c r="CH46" s="134">
        <v>403</v>
      </c>
      <c r="CI46" s="134">
        <v>153</v>
      </c>
      <c r="CJ46" s="134">
        <v>16</v>
      </c>
      <c r="CK46" s="134">
        <v>0</v>
      </c>
      <c r="CL46" s="134">
        <v>127</v>
      </c>
      <c r="CM46" s="134">
        <v>127</v>
      </c>
      <c r="CN46" s="134">
        <v>39</v>
      </c>
      <c r="CO46" s="134">
        <v>1053</v>
      </c>
      <c r="CP46" s="134">
        <v>1092</v>
      </c>
      <c r="CQ46" s="134">
        <v>0</v>
      </c>
      <c r="CR46" s="134">
        <v>0</v>
      </c>
      <c r="CS46" s="134">
        <v>0</v>
      </c>
      <c r="CT46" s="134">
        <v>602</v>
      </c>
      <c r="CU46" s="134">
        <v>11595</v>
      </c>
      <c r="CV46" s="134">
        <v>12197</v>
      </c>
      <c r="CW46" s="134">
        <v>42</v>
      </c>
      <c r="CX46" s="134">
        <v>513</v>
      </c>
      <c r="CY46" s="134">
        <v>555</v>
      </c>
      <c r="CZ46" s="134">
        <v>41</v>
      </c>
      <c r="DA46" s="134">
        <v>0</v>
      </c>
      <c r="DB46" s="134">
        <v>0</v>
      </c>
      <c r="DC46" s="134">
        <v>484</v>
      </c>
      <c r="DD46" s="134">
        <v>14</v>
      </c>
      <c r="DE46" s="134">
        <v>2</v>
      </c>
      <c r="DF46" s="134">
        <v>41</v>
      </c>
      <c r="DG46" s="134">
        <v>500</v>
      </c>
      <c r="DH46" s="134">
        <v>541</v>
      </c>
      <c r="DI46" s="134">
        <v>1</v>
      </c>
      <c r="DJ46" s="134">
        <v>0</v>
      </c>
      <c r="DK46" s="134">
        <v>0</v>
      </c>
      <c r="DL46" s="134">
        <v>13</v>
      </c>
      <c r="DM46" s="134">
        <v>0</v>
      </c>
      <c r="DN46" s="134">
        <v>0</v>
      </c>
      <c r="DO46" s="134">
        <v>1</v>
      </c>
      <c r="DP46" s="134">
        <v>13</v>
      </c>
      <c r="DQ46" s="134">
        <v>14</v>
      </c>
      <c r="DR46" s="134">
        <v>0</v>
      </c>
      <c r="DS46" s="134">
        <v>0</v>
      </c>
      <c r="DT46" s="135">
        <v>0</v>
      </c>
      <c r="DV46" s="136"/>
      <c r="DW46" s="137"/>
      <c r="DX46" s="136"/>
      <c r="DY46" s="136"/>
    </row>
    <row r="47" spans="1:129" s="116" customFormat="1">
      <c r="A47" s="133" t="s">
        <v>316</v>
      </c>
      <c r="B47" s="134">
        <v>2453</v>
      </c>
      <c r="C47" s="134">
        <v>1304</v>
      </c>
      <c r="D47" s="134">
        <v>1921</v>
      </c>
      <c r="E47" s="134">
        <v>1269</v>
      </c>
      <c r="F47" s="134">
        <v>7</v>
      </c>
      <c r="G47" s="134">
        <v>64</v>
      </c>
      <c r="H47" s="134">
        <v>71</v>
      </c>
      <c r="I47" s="134">
        <v>0</v>
      </c>
      <c r="J47" s="134">
        <v>548</v>
      </c>
      <c r="K47" s="134">
        <v>548</v>
      </c>
      <c r="L47" s="134">
        <v>0</v>
      </c>
      <c r="M47" s="134">
        <v>204</v>
      </c>
      <c r="N47" s="134">
        <v>204</v>
      </c>
      <c r="O47" s="134">
        <v>0</v>
      </c>
      <c r="P47" s="134">
        <v>344</v>
      </c>
      <c r="Q47" s="134">
        <v>344</v>
      </c>
      <c r="R47" s="134">
        <v>0</v>
      </c>
      <c r="S47" s="134">
        <v>79</v>
      </c>
      <c r="T47" s="134">
        <v>79</v>
      </c>
      <c r="U47" s="134">
        <v>0</v>
      </c>
      <c r="V47" s="134">
        <v>104</v>
      </c>
      <c r="W47" s="134">
        <v>104</v>
      </c>
      <c r="X47" s="134">
        <v>29</v>
      </c>
      <c r="Y47" s="134">
        <v>684</v>
      </c>
      <c r="Z47" s="134">
        <v>713</v>
      </c>
      <c r="AA47" s="134">
        <v>23</v>
      </c>
      <c r="AB47" s="134">
        <v>300</v>
      </c>
      <c r="AC47" s="134">
        <v>323</v>
      </c>
      <c r="AD47" s="134">
        <v>22</v>
      </c>
      <c r="AE47" s="134">
        <v>265</v>
      </c>
      <c r="AF47" s="134">
        <v>287</v>
      </c>
      <c r="AG47" s="134">
        <v>1</v>
      </c>
      <c r="AH47" s="134">
        <v>24</v>
      </c>
      <c r="AI47" s="134">
        <v>25</v>
      </c>
      <c r="AJ47" s="134">
        <v>0</v>
      </c>
      <c r="AK47" s="134">
        <v>11</v>
      </c>
      <c r="AL47" s="134">
        <v>11</v>
      </c>
      <c r="AM47" s="134">
        <v>6</v>
      </c>
      <c r="AN47" s="134">
        <v>384</v>
      </c>
      <c r="AO47" s="134">
        <v>390</v>
      </c>
      <c r="AP47" s="134">
        <v>1648</v>
      </c>
      <c r="AQ47" s="134">
        <v>14721</v>
      </c>
      <c r="AR47" s="134">
        <v>16369</v>
      </c>
      <c r="AS47" s="134">
        <v>1676</v>
      </c>
      <c r="AT47" s="134">
        <v>14674</v>
      </c>
      <c r="AU47" s="134">
        <v>16350</v>
      </c>
      <c r="AV47" s="134">
        <v>-28</v>
      </c>
      <c r="AW47" s="134">
        <v>47</v>
      </c>
      <c r="AX47" s="134">
        <v>19</v>
      </c>
      <c r="AY47" s="134">
        <v>154</v>
      </c>
      <c r="AZ47" s="134">
        <v>1887</v>
      </c>
      <c r="BA47" s="134">
        <v>2041</v>
      </c>
      <c r="BB47" s="134">
        <v>84</v>
      </c>
      <c r="BC47" s="134">
        <v>1</v>
      </c>
      <c r="BD47" s="134">
        <v>0</v>
      </c>
      <c r="BE47" s="134">
        <v>1169</v>
      </c>
      <c r="BF47" s="134">
        <v>11</v>
      </c>
      <c r="BG47" s="134">
        <v>4</v>
      </c>
      <c r="BH47" s="134">
        <v>85</v>
      </c>
      <c r="BI47" s="134">
        <v>1184</v>
      </c>
      <c r="BJ47" s="134">
        <v>1269</v>
      </c>
      <c r="BK47" s="134">
        <v>-5</v>
      </c>
      <c r="BL47" s="134">
        <v>5</v>
      </c>
      <c r="BM47" s="134">
        <v>0</v>
      </c>
      <c r="BN47" s="134">
        <v>4</v>
      </c>
      <c r="BO47" s="134">
        <v>31</v>
      </c>
      <c r="BP47" s="134">
        <v>35</v>
      </c>
      <c r="BQ47" s="134">
        <v>5</v>
      </c>
      <c r="BR47" s="134">
        <v>167</v>
      </c>
      <c r="BS47" s="134">
        <v>172</v>
      </c>
      <c r="BT47" s="134">
        <v>65</v>
      </c>
      <c r="BU47" s="134">
        <v>500</v>
      </c>
      <c r="BV47" s="134">
        <v>565</v>
      </c>
      <c r="BW47" s="134">
        <v>1802</v>
      </c>
      <c r="BX47" s="134">
        <v>16608</v>
      </c>
      <c r="BY47" s="134">
        <v>18410</v>
      </c>
      <c r="BZ47" s="134">
        <v>1788</v>
      </c>
      <c r="CA47" s="134">
        <v>16429</v>
      </c>
      <c r="CB47" s="134">
        <v>18217</v>
      </c>
      <c r="CC47" s="134">
        <v>36409</v>
      </c>
      <c r="CD47" s="134">
        <v>14</v>
      </c>
      <c r="CE47" s="134">
        <v>132</v>
      </c>
      <c r="CF47" s="134">
        <v>14</v>
      </c>
      <c r="CG47" s="134">
        <v>124</v>
      </c>
      <c r="CH47" s="134">
        <v>138</v>
      </c>
      <c r="CI47" s="134">
        <v>0</v>
      </c>
      <c r="CJ47" s="134">
        <v>65</v>
      </c>
      <c r="CK47" s="134">
        <v>0</v>
      </c>
      <c r="CL47" s="134">
        <v>55</v>
      </c>
      <c r="CM47" s="134">
        <v>55</v>
      </c>
      <c r="CN47" s="134">
        <v>125</v>
      </c>
      <c r="CO47" s="134">
        <v>1577</v>
      </c>
      <c r="CP47" s="134">
        <v>1702</v>
      </c>
      <c r="CQ47" s="134">
        <v>0</v>
      </c>
      <c r="CR47" s="134">
        <v>0</v>
      </c>
      <c r="CS47" s="134">
        <v>0</v>
      </c>
      <c r="CT47" s="134">
        <v>1677</v>
      </c>
      <c r="CU47" s="134">
        <v>15031</v>
      </c>
      <c r="CV47" s="134">
        <v>16708</v>
      </c>
      <c r="CW47" s="134">
        <v>153</v>
      </c>
      <c r="CX47" s="134">
        <v>1006</v>
      </c>
      <c r="CY47" s="134">
        <v>1159</v>
      </c>
      <c r="CZ47" s="134">
        <v>147</v>
      </c>
      <c r="DA47" s="134">
        <v>0</v>
      </c>
      <c r="DB47" s="134">
        <v>0</v>
      </c>
      <c r="DC47" s="134">
        <v>946</v>
      </c>
      <c r="DD47" s="134">
        <v>3</v>
      </c>
      <c r="DE47" s="134">
        <v>5</v>
      </c>
      <c r="DF47" s="134">
        <v>147</v>
      </c>
      <c r="DG47" s="134">
        <v>954</v>
      </c>
      <c r="DH47" s="134">
        <v>1101</v>
      </c>
      <c r="DI47" s="134">
        <v>5</v>
      </c>
      <c r="DJ47" s="134">
        <v>1</v>
      </c>
      <c r="DK47" s="134">
        <v>0</v>
      </c>
      <c r="DL47" s="134">
        <v>49</v>
      </c>
      <c r="DM47" s="134">
        <v>3</v>
      </c>
      <c r="DN47" s="134">
        <v>0</v>
      </c>
      <c r="DO47" s="134">
        <v>6</v>
      </c>
      <c r="DP47" s="134">
        <v>52</v>
      </c>
      <c r="DQ47" s="134">
        <v>58</v>
      </c>
      <c r="DR47" s="134">
        <v>0</v>
      </c>
      <c r="DS47" s="134">
        <v>0</v>
      </c>
      <c r="DT47" s="135">
        <v>0</v>
      </c>
      <c r="DV47" s="136"/>
      <c r="DW47" s="137"/>
      <c r="DX47" s="136"/>
      <c r="DY47" s="136"/>
    </row>
    <row r="48" spans="1:129" s="137" customFormat="1">
      <c r="A48" s="133" t="s">
        <v>317</v>
      </c>
      <c r="B48" s="134">
        <v>3364</v>
      </c>
      <c r="C48" s="134">
        <v>1073</v>
      </c>
      <c r="D48" s="134">
        <v>3091</v>
      </c>
      <c r="E48" s="134">
        <v>1706</v>
      </c>
      <c r="F48" s="134">
        <v>2</v>
      </c>
      <c r="G48" s="134">
        <v>12</v>
      </c>
      <c r="H48" s="134">
        <v>14</v>
      </c>
      <c r="I48" s="134">
        <v>1</v>
      </c>
      <c r="J48" s="134">
        <v>1010</v>
      </c>
      <c r="K48" s="134">
        <v>1011</v>
      </c>
      <c r="L48" s="134">
        <v>0</v>
      </c>
      <c r="M48" s="134">
        <v>407</v>
      </c>
      <c r="N48" s="134">
        <v>407</v>
      </c>
      <c r="O48" s="134">
        <v>1</v>
      </c>
      <c r="P48" s="134">
        <v>603</v>
      </c>
      <c r="Q48" s="134">
        <v>604</v>
      </c>
      <c r="R48" s="134">
        <v>0</v>
      </c>
      <c r="S48" s="134">
        <v>25</v>
      </c>
      <c r="T48" s="134">
        <v>25</v>
      </c>
      <c r="U48" s="134">
        <v>0</v>
      </c>
      <c r="V48" s="134">
        <v>374</v>
      </c>
      <c r="W48" s="134">
        <v>374</v>
      </c>
      <c r="X48" s="134">
        <v>38</v>
      </c>
      <c r="Y48" s="134">
        <v>1528</v>
      </c>
      <c r="Z48" s="134">
        <v>1566</v>
      </c>
      <c r="AA48" s="134">
        <v>13</v>
      </c>
      <c r="AB48" s="134">
        <v>532</v>
      </c>
      <c r="AC48" s="134">
        <v>545</v>
      </c>
      <c r="AD48" s="134">
        <v>13</v>
      </c>
      <c r="AE48" s="134">
        <v>518</v>
      </c>
      <c r="AF48" s="134">
        <v>531</v>
      </c>
      <c r="AG48" s="134">
        <v>0</v>
      </c>
      <c r="AH48" s="134">
        <v>10</v>
      </c>
      <c r="AI48" s="134">
        <v>10</v>
      </c>
      <c r="AJ48" s="134">
        <v>0</v>
      </c>
      <c r="AK48" s="134">
        <v>4</v>
      </c>
      <c r="AL48" s="134">
        <v>4</v>
      </c>
      <c r="AM48" s="134">
        <v>25</v>
      </c>
      <c r="AN48" s="134">
        <v>996</v>
      </c>
      <c r="AO48" s="134">
        <v>1021</v>
      </c>
      <c r="AP48" s="134">
        <v>3476</v>
      </c>
      <c r="AQ48" s="134">
        <v>39664</v>
      </c>
      <c r="AR48" s="134">
        <v>43140</v>
      </c>
      <c r="AS48" s="134">
        <v>3519</v>
      </c>
      <c r="AT48" s="134">
        <v>39477</v>
      </c>
      <c r="AU48" s="134">
        <v>42996</v>
      </c>
      <c r="AV48" s="134">
        <v>-43</v>
      </c>
      <c r="AW48" s="134">
        <v>187</v>
      </c>
      <c r="AX48" s="134">
        <v>144</v>
      </c>
      <c r="AY48" s="134">
        <v>205</v>
      </c>
      <c r="AZ48" s="134">
        <v>3322</v>
      </c>
      <c r="BA48" s="134">
        <v>3527</v>
      </c>
      <c r="BB48" s="134">
        <v>117</v>
      </c>
      <c r="BC48" s="134">
        <v>5</v>
      </c>
      <c r="BD48" s="134">
        <v>0</v>
      </c>
      <c r="BE48" s="134">
        <v>1517</v>
      </c>
      <c r="BF48" s="134">
        <v>28</v>
      </c>
      <c r="BG48" s="134">
        <v>39</v>
      </c>
      <c r="BH48" s="134">
        <v>122</v>
      </c>
      <c r="BI48" s="134">
        <v>1584</v>
      </c>
      <c r="BJ48" s="134">
        <v>1706</v>
      </c>
      <c r="BK48" s="134">
        <v>-61</v>
      </c>
      <c r="BL48" s="134">
        <v>61</v>
      </c>
      <c r="BM48" s="134">
        <v>0</v>
      </c>
      <c r="BN48" s="134">
        <v>9</v>
      </c>
      <c r="BO48" s="134">
        <v>55</v>
      </c>
      <c r="BP48" s="134">
        <v>64</v>
      </c>
      <c r="BQ48" s="134">
        <v>9</v>
      </c>
      <c r="BR48" s="134">
        <v>112</v>
      </c>
      <c r="BS48" s="134">
        <v>121</v>
      </c>
      <c r="BT48" s="134">
        <v>126</v>
      </c>
      <c r="BU48" s="134">
        <v>1510</v>
      </c>
      <c r="BV48" s="134">
        <v>1636</v>
      </c>
      <c r="BW48" s="134">
        <v>3681</v>
      </c>
      <c r="BX48" s="134">
        <v>42986</v>
      </c>
      <c r="BY48" s="134">
        <v>46667</v>
      </c>
      <c r="BZ48" s="134">
        <v>3582</v>
      </c>
      <c r="CA48" s="134">
        <v>41731</v>
      </c>
      <c r="CB48" s="134">
        <v>45313</v>
      </c>
      <c r="CC48" s="134">
        <v>88364</v>
      </c>
      <c r="CD48" s="134">
        <v>89</v>
      </c>
      <c r="CE48" s="134">
        <v>954</v>
      </c>
      <c r="CF48" s="134">
        <v>95</v>
      </c>
      <c r="CG48" s="134">
        <v>717</v>
      </c>
      <c r="CH48" s="134">
        <v>812</v>
      </c>
      <c r="CI48" s="134">
        <v>717</v>
      </c>
      <c r="CJ48" s="134">
        <v>17</v>
      </c>
      <c r="CK48" s="134">
        <v>4</v>
      </c>
      <c r="CL48" s="134">
        <v>538</v>
      </c>
      <c r="CM48" s="134">
        <v>542</v>
      </c>
      <c r="CN48" s="134">
        <v>193</v>
      </c>
      <c r="CO48" s="134">
        <v>3333</v>
      </c>
      <c r="CP48" s="134">
        <v>3526</v>
      </c>
      <c r="CQ48" s="134">
        <v>0</v>
      </c>
      <c r="CR48" s="134">
        <v>0</v>
      </c>
      <c r="CS48" s="134">
        <v>0</v>
      </c>
      <c r="CT48" s="134">
        <v>3488</v>
      </c>
      <c r="CU48" s="134">
        <v>39653</v>
      </c>
      <c r="CV48" s="134">
        <v>43141</v>
      </c>
      <c r="CW48" s="134">
        <v>241</v>
      </c>
      <c r="CX48" s="134">
        <v>2352</v>
      </c>
      <c r="CY48" s="134">
        <v>2593</v>
      </c>
      <c r="CZ48" s="134">
        <v>213</v>
      </c>
      <c r="DA48" s="134">
        <v>10</v>
      </c>
      <c r="DB48" s="134">
        <v>0</v>
      </c>
      <c r="DC48" s="134">
        <v>1968</v>
      </c>
      <c r="DD48" s="134">
        <v>29</v>
      </c>
      <c r="DE48" s="134">
        <v>19</v>
      </c>
      <c r="DF48" s="134">
        <v>223</v>
      </c>
      <c r="DG48" s="134">
        <v>2016</v>
      </c>
      <c r="DH48" s="134">
        <v>2239</v>
      </c>
      <c r="DI48" s="134">
        <v>17</v>
      </c>
      <c r="DJ48" s="134">
        <v>1</v>
      </c>
      <c r="DK48" s="134">
        <v>0</v>
      </c>
      <c r="DL48" s="134">
        <v>316</v>
      </c>
      <c r="DM48" s="134">
        <v>14</v>
      </c>
      <c r="DN48" s="134">
        <v>6</v>
      </c>
      <c r="DO48" s="134">
        <v>18</v>
      </c>
      <c r="DP48" s="134">
        <v>336</v>
      </c>
      <c r="DQ48" s="134">
        <v>354</v>
      </c>
      <c r="DR48" s="134">
        <v>1</v>
      </c>
      <c r="DS48" s="134">
        <v>0</v>
      </c>
      <c r="DT48" s="135">
        <v>1</v>
      </c>
      <c r="DU48" s="116"/>
      <c r="DV48" s="136"/>
      <c r="DX48" s="136"/>
      <c r="DY48" s="136"/>
    </row>
    <row r="49" spans="1:129" s="137" customFormat="1">
      <c r="A49" s="133" t="s">
        <v>318</v>
      </c>
      <c r="B49" s="134">
        <v>1259</v>
      </c>
      <c r="C49" s="134">
        <v>645</v>
      </c>
      <c r="D49" s="134">
        <v>1045</v>
      </c>
      <c r="E49" s="134">
        <v>592</v>
      </c>
      <c r="F49" s="134">
        <v>3</v>
      </c>
      <c r="G49" s="134">
        <v>8</v>
      </c>
      <c r="H49" s="134">
        <v>11</v>
      </c>
      <c r="I49" s="134">
        <v>0</v>
      </c>
      <c r="J49" s="134">
        <v>377</v>
      </c>
      <c r="K49" s="134">
        <v>377</v>
      </c>
      <c r="L49" s="134">
        <v>0</v>
      </c>
      <c r="M49" s="134">
        <v>106</v>
      </c>
      <c r="N49" s="134">
        <v>106</v>
      </c>
      <c r="O49" s="134">
        <v>0</v>
      </c>
      <c r="P49" s="134">
        <v>271</v>
      </c>
      <c r="Q49" s="134">
        <v>271</v>
      </c>
      <c r="R49" s="134">
        <v>0</v>
      </c>
      <c r="S49" s="134">
        <v>53</v>
      </c>
      <c r="T49" s="134">
        <v>53</v>
      </c>
      <c r="U49" s="134">
        <v>0</v>
      </c>
      <c r="V49" s="134">
        <v>76</v>
      </c>
      <c r="W49" s="134">
        <v>76</v>
      </c>
      <c r="X49" s="134">
        <v>10</v>
      </c>
      <c r="Y49" s="134">
        <v>658</v>
      </c>
      <c r="Z49" s="134">
        <v>668</v>
      </c>
      <c r="AA49" s="134">
        <v>4</v>
      </c>
      <c r="AB49" s="134">
        <v>194</v>
      </c>
      <c r="AC49" s="134">
        <v>198</v>
      </c>
      <c r="AD49" s="134">
        <v>4</v>
      </c>
      <c r="AE49" s="134">
        <v>182</v>
      </c>
      <c r="AF49" s="134">
        <v>186</v>
      </c>
      <c r="AG49" s="134">
        <v>0</v>
      </c>
      <c r="AH49" s="134">
        <v>11</v>
      </c>
      <c r="AI49" s="134">
        <v>11</v>
      </c>
      <c r="AJ49" s="134">
        <v>0</v>
      </c>
      <c r="AK49" s="134">
        <v>1</v>
      </c>
      <c r="AL49" s="134">
        <v>1</v>
      </c>
      <c r="AM49" s="134">
        <v>6</v>
      </c>
      <c r="AN49" s="134">
        <v>464</v>
      </c>
      <c r="AO49" s="134">
        <v>470</v>
      </c>
      <c r="AP49" s="134">
        <v>892</v>
      </c>
      <c r="AQ49" s="134">
        <v>11773</v>
      </c>
      <c r="AR49" s="134">
        <v>12665</v>
      </c>
      <c r="AS49" s="134">
        <v>904</v>
      </c>
      <c r="AT49" s="134">
        <v>11607</v>
      </c>
      <c r="AU49" s="134">
        <v>12511</v>
      </c>
      <c r="AV49" s="134">
        <v>-12</v>
      </c>
      <c r="AW49" s="134">
        <v>166</v>
      </c>
      <c r="AX49" s="134">
        <v>154</v>
      </c>
      <c r="AY49" s="134">
        <v>59</v>
      </c>
      <c r="AZ49" s="134">
        <v>1258</v>
      </c>
      <c r="BA49" s="134">
        <v>1317</v>
      </c>
      <c r="BB49" s="134">
        <v>22</v>
      </c>
      <c r="BC49" s="134">
        <v>0</v>
      </c>
      <c r="BD49" s="134">
        <v>0</v>
      </c>
      <c r="BE49" s="134">
        <v>563</v>
      </c>
      <c r="BF49" s="134">
        <v>4</v>
      </c>
      <c r="BG49" s="134">
        <v>3</v>
      </c>
      <c r="BH49" s="134">
        <v>22</v>
      </c>
      <c r="BI49" s="134">
        <v>570</v>
      </c>
      <c r="BJ49" s="134">
        <v>592</v>
      </c>
      <c r="BK49" s="134">
        <v>-16</v>
      </c>
      <c r="BL49" s="134">
        <v>16</v>
      </c>
      <c r="BM49" s="134">
        <v>0</v>
      </c>
      <c r="BN49" s="134">
        <v>0</v>
      </c>
      <c r="BO49" s="134">
        <v>1</v>
      </c>
      <c r="BP49" s="134">
        <v>1</v>
      </c>
      <c r="BQ49" s="134">
        <v>0</v>
      </c>
      <c r="BR49" s="134">
        <v>0</v>
      </c>
      <c r="BS49" s="134">
        <v>0</v>
      </c>
      <c r="BT49" s="134">
        <v>53</v>
      </c>
      <c r="BU49" s="134">
        <v>671</v>
      </c>
      <c r="BV49" s="134">
        <v>724</v>
      </c>
      <c r="BW49" s="134">
        <v>951</v>
      </c>
      <c r="BX49" s="134">
        <v>13031</v>
      </c>
      <c r="BY49" s="134">
        <v>13982</v>
      </c>
      <c r="BZ49" s="134">
        <v>949</v>
      </c>
      <c r="CA49" s="134">
        <v>12980</v>
      </c>
      <c r="CB49" s="134">
        <v>13929</v>
      </c>
      <c r="CC49" s="134">
        <v>24525</v>
      </c>
      <c r="CD49" s="134">
        <v>0</v>
      </c>
      <c r="CE49" s="134">
        <v>51</v>
      </c>
      <c r="CF49" s="134">
        <v>2</v>
      </c>
      <c r="CG49" s="134">
        <v>41</v>
      </c>
      <c r="CH49" s="134">
        <v>43</v>
      </c>
      <c r="CI49" s="134">
        <v>0</v>
      </c>
      <c r="CJ49" s="134">
        <v>11</v>
      </c>
      <c r="CK49" s="134">
        <v>0</v>
      </c>
      <c r="CL49" s="134">
        <v>10</v>
      </c>
      <c r="CM49" s="134">
        <v>10</v>
      </c>
      <c r="CN49" s="134">
        <v>75</v>
      </c>
      <c r="CO49" s="134">
        <v>1472</v>
      </c>
      <c r="CP49" s="134">
        <v>1547</v>
      </c>
      <c r="CQ49" s="134">
        <v>0</v>
      </c>
      <c r="CR49" s="134">
        <v>0</v>
      </c>
      <c r="CS49" s="134">
        <v>0</v>
      </c>
      <c r="CT49" s="134">
        <v>876</v>
      </c>
      <c r="CU49" s="134">
        <v>11559</v>
      </c>
      <c r="CV49" s="134">
        <v>12435</v>
      </c>
      <c r="CW49" s="134">
        <v>80</v>
      </c>
      <c r="CX49" s="134">
        <v>691</v>
      </c>
      <c r="CY49" s="134">
        <v>771</v>
      </c>
      <c r="CZ49" s="134">
        <v>73</v>
      </c>
      <c r="DA49" s="134">
        <v>1</v>
      </c>
      <c r="DB49" s="134">
        <v>0</v>
      </c>
      <c r="DC49" s="134">
        <v>638</v>
      </c>
      <c r="DD49" s="134">
        <v>2</v>
      </c>
      <c r="DE49" s="134">
        <v>0</v>
      </c>
      <c r="DF49" s="134">
        <v>74</v>
      </c>
      <c r="DG49" s="134">
        <v>640</v>
      </c>
      <c r="DH49" s="134">
        <v>714</v>
      </c>
      <c r="DI49" s="134">
        <v>6</v>
      </c>
      <c r="DJ49" s="134">
        <v>0</v>
      </c>
      <c r="DK49" s="134">
        <v>0</v>
      </c>
      <c r="DL49" s="134">
        <v>50</v>
      </c>
      <c r="DM49" s="134">
        <v>1</v>
      </c>
      <c r="DN49" s="134">
        <v>0</v>
      </c>
      <c r="DO49" s="134">
        <v>6</v>
      </c>
      <c r="DP49" s="134">
        <v>51</v>
      </c>
      <c r="DQ49" s="134">
        <v>57</v>
      </c>
      <c r="DR49" s="134">
        <v>0</v>
      </c>
      <c r="DS49" s="134">
        <v>0</v>
      </c>
      <c r="DT49" s="135">
        <v>0</v>
      </c>
      <c r="DU49" s="116"/>
      <c r="DV49" s="136"/>
      <c r="DX49" s="136"/>
      <c r="DY49" s="136"/>
    </row>
    <row r="50" spans="1:129" s="137" customFormat="1">
      <c r="A50" s="133" t="s">
        <v>319</v>
      </c>
      <c r="B50" s="134">
        <v>1058</v>
      </c>
      <c r="C50" s="134">
        <v>237</v>
      </c>
      <c r="D50" s="134">
        <v>1118</v>
      </c>
      <c r="E50" s="134">
        <v>607</v>
      </c>
      <c r="F50" s="134">
        <v>5</v>
      </c>
      <c r="G50" s="134">
        <v>30</v>
      </c>
      <c r="H50" s="134">
        <v>35</v>
      </c>
      <c r="I50" s="134">
        <v>1</v>
      </c>
      <c r="J50" s="134">
        <v>479</v>
      </c>
      <c r="K50" s="134">
        <v>480</v>
      </c>
      <c r="L50" s="134">
        <v>1</v>
      </c>
      <c r="M50" s="134">
        <v>83</v>
      </c>
      <c r="N50" s="134">
        <v>84</v>
      </c>
      <c r="O50" s="134">
        <v>0</v>
      </c>
      <c r="P50" s="134">
        <v>396</v>
      </c>
      <c r="Q50" s="134">
        <v>396</v>
      </c>
      <c r="R50" s="134">
        <v>0</v>
      </c>
      <c r="S50" s="134">
        <v>18</v>
      </c>
      <c r="T50" s="134">
        <v>18</v>
      </c>
      <c r="U50" s="134">
        <v>0</v>
      </c>
      <c r="V50" s="134">
        <v>31</v>
      </c>
      <c r="W50" s="134">
        <v>31</v>
      </c>
      <c r="X50" s="134">
        <v>19</v>
      </c>
      <c r="Y50" s="134">
        <v>1099</v>
      </c>
      <c r="Z50" s="134">
        <v>1118</v>
      </c>
      <c r="AA50" s="134">
        <v>9</v>
      </c>
      <c r="AB50" s="134">
        <v>429</v>
      </c>
      <c r="AC50" s="134">
        <v>438</v>
      </c>
      <c r="AD50" s="134">
        <v>8</v>
      </c>
      <c r="AE50" s="134">
        <v>416</v>
      </c>
      <c r="AF50" s="134">
        <v>424</v>
      </c>
      <c r="AG50" s="134">
        <v>0</v>
      </c>
      <c r="AH50" s="134">
        <v>8</v>
      </c>
      <c r="AI50" s="134">
        <v>8</v>
      </c>
      <c r="AJ50" s="134">
        <v>1</v>
      </c>
      <c r="AK50" s="134">
        <v>5</v>
      </c>
      <c r="AL50" s="134">
        <v>6</v>
      </c>
      <c r="AM50" s="134">
        <v>10</v>
      </c>
      <c r="AN50" s="134">
        <v>670</v>
      </c>
      <c r="AO50" s="134">
        <v>680</v>
      </c>
      <c r="AP50" s="134">
        <v>1072</v>
      </c>
      <c r="AQ50" s="134">
        <v>10283</v>
      </c>
      <c r="AR50" s="134">
        <v>11355</v>
      </c>
      <c r="AS50" s="134">
        <v>1072</v>
      </c>
      <c r="AT50" s="134">
        <v>10285</v>
      </c>
      <c r="AU50" s="134">
        <v>11357</v>
      </c>
      <c r="AV50" s="134">
        <v>0</v>
      </c>
      <c r="AW50" s="134">
        <v>-2</v>
      </c>
      <c r="AX50" s="134">
        <v>-2</v>
      </c>
      <c r="AY50" s="134">
        <v>53</v>
      </c>
      <c r="AZ50" s="134">
        <v>1072</v>
      </c>
      <c r="BA50" s="134">
        <v>1125</v>
      </c>
      <c r="BB50" s="134">
        <v>24</v>
      </c>
      <c r="BC50" s="134">
        <v>0</v>
      </c>
      <c r="BD50" s="134">
        <v>0</v>
      </c>
      <c r="BE50" s="134">
        <v>583</v>
      </c>
      <c r="BF50" s="134">
        <v>0</v>
      </c>
      <c r="BG50" s="134">
        <v>0</v>
      </c>
      <c r="BH50" s="134">
        <v>24</v>
      </c>
      <c r="BI50" s="134">
        <v>583</v>
      </c>
      <c r="BJ50" s="134">
        <v>607</v>
      </c>
      <c r="BK50" s="134">
        <v>-5</v>
      </c>
      <c r="BL50" s="134">
        <v>5</v>
      </c>
      <c r="BM50" s="134">
        <v>0</v>
      </c>
      <c r="BN50" s="134">
        <v>9</v>
      </c>
      <c r="BO50" s="134">
        <v>34</v>
      </c>
      <c r="BP50" s="134">
        <v>43</v>
      </c>
      <c r="BQ50" s="134">
        <v>4</v>
      </c>
      <c r="BR50" s="134">
        <v>166</v>
      </c>
      <c r="BS50" s="134">
        <v>170</v>
      </c>
      <c r="BT50" s="134">
        <v>21</v>
      </c>
      <c r="BU50" s="134">
        <v>284</v>
      </c>
      <c r="BV50" s="134">
        <v>305</v>
      </c>
      <c r="BW50" s="134">
        <v>1125</v>
      </c>
      <c r="BX50" s="134">
        <v>11355</v>
      </c>
      <c r="BY50" s="134">
        <v>12480</v>
      </c>
      <c r="BZ50" s="134">
        <v>1124</v>
      </c>
      <c r="CA50" s="134">
        <v>11321</v>
      </c>
      <c r="CB50" s="134">
        <v>12445</v>
      </c>
      <c r="CC50" s="134">
        <v>23262</v>
      </c>
      <c r="CD50" s="134">
        <v>2</v>
      </c>
      <c r="CE50" s="134">
        <v>19</v>
      </c>
      <c r="CF50" s="134">
        <v>1</v>
      </c>
      <c r="CG50" s="134">
        <v>19</v>
      </c>
      <c r="CH50" s="134">
        <v>20</v>
      </c>
      <c r="CI50" s="134">
        <v>16</v>
      </c>
      <c r="CJ50" s="134">
        <v>3</v>
      </c>
      <c r="CK50" s="134">
        <v>0</v>
      </c>
      <c r="CL50" s="134">
        <v>15</v>
      </c>
      <c r="CM50" s="134">
        <v>15</v>
      </c>
      <c r="CN50" s="134">
        <v>71</v>
      </c>
      <c r="CO50" s="134">
        <v>1042</v>
      </c>
      <c r="CP50" s="134">
        <v>1113</v>
      </c>
      <c r="CQ50" s="134">
        <v>0</v>
      </c>
      <c r="CR50" s="134">
        <v>11</v>
      </c>
      <c r="CS50" s="134">
        <v>11</v>
      </c>
      <c r="CT50" s="134">
        <v>1054</v>
      </c>
      <c r="CU50" s="134">
        <v>10313</v>
      </c>
      <c r="CV50" s="134">
        <v>11367</v>
      </c>
      <c r="CW50" s="134">
        <v>55</v>
      </c>
      <c r="CX50" s="134">
        <v>405</v>
      </c>
      <c r="CY50" s="134">
        <v>460</v>
      </c>
      <c r="CZ50" s="134">
        <v>55</v>
      </c>
      <c r="DA50" s="134">
        <v>0</v>
      </c>
      <c r="DB50" s="134">
        <v>0</v>
      </c>
      <c r="DC50" s="134">
        <v>395</v>
      </c>
      <c r="DD50" s="134">
        <v>0</v>
      </c>
      <c r="DE50" s="134">
        <v>0</v>
      </c>
      <c r="DF50" s="134">
        <v>55</v>
      </c>
      <c r="DG50" s="134">
        <v>395</v>
      </c>
      <c r="DH50" s="134">
        <v>450</v>
      </c>
      <c r="DI50" s="134">
        <v>0</v>
      </c>
      <c r="DJ50" s="134">
        <v>0</v>
      </c>
      <c r="DK50" s="134">
        <v>0</v>
      </c>
      <c r="DL50" s="134">
        <v>10</v>
      </c>
      <c r="DM50" s="134">
        <v>0</v>
      </c>
      <c r="DN50" s="134">
        <v>0</v>
      </c>
      <c r="DO50" s="134">
        <v>0</v>
      </c>
      <c r="DP50" s="134">
        <v>10</v>
      </c>
      <c r="DQ50" s="134">
        <v>10</v>
      </c>
      <c r="DR50" s="134">
        <v>0</v>
      </c>
      <c r="DS50" s="134">
        <v>0</v>
      </c>
      <c r="DT50" s="135">
        <v>0</v>
      </c>
      <c r="DU50" s="116"/>
      <c r="DV50" s="136"/>
      <c r="DX50" s="136"/>
      <c r="DY50" s="136"/>
    </row>
    <row r="51" spans="1:129" s="137" customFormat="1">
      <c r="A51" s="133" t="s">
        <v>320</v>
      </c>
      <c r="B51" s="134">
        <v>8</v>
      </c>
      <c r="C51" s="134">
        <v>1</v>
      </c>
      <c r="D51" s="134">
        <v>10</v>
      </c>
      <c r="E51" s="134">
        <v>9</v>
      </c>
      <c r="F51" s="134">
        <v>0</v>
      </c>
      <c r="G51" s="134">
        <v>0</v>
      </c>
      <c r="H51" s="134">
        <v>0</v>
      </c>
      <c r="I51" s="134">
        <v>0</v>
      </c>
      <c r="J51" s="134">
        <v>1</v>
      </c>
      <c r="K51" s="134">
        <v>1</v>
      </c>
      <c r="L51" s="134">
        <v>0</v>
      </c>
      <c r="M51" s="134">
        <v>1</v>
      </c>
      <c r="N51" s="134">
        <v>1</v>
      </c>
      <c r="O51" s="134">
        <v>0</v>
      </c>
      <c r="P51" s="134">
        <v>0</v>
      </c>
      <c r="Q51" s="134">
        <v>0</v>
      </c>
      <c r="R51" s="134">
        <v>0</v>
      </c>
      <c r="S51" s="134">
        <v>0</v>
      </c>
      <c r="T51" s="134">
        <v>0</v>
      </c>
      <c r="U51" s="134">
        <v>0</v>
      </c>
      <c r="V51" s="134">
        <v>0</v>
      </c>
      <c r="W51" s="134">
        <v>0</v>
      </c>
      <c r="X51" s="134">
        <v>1</v>
      </c>
      <c r="Y51" s="134">
        <v>9</v>
      </c>
      <c r="Z51" s="134">
        <v>10</v>
      </c>
      <c r="AA51" s="134">
        <v>1</v>
      </c>
      <c r="AB51" s="134">
        <v>4</v>
      </c>
      <c r="AC51" s="134">
        <v>5</v>
      </c>
      <c r="AD51" s="134">
        <v>1</v>
      </c>
      <c r="AE51" s="134">
        <v>1</v>
      </c>
      <c r="AF51" s="134">
        <v>2</v>
      </c>
      <c r="AG51" s="134">
        <v>0</v>
      </c>
      <c r="AH51" s="134">
        <v>1</v>
      </c>
      <c r="AI51" s="134">
        <v>1</v>
      </c>
      <c r="AJ51" s="134">
        <v>0</v>
      </c>
      <c r="AK51" s="134">
        <v>2</v>
      </c>
      <c r="AL51" s="134">
        <v>2</v>
      </c>
      <c r="AM51" s="134">
        <v>0</v>
      </c>
      <c r="AN51" s="134">
        <v>5</v>
      </c>
      <c r="AO51" s="134">
        <v>5</v>
      </c>
      <c r="AP51" s="134">
        <v>8</v>
      </c>
      <c r="AQ51" s="134">
        <v>140</v>
      </c>
      <c r="AR51" s="134">
        <v>148</v>
      </c>
      <c r="AS51" s="134">
        <v>8</v>
      </c>
      <c r="AT51" s="134">
        <v>140</v>
      </c>
      <c r="AU51" s="134">
        <v>148</v>
      </c>
      <c r="AV51" s="134">
        <v>0</v>
      </c>
      <c r="AW51" s="134">
        <v>0</v>
      </c>
      <c r="AX51" s="134">
        <v>0</v>
      </c>
      <c r="AY51" s="134">
        <v>1</v>
      </c>
      <c r="AZ51" s="134">
        <v>12</v>
      </c>
      <c r="BA51" s="134">
        <v>13</v>
      </c>
      <c r="BB51" s="134">
        <v>1</v>
      </c>
      <c r="BC51" s="134">
        <v>0</v>
      </c>
      <c r="BD51" s="134">
        <v>0</v>
      </c>
      <c r="BE51" s="134">
        <v>8</v>
      </c>
      <c r="BF51" s="134">
        <v>0</v>
      </c>
      <c r="BG51" s="134">
        <v>0</v>
      </c>
      <c r="BH51" s="134">
        <v>1</v>
      </c>
      <c r="BI51" s="134">
        <v>8</v>
      </c>
      <c r="BJ51" s="134">
        <v>9</v>
      </c>
      <c r="BK51" s="134">
        <v>-1</v>
      </c>
      <c r="BL51" s="134">
        <v>1</v>
      </c>
      <c r="BM51" s="134">
        <v>0</v>
      </c>
      <c r="BN51" s="134">
        <v>1</v>
      </c>
      <c r="BO51" s="134">
        <v>0</v>
      </c>
      <c r="BP51" s="134">
        <v>1</v>
      </c>
      <c r="BQ51" s="134">
        <v>0</v>
      </c>
      <c r="BR51" s="134">
        <v>0</v>
      </c>
      <c r="BS51" s="134">
        <v>0</v>
      </c>
      <c r="BT51" s="134">
        <v>0</v>
      </c>
      <c r="BU51" s="134">
        <v>3</v>
      </c>
      <c r="BV51" s="134">
        <v>3</v>
      </c>
      <c r="BW51" s="134">
        <v>9</v>
      </c>
      <c r="BX51" s="134">
        <v>152</v>
      </c>
      <c r="BY51" s="134">
        <v>161</v>
      </c>
      <c r="BZ51" s="134">
        <v>8</v>
      </c>
      <c r="CA51" s="134">
        <v>152</v>
      </c>
      <c r="CB51" s="134">
        <v>160</v>
      </c>
      <c r="CC51" s="134">
        <v>277</v>
      </c>
      <c r="CD51" s="134">
        <v>0</v>
      </c>
      <c r="CE51" s="134">
        <v>1</v>
      </c>
      <c r="CF51" s="134">
        <v>1</v>
      </c>
      <c r="CG51" s="134">
        <v>0</v>
      </c>
      <c r="CH51" s="134">
        <v>1</v>
      </c>
      <c r="CI51" s="134">
        <v>0</v>
      </c>
      <c r="CJ51" s="134">
        <v>0</v>
      </c>
      <c r="CK51" s="134">
        <v>0</v>
      </c>
      <c r="CL51" s="134">
        <v>0</v>
      </c>
      <c r="CM51" s="134">
        <v>0</v>
      </c>
      <c r="CN51" s="134">
        <v>1</v>
      </c>
      <c r="CO51" s="134">
        <v>11</v>
      </c>
      <c r="CP51" s="134">
        <v>12</v>
      </c>
      <c r="CQ51" s="134">
        <v>0</v>
      </c>
      <c r="CR51" s="134">
        <v>0</v>
      </c>
      <c r="CS51" s="134">
        <v>0</v>
      </c>
      <c r="CT51" s="134">
        <v>8</v>
      </c>
      <c r="CU51" s="134">
        <v>141</v>
      </c>
      <c r="CV51" s="134">
        <v>149</v>
      </c>
      <c r="CW51" s="134">
        <v>1</v>
      </c>
      <c r="CX51" s="134">
        <v>7</v>
      </c>
      <c r="CY51" s="134">
        <v>8</v>
      </c>
      <c r="CZ51" s="134">
        <v>1</v>
      </c>
      <c r="DA51" s="134">
        <v>0</v>
      </c>
      <c r="DB51" s="134">
        <v>0</v>
      </c>
      <c r="DC51" s="134">
        <v>7</v>
      </c>
      <c r="DD51" s="134">
        <v>0</v>
      </c>
      <c r="DE51" s="134">
        <v>0</v>
      </c>
      <c r="DF51" s="134">
        <v>1</v>
      </c>
      <c r="DG51" s="134">
        <v>7</v>
      </c>
      <c r="DH51" s="134">
        <v>8</v>
      </c>
      <c r="DI51" s="134">
        <v>0</v>
      </c>
      <c r="DJ51" s="134">
        <v>0</v>
      </c>
      <c r="DK51" s="134">
        <v>0</v>
      </c>
      <c r="DL51" s="134">
        <v>0</v>
      </c>
      <c r="DM51" s="134">
        <v>0</v>
      </c>
      <c r="DN51" s="134">
        <v>0</v>
      </c>
      <c r="DO51" s="134">
        <v>0</v>
      </c>
      <c r="DP51" s="134">
        <v>0</v>
      </c>
      <c r="DQ51" s="134">
        <v>0</v>
      </c>
      <c r="DR51" s="134">
        <v>0</v>
      </c>
      <c r="DS51" s="134">
        <v>0</v>
      </c>
      <c r="DT51" s="135">
        <v>0</v>
      </c>
      <c r="DU51" s="116"/>
      <c r="DV51" s="136"/>
      <c r="DX51" s="136"/>
      <c r="DY51" s="136"/>
    </row>
    <row r="52" spans="1:129" s="137" customFormat="1">
      <c r="A52" s="133" t="s">
        <v>321</v>
      </c>
      <c r="B52" s="134">
        <v>269</v>
      </c>
      <c r="C52" s="134">
        <v>90</v>
      </c>
      <c r="D52" s="134">
        <v>266</v>
      </c>
      <c r="E52" s="134">
        <v>166</v>
      </c>
      <c r="F52" s="134">
        <v>1</v>
      </c>
      <c r="G52" s="134">
        <v>3</v>
      </c>
      <c r="H52" s="134">
        <v>4</v>
      </c>
      <c r="I52" s="134">
        <v>0</v>
      </c>
      <c r="J52" s="134">
        <v>89</v>
      </c>
      <c r="K52" s="134">
        <v>89</v>
      </c>
      <c r="L52" s="134">
        <v>0</v>
      </c>
      <c r="M52" s="134">
        <v>14</v>
      </c>
      <c r="N52" s="134">
        <v>14</v>
      </c>
      <c r="O52" s="134">
        <v>0</v>
      </c>
      <c r="P52" s="134">
        <v>75</v>
      </c>
      <c r="Q52" s="134">
        <v>75</v>
      </c>
      <c r="R52" s="134">
        <v>0</v>
      </c>
      <c r="S52" s="134">
        <v>0</v>
      </c>
      <c r="T52" s="134">
        <v>0</v>
      </c>
      <c r="U52" s="134">
        <v>0</v>
      </c>
      <c r="V52" s="134">
        <v>11</v>
      </c>
      <c r="W52" s="134">
        <v>11</v>
      </c>
      <c r="X52" s="134">
        <v>5</v>
      </c>
      <c r="Y52" s="134">
        <v>260</v>
      </c>
      <c r="Z52" s="134">
        <v>265</v>
      </c>
      <c r="AA52" s="134">
        <v>3</v>
      </c>
      <c r="AB52" s="134">
        <v>110</v>
      </c>
      <c r="AC52" s="134">
        <v>113</v>
      </c>
      <c r="AD52" s="134">
        <v>3</v>
      </c>
      <c r="AE52" s="134">
        <v>97</v>
      </c>
      <c r="AF52" s="134">
        <v>100</v>
      </c>
      <c r="AG52" s="134">
        <v>0</v>
      </c>
      <c r="AH52" s="134">
        <v>7</v>
      </c>
      <c r="AI52" s="134">
        <v>7</v>
      </c>
      <c r="AJ52" s="134">
        <v>0</v>
      </c>
      <c r="AK52" s="134">
        <v>6</v>
      </c>
      <c r="AL52" s="134">
        <v>6</v>
      </c>
      <c r="AM52" s="134">
        <v>2</v>
      </c>
      <c r="AN52" s="134">
        <v>150</v>
      </c>
      <c r="AO52" s="134">
        <v>152</v>
      </c>
      <c r="AP52" s="134">
        <v>317</v>
      </c>
      <c r="AQ52" s="134">
        <v>2498</v>
      </c>
      <c r="AR52" s="134">
        <v>2815</v>
      </c>
      <c r="AS52" s="134">
        <v>317</v>
      </c>
      <c r="AT52" s="134">
        <v>2498</v>
      </c>
      <c r="AU52" s="134">
        <v>2815</v>
      </c>
      <c r="AV52" s="134">
        <v>0</v>
      </c>
      <c r="AW52" s="134">
        <v>0</v>
      </c>
      <c r="AX52" s="134">
        <v>0</v>
      </c>
      <c r="AY52" s="134">
        <v>30</v>
      </c>
      <c r="AZ52" s="134">
        <v>275</v>
      </c>
      <c r="BA52" s="134">
        <v>305</v>
      </c>
      <c r="BB52" s="134">
        <v>10</v>
      </c>
      <c r="BC52" s="134">
        <v>0</v>
      </c>
      <c r="BD52" s="134">
        <v>0</v>
      </c>
      <c r="BE52" s="134">
        <v>156</v>
      </c>
      <c r="BF52" s="134">
        <v>0</v>
      </c>
      <c r="BG52" s="134">
        <v>0</v>
      </c>
      <c r="BH52" s="134">
        <v>10</v>
      </c>
      <c r="BI52" s="134">
        <v>156</v>
      </c>
      <c r="BJ52" s="134">
        <v>166</v>
      </c>
      <c r="BK52" s="134">
        <v>-2</v>
      </c>
      <c r="BL52" s="134">
        <v>2</v>
      </c>
      <c r="BM52" s="134">
        <v>0</v>
      </c>
      <c r="BN52" s="134">
        <v>2</v>
      </c>
      <c r="BO52" s="134">
        <v>8</v>
      </c>
      <c r="BP52" s="134">
        <v>10</v>
      </c>
      <c r="BQ52" s="134">
        <v>5</v>
      </c>
      <c r="BR52" s="134">
        <v>27</v>
      </c>
      <c r="BS52" s="134">
        <v>32</v>
      </c>
      <c r="BT52" s="134">
        <v>15</v>
      </c>
      <c r="BU52" s="134">
        <v>82</v>
      </c>
      <c r="BV52" s="134">
        <v>97</v>
      </c>
      <c r="BW52" s="134">
        <v>347</v>
      </c>
      <c r="BX52" s="134">
        <v>2773</v>
      </c>
      <c r="BY52" s="134">
        <v>3120</v>
      </c>
      <c r="BZ52" s="134">
        <v>347</v>
      </c>
      <c r="CA52" s="134">
        <v>2766</v>
      </c>
      <c r="CB52" s="134">
        <v>3113</v>
      </c>
      <c r="CC52" s="134">
        <v>6325</v>
      </c>
      <c r="CD52" s="134">
        <v>3</v>
      </c>
      <c r="CE52" s="134">
        <v>2</v>
      </c>
      <c r="CF52" s="134">
        <v>0</v>
      </c>
      <c r="CG52" s="134">
        <v>4</v>
      </c>
      <c r="CH52" s="134">
        <v>4</v>
      </c>
      <c r="CI52" s="134">
        <v>4</v>
      </c>
      <c r="CJ52" s="134">
        <v>0</v>
      </c>
      <c r="CK52" s="134">
        <v>0</v>
      </c>
      <c r="CL52" s="134">
        <v>3</v>
      </c>
      <c r="CM52" s="134">
        <v>3</v>
      </c>
      <c r="CN52" s="134">
        <v>30</v>
      </c>
      <c r="CO52" s="134">
        <v>254</v>
      </c>
      <c r="CP52" s="134">
        <v>284</v>
      </c>
      <c r="CQ52" s="134">
        <v>0</v>
      </c>
      <c r="CR52" s="134">
        <v>5</v>
      </c>
      <c r="CS52" s="134">
        <v>5</v>
      </c>
      <c r="CT52" s="134">
        <v>317</v>
      </c>
      <c r="CU52" s="134">
        <v>2519</v>
      </c>
      <c r="CV52" s="134">
        <v>2836</v>
      </c>
      <c r="CW52" s="134">
        <v>18</v>
      </c>
      <c r="CX52" s="134">
        <v>124</v>
      </c>
      <c r="CY52" s="134">
        <v>142</v>
      </c>
      <c r="CZ52" s="134">
        <v>18</v>
      </c>
      <c r="DA52" s="134">
        <v>0</v>
      </c>
      <c r="DB52" s="134">
        <v>0</v>
      </c>
      <c r="DC52" s="134">
        <v>123</v>
      </c>
      <c r="DD52" s="134">
        <v>0</v>
      </c>
      <c r="DE52" s="134">
        <v>0</v>
      </c>
      <c r="DF52" s="134">
        <v>18</v>
      </c>
      <c r="DG52" s="134">
        <v>123</v>
      </c>
      <c r="DH52" s="134">
        <v>141</v>
      </c>
      <c r="DI52" s="134">
        <v>0</v>
      </c>
      <c r="DJ52" s="134">
        <v>0</v>
      </c>
      <c r="DK52" s="134">
        <v>0</v>
      </c>
      <c r="DL52" s="134">
        <v>1</v>
      </c>
      <c r="DM52" s="134">
        <v>0</v>
      </c>
      <c r="DN52" s="134">
        <v>0</v>
      </c>
      <c r="DO52" s="134">
        <v>0</v>
      </c>
      <c r="DP52" s="134">
        <v>1</v>
      </c>
      <c r="DQ52" s="134">
        <v>1</v>
      </c>
      <c r="DR52" s="134">
        <v>0</v>
      </c>
      <c r="DS52" s="134">
        <v>0</v>
      </c>
      <c r="DT52" s="135">
        <v>0</v>
      </c>
      <c r="DU52" s="116"/>
      <c r="DV52" s="136"/>
      <c r="DX52" s="136"/>
      <c r="DY52" s="136"/>
    </row>
    <row r="53" spans="1:129" s="137" customFormat="1">
      <c r="A53" s="133" t="s">
        <v>322</v>
      </c>
      <c r="B53" s="134">
        <v>1593</v>
      </c>
      <c r="C53" s="134">
        <v>562</v>
      </c>
      <c r="D53" s="134">
        <v>1308</v>
      </c>
      <c r="E53" s="134">
        <v>761</v>
      </c>
      <c r="F53" s="134">
        <v>3</v>
      </c>
      <c r="G53" s="134">
        <v>16</v>
      </c>
      <c r="H53" s="134">
        <v>19</v>
      </c>
      <c r="I53" s="134">
        <v>0</v>
      </c>
      <c r="J53" s="134">
        <v>456</v>
      </c>
      <c r="K53" s="134">
        <v>456</v>
      </c>
      <c r="L53" s="134">
        <v>0</v>
      </c>
      <c r="M53" s="134">
        <v>130</v>
      </c>
      <c r="N53" s="134">
        <v>130</v>
      </c>
      <c r="O53" s="134">
        <v>0</v>
      </c>
      <c r="P53" s="134">
        <v>326</v>
      </c>
      <c r="Q53" s="134">
        <v>326</v>
      </c>
      <c r="R53" s="134">
        <v>0</v>
      </c>
      <c r="S53" s="134">
        <v>33</v>
      </c>
      <c r="T53" s="134">
        <v>33</v>
      </c>
      <c r="U53" s="134">
        <v>0</v>
      </c>
      <c r="V53" s="134">
        <v>91</v>
      </c>
      <c r="W53" s="134">
        <v>91</v>
      </c>
      <c r="X53" s="134">
        <v>20</v>
      </c>
      <c r="Y53" s="134">
        <v>778</v>
      </c>
      <c r="Z53" s="134">
        <v>798</v>
      </c>
      <c r="AA53" s="134">
        <v>12</v>
      </c>
      <c r="AB53" s="134">
        <v>460</v>
      </c>
      <c r="AC53" s="134">
        <v>472</v>
      </c>
      <c r="AD53" s="134">
        <v>11</v>
      </c>
      <c r="AE53" s="134">
        <v>443</v>
      </c>
      <c r="AF53" s="134">
        <v>454</v>
      </c>
      <c r="AG53" s="134">
        <v>0</v>
      </c>
      <c r="AH53" s="134">
        <v>16</v>
      </c>
      <c r="AI53" s="134">
        <v>16</v>
      </c>
      <c r="AJ53" s="134">
        <v>1</v>
      </c>
      <c r="AK53" s="134">
        <v>1</v>
      </c>
      <c r="AL53" s="134">
        <v>2</v>
      </c>
      <c r="AM53" s="134">
        <v>8</v>
      </c>
      <c r="AN53" s="134">
        <v>318</v>
      </c>
      <c r="AO53" s="134">
        <v>326</v>
      </c>
      <c r="AP53" s="134">
        <v>2086</v>
      </c>
      <c r="AQ53" s="134">
        <v>17996</v>
      </c>
      <c r="AR53" s="134">
        <v>20082</v>
      </c>
      <c r="AS53" s="134">
        <v>2152</v>
      </c>
      <c r="AT53" s="134">
        <v>17032</v>
      </c>
      <c r="AU53" s="134">
        <v>19184</v>
      </c>
      <c r="AV53" s="134">
        <v>-66</v>
      </c>
      <c r="AW53" s="134">
        <v>964</v>
      </c>
      <c r="AX53" s="134">
        <v>898</v>
      </c>
      <c r="AY53" s="134">
        <v>181</v>
      </c>
      <c r="AZ53" s="134">
        <v>1446</v>
      </c>
      <c r="BA53" s="134">
        <v>1627</v>
      </c>
      <c r="BB53" s="134">
        <v>55</v>
      </c>
      <c r="BC53" s="134">
        <v>1</v>
      </c>
      <c r="BD53" s="134">
        <v>0</v>
      </c>
      <c r="BE53" s="134">
        <v>693</v>
      </c>
      <c r="BF53" s="134">
        <v>4</v>
      </c>
      <c r="BG53" s="134">
        <v>8</v>
      </c>
      <c r="BH53" s="134">
        <v>56</v>
      </c>
      <c r="BI53" s="134">
        <v>705</v>
      </c>
      <c r="BJ53" s="134">
        <v>761</v>
      </c>
      <c r="BK53" s="134">
        <v>47</v>
      </c>
      <c r="BL53" s="134">
        <v>-47</v>
      </c>
      <c r="BM53" s="134">
        <v>0</v>
      </c>
      <c r="BN53" s="134">
        <v>9</v>
      </c>
      <c r="BO53" s="134">
        <v>52</v>
      </c>
      <c r="BP53" s="134">
        <v>61</v>
      </c>
      <c r="BQ53" s="134">
        <v>4</v>
      </c>
      <c r="BR53" s="134">
        <v>117</v>
      </c>
      <c r="BS53" s="134">
        <v>121</v>
      </c>
      <c r="BT53" s="134">
        <v>65</v>
      </c>
      <c r="BU53" s="134">
        <v>619</v>
      </c>
      <c r="BV53" s="134">
        <v>684</v>
      </c>
      <c r="BW53" s="134">
        <v>2267</v>
      </c>
      <c r="BX53" s="134">
        <v>19442</v>
      </c>
      <c r="BY53" s="134">
        <v>21709</v>
      </c>
      <c r="BZ53" s="134">
        <v>2247</v>
      </c>
      <c r="CA53" s="134">
        <v>19234</v>
      </c>
      <c r="CB53" s="134">
        <v>21481</v>
      </c>
      <c r="CC53" s="134">
        <v>38904</v>
      </c>
      <c r="CD53" s="134">
        <v>190</v>
      </c>
      <c r="CE53" s="134">
        <v>159</v>
      </c>
      <c r="CF53" s="134">
        <v>20</v>
      </c>
      <c r="CG53" s="134">
        <v>139</v>
      </c>
      <c r="CH53" s="134">
        <v>159</v>
      </c>
      <c r="CI53" s="134">
        <v>90</v>
      </c>
      <c r="CJ53" s="134">
        <v>70</v>
      </c>
      <c r="CK53" s="134">
        <v>0</v>
      </c>
      <c r="CL53" s="134">
        <v>69</v>
      </c>
      <c r="CM53" s="134">
        <v>69</v>
      </c>
      <c r="CN53" s="134">
        <v>154</v>
      </c>
      <c r="CO53" s="134">
        <v>1897</v>
      </c>
      <c r="CP53" s="134">
        <v>2051</v>
      </c>
      <c r="CQ53" s="134">
        <v>0</v>
      </c>
      <c r="CR53" s="134">
        <v>0</v>
      </c>
      <c r="CS53" s="134">
        <v>0</v>
      </c>
      <c r="CT53" s="134">
        <v>2113</v>
      </c>
      <c r="CU53" s="134">
        <v>17545</v>
      </c>
      <c r="CV53" s="134">
        <v>19658</v>
      </c>
      <c r="CW53" s="134">
        <v>136</v>
      </c>
      <c r="CX53" s="134">
        <v>748</v>
      </c>
      <c r="CY53" s="134">
        <v>884</v>
      </c>
      <c r="CZ53" s="134">
        <v>134</v>
      </c>
      <c r="DA53" s="134">
        <v>1</v>
      </c>
      <c r="DB53" s="134">
        <v>0</v>
      </c>
      <c r="DC53" s="134">
        <v>715</v>
      </c>
      <c r="DD53" s="134">
        <v>5</v>
      </c>
      <c r="DE53" s="134">
        <v>0</v>
      </c>
      <c r="DF53" s="134">
        <v>135</v>
      </c>
      <c r="DG53" s="134">
        <v>720</v>
      </c>
      <c r="DH53" s="134">
        <v>855</v>
      </c>
      <c r="DI53" s="134">
        <v>1</v>
      </c>
      <c r="DJ53" s="134">
        <v>0</v>
      </c>
      <c r="DK53" s="134">
        <v>0</v>
      </c>
      <c r="DL53" s="134">
        <v>28</v>
      </c>
      <c r="DM53" s="134">
        <v>0</v>
      </c>
      <c r="DN53" s="134">
        <v>0</v>
      </c>
      <c r="DO53" s="134">
        <v>1</v>
      </c>
      <c r="DP53" s="134">
        <v>28</v>
      </c>
      <c r="DQ53" s="134">
        <v>29</v>
      </c>
      <c r="DR53" s="134">
        <v>0</v>
      </c>
      <c r="DS53" s="134">
        <v>0</v>
      </c>
      <c r="DT53" s="135">
        <v>0</v>
      </c>
      <c r="DU53" s="116"/>
      <c r="DV53" s="136"/>
      <c r="DX53" s="136"/>
      <c r="DY53" s="136"/>
    </row>
    <row r="54" spans="1:129" s="137" customFormat="1">
      <c r="A54" s="133" t="s">
        <v>323</v>
      </c>
      <c r="B54" s="134">
        <v>1339</v>
      </c>
      <c r="C54" s="134">
        <v>670</v>
      </c>
      <c r="D54" s="134">
        <v>699</v>
      </c>
      <c r="E54" s="134">
        <v>390</v>
      </c>
      <c r="F54" s="134">
        <v>0</v>
      </c>
      <c r="G54" s="134">
        <v>13</v>
      </c>
      <c r="H54" s="134">
        <v>13</v>
      </c>
      <c r="I54" s="134">
        <v>0</v>
      </c>
      <c r="J54" s="134">
        <v>246</v>
      </c>
      <c r="K54" s="134">
        <v>246</v>
      </c>
      <c r="L54" s="134">
        <v>0</v>
      </c>
      <c r="M54" s="134">
        <v>85</v>
      </c>
      <c r="N54" s="134">
        <v>85</v>
      </c>
      <c r="O54" s="134">
        <v>0</v>
      </c>
      <c r="P54" s="134">
        <v>161</v>
      </c>
      <c r="Q54" s="134">
        <v>161</v>
      </c>
      <c r="R54" s="134">
        <v>0</v>
      </c>
      <c r="S54" s="134">
        <v>48</v>
      </c>
      <c r="T54" s="134">
        <v>48</v>
      </c>
      <c r="U54" s="134">
        <v>0</v>
      </c>
      <c r="V54" s="134">
        <v>63</v>
      </c>
      <c r="W54" s="134">
        <v>63</v>
      </c>
      <c r="X54" s="134">
        <v>8</v>
      </c>
      <c r="Y54" s="134">
        <v>691</v>
      </c>
      <c r="Z54" s="134">
        <v>699</v>
      </c>
      <c r="AA54" s="134">
        <v>2</v>
      </c>
      <c r="AB54" s="134">
        <v>295</v>
      </c>
      <c r="AC54" s="134">
        <v>297</v>
      </c>
      <c r="AD54" s="134">
        <v>2</v>
      </c>
      <c r="AE54" s="134">
        <v>216</v>
      </c>
      <c r="AF54" s="134">
        <v>218</v>
      </c>
      <c r="AG54" s="134">
        <v>0</v>
      </c>
      <c r="AH54" s="134">
        <v>49</v>
      </c>
      <c r="AI54" s="134">
        <v>49</v>
      </c>
      <c r="AJ54" s="134">
        <v>0</v>
      </c>
      <c r="AK54" s="134">
        <v>30</v>
      </c>
      <c r="AL54" s="134">
        <v>30</v>
      </c>
      <c r="AM54" s="134">
        <v>6</v>
      </c>
      <c r="AN54" s="134">
        <v>396</v>
      </c>
      <c r="AO54" s="134">
        <v>402</v>
      </c>
      <c r="AP54" s="134">
        <v>1161</v>
      </c>
      <c r="AQ54" s="134">
        <v>14978</v>
      </c>
      <c r="AR54" s="134">
        <v>16139</v>
      </c>
      <c r="AS54" s="134">
        <v>1149</v>
      </c>
      <c r="AT54" s="134">
        <v>14569</v>
      </c>
      <c r="AU54" s="134">
        <v>15718</v>
      </c>
      <c r="AV54" s="134">
        <v>12</v>
      </c>
      <c r="AW54" s="134">
        <v>409</v>
      </c>
      <c r="AX54" s="134">
        <v>421</v>
      </c>
      <c r="AY54" s="134">
        <v>37</v>
      </c>
      <c r="AZ54" s="134">
        <v>849</v>
      </c>
      <c r="BA54" s="134">
        <v>886</v>
      </c>
      <c r="BB54" s="134">
        <v>16</v>
      </c>
      <c r="BC54" s="134">
        <v>0</v>
      </c>
      <c r="BD54" s="134">
        <v>0</v>
      </c>
      <c r="BE54" s="134">
        <v>361</v>
      </c>
      <c r="BF54" s="134">
        <v>10</v>
      </c>
      <c r="BG54" s="134">
        <v>3</v>
      </c>
      <c r="BH54" s="134">
        <v>16</v>
      </c>
      <c r="BI54" s="134">
        <v>374</v>
      </c>
      <c r="BJ54" s="134">
        <v>390</v>
      </c>
      <c r="BK54" s="134">
        <v>-14</v>
      </c>
      <c r="BL54" s="134">
        <v>14</v>
      </c>
      <c r="BM54" s="134">
        <v>0</v>
      </c>
      <c r="BN54" s="134">
        <v>4</v>
      </c>
      <c r="BO54" s="134">
        <v>17</v>
      </c>
      <c r="BP54" s="134">
        <v>21</v>
      </c>
      <c r="BQ54" s="134">
        <v>9</v>
      </c>
      <c r="BR54" s="134">
        <v>126</v>
      </c>
      <c r="BS54" s="134">
        <v>135</v>
      </c>
      <c r="BT54" s="134">
        <v>22</v>
      </c>
      <c r="BU54" s="134">
        <v>318</v>
      </c>
      <c r="BV54" s="134">
        <v>340</v>
      </c>
      <c r="BW54" s="134">
        <v>1198</v>
      </c>
      <c r="BX54" s="134">
        <v>15827</v>
      </c>
      <c r="BY54" s="134">
        <v>17025</v>
      </c>
      <c r="BZ54" s="134">
        <v>1167</v>
      </c>
      <c r="CA54" s="134">
        <v>15559</v>
      </c>
      <c r="CB54" s="134">
        <v>16726</v>
      </c>
      <c r="CC54" s="134">
        <v>30007</v>
      </c>
      <c r="CD54" s="134">
        <v>16</v>
      </c>
      <c r="CE54" s="134">
        <v>274</v>
      </c>
      <c r="CF54" s="134">
        <v>31</v>
      </c>
      <c r="CG54" s="134">
        <v>214</v>
      </c>
      <c r="CH54" s="134">
        <v>245</v>
      </c>
      <c r="CI54" s="134">
        <v>69</v>
      </c>
      <c r="CJ54" s="134">
        <v>3</v>
      </c>
      <c r="CK54" s="134">
        <v>0</v>
      </c>
      <c r="CL54" s="134">
        <v>54</v>
      </c>
      <c r="CM54" s="134">
        <v>54</v>
      </c>
      <c r="CN54" s="134">
        <v>77</v>
      </c>
      <c r="CO54" s="134">
        <v>1435</v>
      </c>
      <c r="CP54" s="134">
        <v>1512</v>
      </c>
      <c r="CQ54" s="134">
        <v>0</v>
      </c>
      <c r="CR54" s="134">
        <v>0</v>
      </c>
      <c r="CS54" s="134">
        <v>0</v>
      </c>
      <c r="CT54" s="134">
        <v>1121</v>
      </c>
      <c r="CU54" s="134">
        <v>14392</v>
      </c>
      <c r="CV54" s="134">
        <v>15513</v>
      </c>
      <c r="CW54" s="134">
        <v>72</v>
      </c>
      <c r="CX54" s="134">
        <v>674</v>
      </c>
      <c r="CY54" s="134">
        <v>746</v>
      </c>
      <c r="CZ54" s="134">
        <v>67</v>
      </c>
      <c r="DA54" s="134">
        <v>1</v>
      </c>
      <c r="DB54" s="134">
        <v>0</v>
      </c>
      <c r="DC54" s="134">
        <v>637</v>
      </c>
      <c r="DD54" s="134">
        <v>14</v>
      </c>
      <c r="DE54" s="134">
        <v>0</v>
      </c>
      <c r="DF54" s="134">
        <v>68</v>
      </c>
      <c r="DG54" s="134">
        <v>651</v>
      </c>
      <c r="DH54" s="134">
        <v>719</v>
      </c>
      <c r="DI54" s="134">
        <v>4</v>
      </c>
      <c r="DJ54" s="134">
        <v>0</v>
      </c>
      <c r="DK54" s="134">
        <v>0</v>
      </c>
      <c r="DL54" s="134">
        <v>22</v>
      </c>
      <c r="DM54" s="134">
        <v>1</v>
      </c>
      <c r="DN54" s="134">
        <v>0</v>
      </c>
      <c r="DO54" s="134">
        <v>4</v>
      </c>
      <c r="DP54" s="134">
        <v>23</v>
      </c>
      <c r="DQ54" s="134">
        <v>27</v>
      </c>
      <c r="DR54" s="134">
        <v>0</v>
      </c>
      <c r="DS54" s="134">
        <v>0</v>
      </c>
      <c r="DT54" s="135">
        <v>0</v>
      </c>
      <c r="DU54" s="116"/>
      <c r="DV54" s="136"/>
      <c r="DX54" s="136"/>
      <c r="DY54" s="136"/>
    </row>
    <row r="55" spans="1:129" s="137" customFormat="1">
      <c r="A55" s="133" t="s">
        <v>324</v>
      </c>
      <c r="B55" s="134">
        <v>2935</v>
      </c>
      <c r="C55" s="134">
        <v>688</v>
      </c>
      <c r="D55" s="134">
        <v>2840</v>
      </c>
      <c r="E55" s="134">
        <v>1837</v>
      </c>
      <c r="F55" s="134">
        <v>6</v>
      </c>
      <c r="G55" s="134">
        <v>36</v>
      </c>
      <c r="H55" s="134">
        <v>42</v>
      </c>
      <c r="I55" s="134">
        <v>1</v>
      </c>
      <c r="J55" s="134">
        <v>926</v>
      </c>
      <c r="K55" s="134">
        <v>927</v>
      </c>
      <c r="L55" s="134">
        <v>1</v>
      </c>
      <c r="M55" s="134">
        <v>359</v>
      </c>
      <c r="N55" s="134">
        <v>360</v>
      </c>
      <c r="O55" s="134">
        <v>0</v>
      </c>
      <c r="P55" s="134">
        <v>567</v>
      </c>
      <c r="Q55" s="134">
        <v>567</v>
      </c>
      <c r="R55" s="134">
        <v>0</v>
      </c>
      <c r="S55" s="134">
        <v>12</v>
      </c>
      <c r="T55" s="134">
        <v>12</v>
      </c>
      <c r="U55" s="134">
        <v>0</v>
      </c>
      <c r="V55" s="134">
        <v>76</v>
      </c>
      <c r="W55" s="134">
        <v>76</v>
      </c>
      <c r="X55" s="134">
        <v>67</v>
      </c>
      <c r="Y55" s="134">
        <v>2773</v>
      </c>
      <c r="Z55" s="134">
        <v>2840</v>
      </c>
      <c r="AA55" s="134">
        <v>32</v>
      </c>
      <c r="AB55" s="134">
        <v>1202</v>
      </c>
      <c r="AC55" s="134">
        <v>1234</v>
      </c>
      <c r="AD55" s="134">
        <v>30</v>
      </c>
      <c r="AE55" s="134">
        <v>1144</v>
      </c>
      <c r="AF55" s="134">
        <v>1174</v>
      </c>
      <c r="AG55" s="134">
        <v>1</v>
      </c>
      <c r="AH55" s="134">
        <v>34</v>
      </c>
      <c r="AI55" s="134">
        <v>35</v>
      </c>
      <c r="AJ55" s="134">
        <v>1</v>
      </c>
      <c r="AK55" s="134">
        <v>24</v>
      </c>
      <c r="AL55" s="134">
        <v>25</v>
      </c>
      <c r="AM55" s="134">
        <v>35</v>
      </c>
      <c r="AN55" s="134">
        <v>1571</v>
      </c>
      <c r="AO55" s="134">
        <v>1606</v>
      </c>
      <c r="AP55" s="134">
        <v>4757</v>
      </c>
      <c r="AQ55" s="134">
        <v>31668</v>
      </c>
      <c r="AR55" s="134">
        <v>36425</v>
      </c>
      <c r="AS55" s="134">
        <v>4757</v>
      </c>
      <c r="AT55" s="134">
        <v>31669</v>
      </c>
      <c r="AU55" s="134">
        <v>36426</v>
      </c>
      <c r="AV55" s="134">
        <v>0</v>
      </c>
      <c r="AW55" s="134">
        <v>-1</v>
      </c>
      <c r="AX55" s="134">
        <v>-1</v>
      </c>
      <c r="AY55" s="134">
        <v>259</v>
      </c>
      <c r="AZ55" s="134">
        <v>2938</v>
      </c>
      <c r="BA55" s="134">
        <v>3197</v>
      </c>
      <c r="BB55" s="134">
        <v>82</v>
      </c>
      <c r="BC55" s="134">
        <v>1</v>
      </c>
      <c r="BD55" s="134">
        <v>0</v>
      </c>
      <c r="BE55" s="134">
        <v>1743</v>
      </c>
      <c r="BF55" s="134">
        <v>7</v>
      </c>
      <c r="BG55" s="134">
        <v>4</v>
      </c>
      <c r="BH55" s="134">
        <v>83</v>
      </c>
      <c r="BI55" s="134">
        <v>1754</v>
      </c>
      <c r="BJ55" s="134">
        <v>1837</v>
      </c>
      <c r="BK55" s="134">
        <v>28</v>
      </c>
      <c r="BL55" s="134">
        <v>-28</v>
      </c>
      <c r="BM55" s="134">
        <v>0</v>
      </c>
      <c r="BN55" s="134">
        <v>24</v>
      </c>
      <c r="BO55" s="134">
        <v>87</v>
      </c>
      <c r="BP55" s="134">
        <v>111</v>
      </c>
      <c r="BQ55" s="134">
        <v>33</v>
      </c>
      <c r="BR55" s="134">
        <v>487</v>
      </c>
      <c r="BS55" s="134">
        <v>520</v>
      </c>
      <c r="BT55" s="134">
        <v>91</v>
      </c>
      <c r="BU55" s="134">
        <v>638</v>
      </c>
      <c r="BV55" s="134">
        <v>729</v>
      </c>
      <c r="BW55" s="134">
        <v>5016</v>
      </c>
      <c r="BX55" s="134">
        <v>34606</v>
      </c>
      <c r="BY55" s="134">
        <v>39622</v>
      </c>
      <c r="BZ55" s="134">
        <v>4984</v>
      </c>
      <c r="CA55" s="134">
        <v>34412</v>
      </c>
      <c r="CB55" s="134">
        <v>39396</v>
      </c>
      <c r="CC55" s="134">
        <v>81804</v>
      </c>
      <c r="CD55" s="134">
        <v>14</v>
      </c>
      <c r="CE55" s="134">
        <v>217</v>
      </c>
      <c r="CF55" s="134">
        <v>31</v>
      </c>
      <c r="CG55" s="134">
        <v>162</v>
      </c>
      <c r="CH55" s="134">
        <v>193</v>
      </c>
      <c r="CI55" s="134">
        <v>30</v>
      </c>
      <c r="CJ55" s="134">
        <v>8</v>
      </c>
      <c r="CK55" s="134">
        <v>1</v>
      </c>
      <c r="CL55" s="134">
        <v>32</v>
      </c>
      <c r="CM55" s="134">
        <v>33</v>
      </c>
      <c r="CN55" s="134">
        <v>257</v>
      </c>
      <c r="CO55" s="134">
        <v>3000</v>
      </c>
      <c r="CP55" s="134">
        <v>3257</v>
      </c>
      <c r="CQ55" s="134">
        <v>0</v>
      </c>
      <c r="CR55" s="134">
        <v>2</v>
      </c>
      <c r="CS55" s="134">
        <v>2</v>
      </c>
      <c r="CT55" s="134">
        <v>4759</v>
      </c>
      <c r="CU55" s="134">
        <v>31606</v>
      </c>
      <c r="CV55" s="134">
        <v>36365</v>
      </c>
      <c r="CW55" s="134">
        <v>318</v>
      </c>
      <c r="CX55" s="134">
        <v>1576</v>
      </c>
      <c r="CY55" s="134">
        <v>1894</v>
      </c>
      <c r="CZ55" s="134">
        <v>315</v>
      </c>
      <c r="DA55" s="134">
        <v>2</v>
      </c>
      <c r="DB55" s="134">
        <v>0</v>
      </c>
      <c r="DC55" s="134">
        <v>1556</v>
      </c>
      <c r="DD55" s="134">
        <v>8</v>
      </c>
      <c r="DE55" s="134">
        <v>2</v>
      </c>
      <c r="DF55" s="134">
        <v>317</v>
      </c>
      <c r="DG55" s="134">
        <v>1566</v>
      </c>
      <c r="DH55" s="134">
        <v>1883</v>
      </c>
      <c r="DI55" s="134">
        <v>1</v>
      </c>
      <c r="DJ55" s="134">
        <v>0</v>
      </c>
      <c r="DK55" s="134">
        <v>0</v>
      </c>
      <c r="DL55" s="134">
        <v>10</v>
      </c>
      <c r="DM55" s="134">
        <v>0</v>
      </c>
      <c r="DN55" s="134">
        <v>0</v>
      </c>
      <c r="DO55" s="134">
        <v>1</v>
      </c>
      <c r="DP55" s="134">
        <v>10</v>
      </c>
      <c r="DQ55" s="134">
        <v>11</v>
      </c>
      <c r="DR55" s="134">
        <v>0</v>
      </c>
      <c r="DS55" s="134">
        <v>0</v>
      </c>
      <c r="DT55" s="135">
        <v>0</v>
      </c>
      <c r="DU55" s="116"/>
      <c r="DV55" s="136"/>
      <c r="DX55" s="136"/>
      <c r="DY55" s="136"/>
    </row>
    <row r="56" spans="1:129" s="137" customFormat="1">
      <c r="A56" s="133" t="s">
        <v>325</v>
      </c>
      <c r="B56" s="134">
        <v>422</v>
      </c>
      <c r="C56" s="134">
        <v>140</v>
      </c>
      <c r="D56" s="134">
        <v>377</v>
      </c>
      <c r="E56" s="134">
        <v>193</v>
      </c>
      <c r="F56" s="134">
        <v>0</v>
      </c>
      <c r="G56" s="134">
        <v>3</v>
      </c>
      <c r="H56" s="134">
        <v>3</v>
      </c>
      <c r="I56" s="134">
        <v>0</v>
      </c>
      <c r="J56" s="134">
        <v>160</v>
      </c>
      <c r="K56" s="134">
        <v>160</v>
      </c>
      <c r="L56" s="134">
        <v>0</v>
      </c>
      <c r="M56" s="134">
        <v>31</v>
      </c>
      <c r="N56" s="134">
        <v>31</v>
      </c>
      <c r="O56" s="134">
        <v>0</v>
      </c>
      <c r="P56" s="134">
        <v>129</v>
      </c>
      <c r="Q56" s="134">
        <v>129</v>
      </c>
      <c r="R56" s="134">
        <v>0</v>
      </c>
      <c r="S56" s="134">
        <v>1</v>
      </c>
      <c r="T56" s="134">
        <v>1</v>
      </c>
      <c r="U56" s="134">
        <v>0</v>
      </c>
      <c r="V56" s="134">
        <v>24</v>
      </c>
      <c r="W56" s="134">
        <v>24</v>
      </c>
      <c r="X56" s="134">
        <v>11</v>
      </c>
      <c r="Y56" s="134">
        <v>365</v>
      </c>
      <c r="Z56" s="134">
        <v>376</v>
      </c>
      <c r="AA56" s="134">
        <v>9</v>
      </c>
      <c r="AB56" s="134">
        <v>148</v>
      </c>
      <c r="AC56" s="134">
        <v>157</v>
      </c>
      <c r="AD56" s="134">
        <v>8</v>
      </c>
      <c r="AE56" s="134">
        <v>136</v>
      </c>
      <c r="AF56" s="134">
        <v>144</v>
      </c>
      <c r="AG56" s="134">
        <v>1</v>
      </c>
      <c r="AH56" s="134">
        <v>11</v>
      </c>
      <c r="AI56" s="134">
        <v>12</v>
      </c>
      <c r="AJ56" s="134">
        <v>0</v>
      </c>
      <c r="AK56" s="134">
        <v>1</v>
      </c>
      <c r="AL56" s="134">
        <v>1</v>
      </c>
      <c r="AM56" s="134">
        <v>2</v>
      </c>
      <c r="AN56" s="134">
        <v>217</v>
      </c>
      <c r="AO56" s="134">
        <v>219</v>
      </c>
      <c r="AP56" s="134">
        <v>607</v>
      </c>
      <c r="AQ56" s="134">
        <v>4317</v>
      </c>
      <c r="AR56" s="134">
        <v>4924</v>
      </c>
      <c r="AS56" s="134">
        <v>607</v>
      </c>
      <c r="AT56" s="134">
        <v>4317</v>
      </c>
      <c r="AU56" s="134">
        <v>4924</v>
      </c>
      <c r="AV56" s="134">
        <v>0</v>
      </c>
      <c r="AW56" s="134">
        <v>0</v>
      </c>
      <c r="AX56" s="134">
        <v>0</v>
      </c>
      <c r="AY56" s="134">
        <v>44</v>
      </c>
      <c r="AZ56" s="134">
        <v>397</v>
      </c>
      <c r="BA56" s="134">
        <v>441</v>
      </c>
      <c r="BB56" s="134">
        <v>11</v>
      </c>
      <c r="BC56" s="134">
        <v>1</v>
      </c>
      <c r="BD56" s="134">
        <v>0</v>
      </c>
      <c r="BE56" s="134">
        <v>173</v>
      </c>
      <c r="BF56" s="134">
        <v>5</v>
      </c>
      <c r="BG56" s="134">
        <v>3</v>
      </c>
      <c r="BH56" s="134">
        <v>12</v>
      </c>
      <c r="BI56" s="134">
        <v>181</v>
      </c>
      <c r="BJ56" s="134">
        <v>193</v>
      </c>
      <c r="BK56" s="134">
        <v>10</v>
      </c>
      <c r="BL56" s="134">
        <v>-10</v>
      </c>
      <c r="BM56" s="134">
        <v>0</v>
      </c>
      <c r="BN56" s="134">
        <v>3</v>
      </c>
      <c r="BO56" s="134">
        <v>26</v>
      </c>
      <c r="BP56" s="134">
        <v>29</v>
      </c>
      <c r="BQ56" s="134">
        <v>2</v>
      </c>
      <c r="BR56" s="134">
        <v>84</v>
      </c>
      <c r="BS56" s="134">
        <v>86</v>
      </c>
      <c r="BT56" s="134">
        <v>17</v>
      </c>
      <c r="BU56" s="134">
        <v>116</v>
      </c>
      <c r="BV56" s="134">
        <v>133</v>
      </c>
      <c r="BW56" s="134">
        <v>651</v>
      </c>
      <c r="BX56" s="134">
        <v>4714</v>
      </c>
      <c r="BY56" s="134">
        <v>5365</v>
      </c>
      <c r="BZ56" s="134">
        <v>639</v>
      </c>
      <c r="CA56" s="134">
        <v>4648</v>
      </c>
      <c r="CB56" s="134">
        <v>5287</v>
      </c>
      <c r="CC56" s="134">
        <v>12104</v>
      </c>
      <c r="CD56" s="134">
        <v>5</v>
      </c>
      <c r="CE56" s="134">
        <v>68</v>
      </c>
      <c r="CF56" s="134">
        <v>12</v>
      </c>
      <c r="CG56" s="134">
        <v>50</v>
      </c>
      <c r="CH56" s="134">
        <v>62</v>
      </c>
      <c r="CI56" s="134">
        <v>16</v>
      </c>
      <c r="CJ56" s="134">
        <v>6</v>
      </c>
      <c r="CK56" s="134">
        <v>0</v>
      </c>
      <c r="CL56" s="134">
        <v>16</v>
      </c>
      <c r="CM56" s="134">
        <v>16</v>
      </c>
      <c r="CN56" s="134">
        <v>39</v>
      </c>
      <c r="CO56" s="134">
        <v>436</v>
      </c>
      <c r="CP56" s="134">
        <v>475</v>
      </c>
      <c r="CQ56" s="134">
        <v>0</v>
      </c>
      <c r="CR56" s="134">
        <v>0</v>
      </c>
      <c r="CS56" s="134">
        <v>0</v>
      </c>
      <c r="CT56" s="134">
        <v>612</v>
      </c>
      <c r="CU56" s="134">
        <v>4278</v>
      </c>
      <c r="CV56" s="134">
        <v>4890</v>
      </c>
      <c r="CW56" s="134">
        <v>47</v>
      </c>
      <c r="CX56" s="134">
        <v>207</v>
      </c>
      <c r="CY56" s="134">
        <v>254</v>
      </c>
      <c r="CZ56" s="134">
        <v>44</v>
      </c>
      <c r="DA56" s="134">
        <v>3</v>
      </c>
      <c r="DB56" s="134">
        <v>0</v>
      </c>
      <c r="DC56" s="134">
        <v>203</v>
      </c>
      <c r="DD56" s="134">
        <v>1</v>
      </c>
      <c r="DE56" s="134">
        <v>0</v>
      </c>
      <c r="DF56" s="134">
        <v>47</v>
      </c>
      <c r="DG56" s="134">
        <v>204</v>
      </c>
      <c r="DH56" s="134">
        <v>251</v>
      </c>
      <c r="DI56" s="134">
        <v>0</v>
      </c>
      <c r="DJ56" s="134">
        <v>0</v>
      </c>
      <c r="DK56" s="134">
        <v>0</v>
      </c>
      <c r="DL56" s="134">
        <v>3</v>
      </c>
      <c r="DM56" s="134">
        <v>0</v>
      </c>
      <c r="DN56" s="134">
        <v>0</v>
      </c>
      <c r="DO56" s="134">
        <v>0</v>
      </c>
      <c r="DP56" s="134">
        <v>3</v>
      </c>
      <c r="DQ56" s="134">
        <v>3</v>
      </c>
      <c r="DR56" s="134">
        <v>0</v>
      </c>
      <c r="DS56" s="134">
        <v>0</v>
      </c>
      <c r="DT56" s="135">
        <v>0</v>
      </c>
      <c r="DU56" s="116"/>
      <c r="DV56" s="136"/>
      <c r="DX56" s="136"/>
      <c r="DY56" s="136"/>
    </row>
    <row r="57" spans="1:129" s="137" customFormat="1">
      <c r="A57" s="133" t="s">
        <v>326</v>
      </c>
      <c r="B57" s="134">
        <v>336</v>
      </c>
      <c r="C57" s="134">
        <v>38</v>
      </c>
      <c r="D57" s="134">
        <v>321</v>
      </c>
      <c r="E57" s="134">
        <v>174</v>
      </c>
      <c r="F57" s="134">
        <v>1</v>
      </c>
      <c r="G57" s="134">
        <v>3</v>
      </c>
      <c r="H57" s="134">
        <v>4</v>
      </c>
      <c r="I57" s="134">
        <v>0</v>
      </c>
      <c r="J57" s="134">
        <v>128</v>
      </c>
      <c r="K57" s="134">
        <v>128</v>
      </c>
      <c r="L57" s="134">
        <v>0</v>
      </c>
      <c r="M57" s="134">
        <v>17</v>
      </c>
      <c r="N57" s="134">
        <v>17</v>
      </c>
      <c r="O57" s="134">
        <v>0</v>
      </c>
      <c r="P57" s="134">
        <v>111</v>
      </c>
      <c r="Q57" s="134">
        <v>111</v>
      </c>
      <c r="R57" s="134">
        <v>0</v>
      </c>
      <c r="S57" s="134">
        <v>4</v>
      </c>
      <c r="T57" s="134">
        <v>4</v>
      </c>
      <c r="U57" s="134">
        <v>0</v>
      </c>
      <c r="V57" s="134">
        <v>19</v>
      </c>
      <c r="W57" s="134">
        <v>19</v>
      </c>
      <c r="X57" s="134">
        <v>8</v>
      </c>
      <c r="Y57" s="134">
        <v>310</v>
      </c>
      <c r="Z57" s="134">
        <v>318</v>
      </c>
      <c r="AA57" s="134">
        <v>4</v>
      </c>
      <c r="AB57" s="134">
        <v>114</v>
      </c>
      <c r="AC57" s="134">
        <v>118</v>
      </c>
      <c r="AD57" s="134">
        <v>4</v>
      </c>
      <c r="AE57" s="134">
        <v>111</v>
      </c>
      <c r="AF57" s="134">
        <v>115</v>
      </c>
      <c r="AG57" s="134">
        <v>0</v>
      </c>
      <c r="AH57" s="134">
        <v>0</v>
      </c>
      <c r="AI57" s="134">
        <v>0</v>
      </c>
      <c r="AJ57" s="134">
        <v>0</v>
      </c>
      <c r="AK57" s="134">
        <v>3</v>
      </c>
      <c r="AL57" s="134">
        <v>3</v>
      </c>
      <c r="AM57" s="134">
        <v>4</v>
      </c>
      <c r="AN57" s="134">
        <v>196</v>
      </c>
      <c r="AO57" s="134">
        <v>200</v>
      </c>
      <c r="AP57" s="134">
        <v>429</v>
      </c>
      <c r="AQ57" s="134">
        <v>3462</v>
      </c>
      <c r="AR57" s="134">
        <v>3891</v>
      </c>
      <c r="AS57" s="134">
        <v>429</v>
      </c>
      <c r="AT57" s="134">
        <v>3462</v>
      </c>
      <c r="AU57" s="134">
        <v>3891</v>
      </c>
      <c r="AV57" s="134">
        <v>0</v>
      </c>
      <c r="AW57" s="134">
        <v>0</v>
      </c>
      <c r="AX57" s="134">
        <v>0</v>
      </c>
      <c r="AY57" s="134">
        <v>7</v>
      </c>
      <c r="AZ57" s="134">
        <v>373</v>
      </c>
      <c r="BA57" s="134">
        <v>380</v>
      </c>
      <c r="BB57" s="134">
        <v>9</v>
      </c>
      <c r="BC57" s="134">
        <v>0</v>
      </c>
      <c r="BD57" s="134">
        <v>0</v>
      </c>
      <c r="BE57" s="134">
        <v>163</v>
      </c>
      <c r="BF57" s="134">
        <v>1</v>
      </c>
      <c r="BG57" s="134">
        <v>1</v>
      </c>
      <c r="BH57" s="134">
        <v>9</v>
      </c>
      <c r="BI57" s="134">
        <v>165</v>
      </c>
      <c r="BJ57" s="134">
        <v>174</v>
      </c>
      <c r="BK57" s="134">
        <v>-9</v>
      </c>
      <c r="BL57" s="134">
        <v>9</v>
      </c>
      <c r="BM57" s="134">
        <v>0</v>
      </c>
      <c r="BN57" s="134">
        <v>3</v>
      </c>
      <c r="BO57" s="134">
        <v>33</v>
      </c>
      <c r="BP57" s="134">
        <v>36</v>
      </c>
      <c r="BQ57" s="134">
        <v>0</v>
      </c>
      <c r="BR57" s="134">
        <v>44</v>
      </c>
      <c r="BS57" s="134">
        <v>44</v>
      </c>
      <c r="BT57" s="134">
        <v>4</v>
      </c>
      <c r="BU57" s="134">
        <v>122</v>
      </c>
      <c r="BV57" s="134">
        <v>126</v>
      </c>
      <c r="BW57" s="134">
        <v>436</v>
      </c>
      <c r="BX57" s="134">
        <v>3835</v>
      </c>
      <c r="BY57" s="134">
        <v>4271</v>
      </c>
      <c r="BZ57" s="134">
        <v>436</v>
      </c>
      <c r="CA57" s="134">
        <v>3826</v>
      </c>
      <c r="CB57" s="134">
        <v>4262</v>
      </c>
      <c r="CC57" s="134">
        <v>9251</v>
      </c>
      <c r="CD57" s="134">
        <v>0</v>
      </c>
      <c r="CE57" s="134">
        <v>7</v>
      </c>
      <c r="CF57" s="134">
        <v>0</v>
      </c>
      <c r="CG57" s="134">
        <v>7</v>
      </c>
      <c r="CH57" s="134">
        <v>7</v>
      </c>
      <c r="CI57" s="134">
        <v>2</v>
      </c>
      <c r="CJ57" s="134">
        <v>0</v>
      </c>
      <c r="CK57" s="134">
        <v>0</v>
      </c>
      <c r="CL57" s="134">
        <v>2</v>
      </c>
      <c r="CM57" s="134">
        <v>2</v>
      </c>
      <c r="CN57" s="134">
        <v>17</v>
      </c>
      <c r="CO57" s="134">
        <v>397</v>
      </c>
      <c r="CP57" s="134">
        <v>414</v>
      </c>
      <c r="CQ57" s="134">
        <v>0</v>
      </c>
      <c r="CR57" s="134">
        <v>4</v>
      </c>
      <c r="CS57" s="134">
        <v>4</v>
      </c>
      <c r="CT57" s="134">
        <v>419</v>
      </c>
      <c r="CU57" s="134">
        <v>3438</v>
      </c>
      <c r="CV57" s="134">
        <v>3857</v>
      </c>
      <c r="CW57" s="134">
        <v>17</v>
      </c>
      <c r="CX57" s="134">
        <v>175</v>
      </c>
      <c r="CY57" s="134">
        <v>192</v>
      </c>
      <c r="CZ57" s="134">
        <v>17</v>
      </c>
      <c r="DA57" s="134">
        <v>0</v>
      </c>
      <c r="DB57" s="134">
        <v>0</v>
      </c>
      <c r="DC57" s="134">
        <v>172</v>
      </c>
      <c r="DD57" s="134">
        <v>0</v>
      </c>
      <c r="DE57" s="134">
        <v>0</v>
      </c>
      <c r="DF57" s="134">
        <v>17</v>
      </c>
      <c r="DG57" s="134">
        <v>172</v>
      </c>
      <c r="DH57" s="134">
        <v>189</v>
      </c>
      <c r="DI57" s="134">
        <v>0</v>
      </c>
      <c r="DJ57" s="134">
        <v>0</v>
      </c>
      <c r="DK57" s="134">
        <v>0</v>
      </c>
      <c r="DL57" s="134">
        <v>3</v>
      </c>
      <c r="DM57" s="134">
        <v>0</v>
      </c>
      <c r="DN57" s="134">
        <v>0</v>
      </c>
      <c r="DO57" s="134">
        <v>0</v>
      </c>
      <c r="DP57" s="134">
        <v>3</v>
      </c>
      <c r="DQ57" s="134">
        <v>3</v>
      </c>
      <c r="DR57" s="134">
        <v>0</v>
      </c>
      <c r="DS57" s="134">
        <v>0</v>
      </c>
      <c r="DT57" s="135">
        <v>0</v>
      </c>
      <c r="DU57" s="116"/>
      <c r="DV57" s="136"/>
      <c r="DX57" s="136"/>
      <c r="DY57" s="136"/>
    </row>
    <row r="58" spans="1:129" s="137" customFormat="1">
      <c r="A58" s="133" t="s">
        <v>327</v>
      </c>
      <c r="B58" s="134">
        <v>81</v>
      </c>
      <c r="C58" s="134">
        <v>11</v>
      </c>
      <c r="D58" s="134">
        <v>81</v>
      </c>
      <c r="E58" s="134">
        <v>52</v>
      </c>
      <c r="F58" s="134">
        <v>0</v>
      </c>
      <c r="G58" s="134">
        <v>0</v>
      </c>
      <c r="H58" s="134">
        <v>0</v>
      </c>
      <c r="I58" s="134">
        <v>0</v>
      </c>
      <c r="J58" s="134">
        <v>28</v>
      </c>
      <c r="K58" s="134">
        <v>28</v>
      </c>
      <c r="L58" s="134">
        <v>0</v>
      </c>
      <c r="M58" s="134">
        <v>9</v>
      </c>
      <c r="N58" s="134">
        <v>9</v>
      </c>
      <c r="O58" s="134">
        <v>0</v>
      </c>
      <c r="P58" s="134">
        <v>19</v>
      </c>
      <c r="Q58" s="134">
        <v>19</v>
      </c>
      <c r="R58" s="134">
        <v>0</v>
      </c>
      <c r="S58" s="134">
        <v>0</v>
      </c>
      <c r="T58" s="134">
        <v>0</v>
      </c>
      <c r="U58" s="134">
        <v>0</v>
      </c>
      <c r="V58" s="134">
        <v>1</v>
      </c>
      <c r="W58" s="134">
        <v>1</v>
      </c>
      <c r="X58" s="134">
        <v>4</v>
      </c>
      <c r="Y58" s="134">
        <v>77</v>
      </c>
      <c r="Z58" s="134">
        <v>81</v>
      </c>
      <c r="AA58" s="134">
        <v>2</v>
      </c>
      <c r="AB58" s="134">
        <v>41</v>
      </c>
      <c r="AC58" s="134">
        <v>43</v>
      </c>
      <c r="AD58" s="134">
        <v>2</v>
      </c>
      <c r="AE58" s="134">
        <v>29</v>
      </c>
      <c r="AF58" s="134">
        <v>31</v>
      </c>
      <c r="AG58" s="134">
        <v>0</v>
      </c>
      <c r="AH58" s="134">
        <v>10</v>
      </c>
      <c r="AI58" s="134">
        <v>10</v>
      </c>
      <c r="AJ58" s="134">
        <v>0</v>
      </c>
      <c r="AK58" s="134">
        <v>2</v>
      </c>
      <c r="AL58" s="134">
        <v>2</v>
      </c>
      <c r="AM58" s="134">
        <v>2</v>
      </c>
      <c r="AN58" s="134">
        <v>36</v>
      </c>
      <c r="AO58" s="134">
        <v>38</v>
      </c>
      <c r="AP58" s="134">
        <v>59</v>
      </c>
      <c r="AQ58" s="134">
        <v>833</v>
      </c>
      <c r="AR58" s="134">
        <v>892</v>
      </c>
      <c r="AS58" s="134">
        <v>59</v>
      </c>
      <c r="AT58" s="134">
        <v>833</v>
      </c>
      <c r="AU58" s="134">
        <v>892</v>
      </c>
      <c r="AV58" s="134">
        <v>0</v>
      </c>
      <c r="AW58" s="134">
        <v>0</v>
      </c>
      <c r="AX58" s="134">
        <v>0</v>
      </c>
      <c r="AY58" s="134">
        <v>13</v>
      </c>
      <c r="AZ58" s="134">
        <v>92</v>
      </c>
      <c r="BA58" s="134">
        <v>105</v>
      </c>
      <c r="BB58" s="134">
        <v>3</v>
      </c>
      <c r="BC58" s="134">
        <v>0</v>
      </c>
      <c r="BD58" s="134">
        <v>0</v>
      </c>
      <c r="BE58" s="134">
        <v>49</v>
      </c>
      <c r="BF58" s="134">
        <v>0</v>
      </c>
      <c r="BG58" s="134">
        <v>0</v>
      </c>
      <c r="BH58" s="134">
        <v>3</v>
      </c>
      <c r="BI58" s="134">
        <v>49</v>
      </c>
      <c r="BJ58" s="134">
        <v>52</v>
      </c>
      <c r="BK58" s="134">
        <v>3</v>
      </c>
      <c r="BL58" s="134">
        <v>-3</v>
      </c>
      <c r="BM58" s="134">
        <v>0</v>
      </c>
      <c r="BN58" s="134">
        <v>1</v>
      </c>
      <c r="BO58" s="134">
        <v>1</v>
      </c>
      <c r="BP58" s="134">
        <v>2</v>
      </c>
      <c r="BQ58" s="134">
        <v>3</v>
      </c>
      <c r="BR58" s="134">
        <v>17</v>
      </c>
      <c r="BS58" s="134">
        <v>20</v>
      </c>
      <c r="BT58" s="134">
        <v>3</v>
      </c>
      <c r="BU58" s="134">
        <v>28</v>
      </c>
      <c r="BV58" s="134">
        <v>31</v>
      </c>
      <c r="BW58" s="134">
        <v>72</v>
      </c>
      <c r="BX58" s="134">
        <v>925</v>
      </c>
      <c r="BY58" s="134">
        <v>997</v>
      </c>
      <c r="BZ58" s="134">
        <v>72</v>
      </c>
      <c r="CA58" s="134">
        <v>924</v>
      </c>
      <c r="CB58" s="134">
        <v>996</v>
      </c>
      <c r="CC58" s="134">
        <v>1733</v>
      </c>
      <c r="CD58" s="134">
        <v>0</v>
      </c>
      <c r="CE58" s="134">
        <v>1</v>
      </c>
      <c r="CF58" s="134">
        <v>0</v>
      </c>
      <c r="CG58" s="134">
        <v>1</v>
      </c>
      <c r="CH58" s="134">
        <v>1</v>
      </c>
      <c r="CI58" s="134">
        <v>0</v>
      </c>
      <c r="CJ58" s="134">
        <v>0</v>
      </c>
      <c r="CK58" s="134">
        <v>0</v>
      </c>
      <c r="CL58" s="134">
        <v>0</v>
      </c>
      <c r="CM58" s="134">
        <v>0</v>
      </c>
      <c r="CN58" s="134">
        <v>4</v>
      </c>
      <c r="CO58" s="134">
        <v>102</v>
      </c>
      <c r="CP58" s="134">
        <v>106</v>
      </c>
      <c r="CQ58" s="134">
        <v>0</v>
      </c>
      <c r="CR58" s="134">
        <v>0</v>
      </c>
      <c r="CS58" s="134">
        <v>0</v>
      </c>
      <c r="CT58" s="134">
        <v>68</v>
      </c>
      <c r="CU58" s="134">
        <v>823</v>
      </c>
      <c r="CV58" s="134">
        <v>891</v>
      </c>
      <c r="CW58" s="134">
        <v>4</v>
      </c>
      <c r="CX58" s="134">
        <v>31</v>
      </c>
      <c r="CY58" s="134">
        <v>35</v>
      </c>
      <c r="CZ58" s="134">
        <v>4</v>
      </c>
      <c r="DA58" s="134">
        <v>0</v>
      </c>
      <c r="DB58" s="134">
        <v>0</v>
      </c>
      <c r="DC58" s="134">
        <v>31</v>
      </c>
      <c r="DD58" s="134">
        <v>0</v>
      </c>
      <c r="DE58" s="134">
        <v>0</v>
      </c>
      <c r="DF58" s="134">
        <v>4</v>
      </c>
      <c r="DG58" s="134">
        <v>31</v>
      </c>
      <c r="DH58" s="134">
        <v>35</v>
      </c>
      <c r="DI58" s="134">
        <v>0</v>
      </c>
      <c r="DJ58" s="134">
        <v>0</v>
      </c>
      <c r="DK58" s="134">
        <v>0</v>
      </c>
      <c r="DL58" s="134">
        <v>0</v>
      </c>
      <c r="DM58" s="134">
        <v>0</v>
      </c>
      <c r="DN58" s="134">
        <v>0</v>
      </c>
      <c r="DO58" s="134">
        <v>0</v>
      </c>
      <c r="DP58" s="134">
        <v>0</v>
      </c>
      <c r="DQ58" s="134">
        <v>0</v>
      </c>
      <c r="DR58" s="134">
        <v>0</v>
      </c>
      <c r="DS58" s="134">
        <v>0</v>
      </c>
      <c r="DT58" s="135">
        <v>0</v>
      </c>
      <c r="DU58" s="116"/>
      <c r="DV58" s="136"/>
      <c r="DX58" s="136"/>
      <c r="DY58" s="136"/>
    </row>
    <row r="59" spans="1:129" s="137" customFormat="1">
      <c r="A59" s="133" t="s">
        <v>328</v>
      </c>
      <c r="B59" s="134">
        <v>2673</v>
      </c>
      <c r="C59" s="134">
        <v>201</v>
      </c>
      <c r="D59" s="134">
        <v>2903</v>
      </c>
      <c r="E59" s="134">
        <v>2267</v>
      </c>
      <c r="F59" s="134">
        <v>11</v>
      </c>
      <c r="G59" s="134">
        <v>204</v>
      </c>
      <c r="H59" s="134">
        <v>215</v>
      </c>
      <c r="I59" s="134">
        <v>3</v>
      </c>
      <c r="J59" s="134">
        <v>545</v>
      </c>
      <c r="K59" s="134">
        <v>548</v>
      </c>
      <c r="L59" s="134">
        <v>1</v>
      </c>
      <c r="M59" s="134">
        <v>295</v>
      </c>
      <c r="N59" s="134">
        <v>296</v>
      </c>
      <c r="O59" s="134">
        <v>2</v>
      </c>
      <c r="P59" s="134">
        <v>250</v>
      </c>
      <c r="Q59" s="134">
        <v>252</v>
      </c>
      <c r="R59" s="134">
        <v>1</v>
      </c>
      <c r="S59" s="134">
        <v>147</v>
      </c>
      <c r="T59" s="134">
        <v>148</v>
      </c>
      <c r="U59" s="134">
        <v>0</v>
      </c>
      <c r="V59" s="134">
        <v>88</v>
      </c>
      <c r="W59" s="134">
        <v>88</v>
      </c>
      <c r="X59" s="134">
        <v>37</v>
      </c>
      <c r="Y59" s="134">
        <v>1000</v>
      </c>
      <c r="Z59" s="134">
        <v>1037</v>
      </c>
      <c r="AA59" s="134">
        <v>13</v>
      </c>
      <c r="AB59" s="134">
        <v>251</v>
      </c>
      <c r="AC59" s="134">
        <v>264</v>
      </c>
      <c r="AD59" s="134">
        <v>11</v>
      </c>
      <c r="AE59" s="134">
        <v>220</v>
      </c>
      <c r="AF59" s="134">
        <v>231</v>
      </c>
      <c r="AG59" s="134">
        <v>2</v>
      </c>
      <c r="AH59" s="134">
        <v>23</v>
      </c>
      <c r="AI59" s="134">
        <v>25</v>
      </c>
      <c r="AJ59" s="134">
        <v>0</v>
      </c>
      <c r="AK59" s="134">
        <v>8</v>
      </c>
      <c r="AL59" s="134">
        <v>8</v>
      </c>
      <c r="AM59" s="134">
        <v>24</v>
      </c>
      <c r="AN59" s="134">
        <v>749</v>
      </c>
      <c r="AO59" s="134">
        <v>773</v>
      </c>
      <c r="AP59" s="134">
        <v>7010</v>
      </c>
      <c r="AQ59" s="134">
        <v>44227</v>
      </c>
      <c r="AR59" s="134">
        <v>51237</v>
      </c>
      <c r="AS59" s="134">
        <v>6658</v>
      </c>
      <c r="AT59" s="134">
        <v>40787</v>
      </c>
      <c r="AU59" s="134">
        <v>47445</v>
      </c>
      <c r="AV59" s="134">
        <v>352</v>
      </c>
      <c r="AW59" s="134">
        <v>3440</v>
      </c>
      <c r="AX59" s="134">
        <v>3792</v>
      </c>
      <c r="AY59" s="134">
        <v>388</v>
      </c>
      <c r="AZ59" s="134">
        <v>4282</v>
      </c>
      <c r="BA59" s="134">
        <v>4670</v>
      </c>
      <c r="BB59" s="134">
        <v>136</v>
      </c>
      <c r="BC59" s="134">
        <v>2</v>
      </c>
      <c r="BD59" s="134">
        <v>0</v>
      </c>
      <c r="BE59" s="134">
        <v>2067</v>
      </c>
      <c r="BF59" s="134">
        <v>46</v>
      </c>
      <c r="BG59" s="134">
        <v>16</v>
      </c>
      <c r="BH59" s="134">
        <v>138</v>
      </c>
      <c r="BI59" s="134">
        <v>2129</v>
      </c>
      <c r="BJ59" s="134">
        <v>2267</v>
      </c>
      <c r="BK59" s="134">
        <v>-65</v>
      </c>
      <c r="BL59" s="134">
        <v>65</v>
      </c>
      <c r="BM59" s="134">
        <v>0</v>
      </c>
      <c r="BN59" s="134">
        <v>16</v>
      </c>
      <c r="BO59" s="134">
        <v>60</v>
      </c>
      <c r="BP59" s="134">
        <v>76</v>
      </c>
      <c r="BQ59" s="134">
        <v>46</v>
      </c>
      <c r="BR59" s="134">
        <v>512</v>
      </c>
      <c r="BS59" s="134">
        <v>558</v>
      </c>
      <c r="BT59" s="134">
        <v>253</v>
      </c>
      <c r="BU59" s="134">
        <v>1516</v>
      </c>
      <c r="BV59" s="134">
        <v>1769</v>
      </c>
      <c r="BW59" s="134">
        <v>7398</v>
      </c>
      <c r="BX59" s="134">
        <v>48509</v>
      </c>
      <c r="BY59" s="134">
        <v>55907</v>
      </c>
      <c r="BZ59" s="134">
        <v>7327</v>
      </c>
      <c r="CA59" s="134">
        <v>47612</v>
      </c>
      <c r="CB59" s="134">
        <v>54939</v>
      </c>
      <c r="CC59" s="134">
        <v>118850</v>
      </c>
      <c r="CD59" s="134">
        <v>101</v>
      </c>
      <c r="CE59" s="134">
        <v>878</v>
      </c>
      <c r="CF59" s="134">
        <v>69</v>
      </c>
      <c r="CG59" s="134">
        <v>700</v>
      </c>
      <c r="CH59" s="134">
        <v>769</v>
      </c>
      <c r="CI59" s="134">
        <v>251</v>
      </c>
      <c r="CJ59" s="134">
        <v>2</v>
      </c>
      <c r="CK59" s="134">
        <v>2</v>
      </c>
      <c r="CL59" s="134">
        <v>197</v>
      </c>
      <c r="CM59" s="134">
        <v>199</v>
      </c>
      <c r="CN59" s="134">
        <v>361</v>
      </c>
      <c r="CO59" s="134">
        <v>3689</v>
      </c>
      <c r="CP59" s="134">
        <v>4050</v>
      </c>
      <c r="CQ59" s="134">
        <v>0</v>
      </c>
      <c r="CR59" s="134">
        <v>0</v>
      </c>
      <c r="CS59" s="134">
        <v>0</v>
      </c>
      <c r="CT59" s="134">
        <v>7037</v>
      </c>
      <c r="CU59" s="134">
        <v>44820</v>
      </c>
      <c r="CV59" s="134">
        <v>51857</v>
      </c>
      <c r="CW59" s="134">
        <v>485</v>
      </c>
      <c r="CX59" s="134">
        <v>2362</v>
      </c>
      <c r="CY59" s="134">
        <v>2847</v>
      </c>
      <c r="CZ59" s="134">
        <v>476</v>
      </c>
      <c r="DA59" s="134">
        <v>3</v>
      </c>
      <c r="DB59" s="134">
        <v>0</v>
      </c>
      <c r="DC59" s="134">
        <v>2176</v>
      </c>
      <c r="DD59" s="134">
        <v>35</v>
      </c>
      <c r="DE59" s="134">
        <v>6</v>
      </c>
      <c r="DF59" s="134">
        <v>479</v>
      </c>
      <c r="DG59" s="134">
        <v>2217</v>
      </c>
      <c r="DH59" s="134">
        <v>2696</v>
      </c>
      <c r="DI59" s="134">
        <v>6</v>
      </c>
      <c r="DJ59" s="134">
        <v>0</v>
      </c>
      <c r="DK59" s="134">
        <v>0</v>
      </c>
      <c r="DL59" s="134">
        <v>138</v>
      </c>
      <c r="DM59" s="134">
        <v>5</v>
      </c>
      <c r="DN59" s="134">
        <v>2</v>
      </c>
      <c r="DO59" s="134">
        <v>6</v>
      </c>
      <c r="DP59" s="134">
        <v>145</v>
      </c>
      <c r="DQ59" s="134">
        <v>151</v>
      </c>
      <c r="DR59" s="134">
        <v>0</v>
      </c>
      <c r="DS59" s="134">
        <v>0</v>
      </c>
      <c r="DT59" s="135">
        <v>0</v>
      </c>
      <c r="DU59" s="116"/>
      <c r="DV59" s="136"/>
      <c r="DX59" s="136"/>
      <c r="DY59" s="136"/>
    </row>
    <row r="60" spans="1:129" s="137" customFormat="1">
      <c r="A60" s="133" t="s">
        <v>329</v>
      </c>
      <c r="B60" s="134">
        <v>232</v>
      </c>
      <c r="C60" s="134">
        <v>1</v>
      </c>
      <c r="D60" s="134">
        <v>243</v>
      </c>
      <c r="E60" s="134">
        <v>142</v>
      </c>
      <c r="F60" s="134">
        <v>0</v>
      </c>
      <c r="G60" s="134">
        <v>4</v>
      </c>
      <c r="H60" s="134">
        <v>4</v>
      </c>
      <c r="I60" s="134">
        <v>0</v>
      </c>
      <c r="J60" s="134">
        <v>76</v>
      </c>
      <c r="K60" s="134">
        <v>76</v>
      </c>
      <c r="L60" s="134">
        <v>0</v>
      </c>
      <c r="M60" s="134">
        <v>20</v>
      </c>
      <c r="N60" s="134">
        <v>20</v>
      </c>
      <c r="O60" s="134">
        <v>0</v>
      </c>
      <c r="P60" s="134">
        <v>56</v>
      </c>
      <c r="Q60" s="134">
        <v>56</v>
      </c>
      <c r="R60" s="134">
        <v>0</v>
      </c>
      <c r="S60" s="134">
        <v>1</v>
      </c>
      <c r="T60" s="134">
        <v>1</v>
      </c>
      <c r="U60" s="134">
        <v>0</v>
      </c>
      <c r="V60" s="134">
        <v>25</v>
      </c>
      <c r="W60" s="134">
        <v>25</v>
      </c>
      <c r="X60" s="134">
        <v>2</v>
      </c>
      <c r="Y60" s="134">
        <v>241</v>
      </c>
      <c r="Z60" s="134">
        <v>243</v>
      </c>
      <c r="AA60" s="134">
        <v>1</v>
      </c>
      <c r="AB60" s="134">
        <v>93</v>
      </c>
      <c r="AC60" s="134">
        <v>94</v>
      </c>
      <c r="AD60" s="134">
        <v>1</v>
      </c>
      <c r="AE60" s="134">
        <v>88</v>
      </c>
      <c r="AF60" s="134">
        <v>89</v>
      </c>
      <c r="AG60" s="134">
        <v>0</v>
      </c>
      <c r="AH60" s="134">
        <v>4</v>
      </c>
      <c r="AI60" s="134">
        <v>4</v>
      </c>
      <c r="AJ60" s="134">
        <v>0</v>
      </c>
      <c r="AK60" s="134">
        <v>1</v>
      </c>
      <c r="AL60" s="134">
        <v>1</v>
      </c>
      <c r="AM60" s="134">
        <v>1</v>
      </c>
      <c r="AN60" s="134">
        <v>148</v>
      </c>
      <c r="AO60" s="134">
        <v>149</v>
      </c>
      <c r="AP60" s="134">
        <v>232</v>
      </c>
      <c r="AQ60" s="134">
        <v>2303</v>
      </c>
      <c r="AR60" s="134">
        <v>2535</v>
      </c>
      <c r="AS60" s="134">
        <v>233</v>
      </c>
      <c r="AT60" s="134">
        <v>2303</v>
      </c>
      <c r="AU60" s="134">
        <v>2536</v>
      </c>
      <c r="AV60" s="134">
        <v>-1</v>
      </c>
      <c r="AW60" s="134">
        <v>0</v>
      </c>
      <c r="AX60" s="134">
        <v>-1</v>
      </c>
      <c r="AY60" s="134">
        <v>3</v>
      </c>
      <c r="AZ60" s="134">
        <v>234</v>
      </c>
      <c r="BA60" s="134">
        <v>237</v>
      </c>
      <c r="BB60" s="134">
        <v>1</v>
      </c>
      <c r="BC60" s="134">
        <v>0</v>
      </c>
      <c r="BD60" s="134">
        <v>0</v>
      </c>
      <c r="BE60" s="134">
        <v>140</v>
      </c>
      <c r="BF60" s="134">
        <v>1</v>
      </c>
      <c r="BG60" s="134">
        <v>0</v>
      </c>
      <c r="BH60" s="134">
        <v>1</v>
      </c>
      <c r="BI60" s="134">
        <v>141</v>
      </c>
      <c r="BJ60" s="134">
        <v>142</v>
      </c>
      <c r="BK60" s="134">
        <v>-10</v>
      </c>
      <c r="BL60" s="134">
        <v>10</v>
      </c>
      <c r="BM60" s="134">
        <v>0</v>
      </c>
      <c r="BN60" s="134">
        <v>1</v>
      </c>
      <c r="BO60" s="134">
        <v>12</v>
      </c>
      <c r="BP60" s="134">
        <v>13</v>
      </c>
      <c r="BQ60" s="134">
        <v>3</v>
      </c>
      <c r="BR60" s="134">
        <v>44</v>
      </c>
      <c r="BS60" s="134">
        <v>47</v>
      </c>
      <c r="BT60" s="134">
        <v>8</v>
      </c>
      <c r="BU60" s="134">
        <v>27</v>
      </c>
      <c r="BV60" s="134">
        <v>35</v>
      </c>
      <c r="BW60" s="134">
        <v>235</v>
      </c>
      <c r="BX60" s="134">
        <v>2537</v>
      </c>
      <c r="BY60" s="134">
        <v>2772</v>
      </c>
      <c r="BZ60" s="134">
        <v>235</v>
      </c>
      <c r="CA60" s="134">
        <v>2532</v>
      </c>
      <c r="CB60" s="134">
        <v>2767</v>
      </c>
      <c r="CC60" s="134">
        <v>4866</v>
      </c>
      <c r="CD60" s="134">
        <v>0</v>
      </c>
      <c r="CE60" s="134">
        <v>3</v>
      </c>
      <c r="CF60" s="134">
        <v>0</v>
      </c>
      <c r="CG60" s="134">
        <v>2</v>
      </c>
      <c r="CH60" s="134">
        <v>2</v>
      </c>
      <c r="CI60" s="134">
        <v>4</v>
      </c>
      <c r="CJ60" s="134">
        <v>0</v>
      </c>
      <c r="CK60" s="134">
        <v>0</v>
      </c>
      <c r="CL60" s="134">
        <v>3</v>
      </c>
      <c r="CM60" s="134">
        <v>3</v>
      </c>
      <c r="CN60" s="134">
        <v>14</v>
      </c>
      <c r="CO60" s="134">
        <v>227</v>
      </c>
      <c r="CP60" s="134">
        <v>241</v>
      </c>
      <c r="CQ60" s="134">
        <v>11</v>
      </c>
      <c r="CR60" s="134">
        <v>183</v>
      </c>
      <c r="CS60" s="134">
        <v>194</v>
      </c>
      <c r="CT60" s="134">
        <v>221</v>
      </c>
      <c r="CU60" s="134">
        <v>2310</v>
      </c>
      <c r="CV60" s="134">
        <v>2531</v>
      </c>
      <c r="CW60" s="134">
        <v>9</v>
      </c>
      <c r="CX60" s="134">
        <v>76</v>
      </c>
      <c r="CY60" s="134">
        <v>85</v>
      </c>
      <c r="CZ60" s="134">
        <v>9</v>
      </c>
      <c r="DA60" s="134">
        <v>0</v>
      </c>
      <c r="DB60" s="134">
        <v>0</v>
      </c>
      <c r="DC60" s="134">
        <v>76</v>
      </c>
      <c r="DD60" s="134">
        <v>0</v>
      </c>
      <c r="DE60" s="134">
        <v>0</v>
      </c>
      <c r="DF60" s="134">
        <v>9</v>
      </c>
      <c r="DG60" s="134">
        <v>76</v>
      </c>
      <c r="DH60" s="134">
        <v>85</v>
      </c>
      <c r="DI60" s="134">
        <v>0</v>
      </c>
      <c r="DJ60" s="134">
        <v>0</v>
      </c>
      <c r="DK60" s="134">
        <v>0</v>
      </c>
      <c r="DL60" s="134">
        <v>0</v>
      </c>
      <c r="DM60" s="134">
        <v>0</v>
      </c>
      <c r="DN60" s="134">
        <v>0</v>
      </c>
      <c r="DO60" s="134">
        <v>0</v>
      </c>
      <c r="DP60" s="134">
        <v>0</v>
      </c>
      <c r="DQ60" s="134">
        <v>0</v>
      </c>
      <c r="DR60" s="134">
        <v>0</v>
      </c>
      <c r="DS60" s="134">
        <v>0</v>
      </c>
      <c r="DT60" s="135">
        <v>0</v>
      </c>
      <c r="DU60" s="116"/>
      <c r="DV60" s="136"/>
      <c r="DX60" s="136"/>
      <c r="DY60" s="136"/>
    </row>
    <row r="61" spans="1:129" s="137" customFormat="1">
      <c r="A61" s="133" t="s">
        <v>330</v>
      </c>
      <c r="B61" s="134">
        <v>3030</v>
      </c>
      <c r="C61" s="134">
        <v>460</v>
      </c>
      <c r="D61" s="134">
        <v>1943</v>
      </c>
      <c r="E61" s="134">
        <v>1279</v>
      </c>
      <c r="F61" s="134">
        <v>1</v>
      </c>
      <c r="G61" s="134">
        <v>14</v>
      </c>
      <c r="H61" s="134">
        <v>15</v>
      </c>
      <c r="I61" s="134">
        <v>2</v>
      </c>
      <c r="J61" s="134">
        <v>565</v>
      </c>
      <c r="K61" s="134">
        <v>567</v>
      </c>
      <c r="L61" s="134">
        <v>2</v>
      </c>
      <c r="M61" s="134">
        <v>213</v>
      </c>
      <c r="N61" s="134">
        <v>215</v>
      </c>
      <c r="O61" s="134">
        <v>0</v>
      </c>
      <c r="P61" s="134">
        <v>352</v>
      </c>
      <c r="Q61" s="134">
        <v>352</v>
      </c>
      <c r="R61" s="134">
        <v>0</v>
      </c>
      <c r="S61" s="134">
        <v>39</v>
      </c>
      <c r="T61" s="134">
        <v>39</v>
      </c>
      <c r="U61" s="134">
        <v>0</v>
      </c>
      <c r="V61" s="134">
        <v>97</v>
      </c>
      <c r="W61" s="134">
        <v>97</v>
      </c>
      <c r="X61" s="134">
        <v>25</v>
      </c>
      <c r="Y61" s="134">
        <v>1696</v>
      </c>
      <c r="Z61" s="134">
        <v>1721</v>
      </c>
      <c r="AA61" s="134">
        <v>13</v>
      </c>
      <c r="AB61" s="134">
        <v>906</v>
      </c>
      <c r="AC61" s="134">
        <v>919</v>
      </c>
      <c r="AD61" s="134">
        <v>13</v>
      </c>
      <c r="AE61" s="134">
        <v>878</v>
      </c>
      <c r="AF61" s="134">
        <v>891</v>
      </c>
      <c r="AG61" s="134">
        <v>0</v>
      </c>
      <c r="AH61" s="134">
        <v>12</v>
      </c>
      <c r="AI61" s="134">
        <v>12</v>
      </c>
      <c r="AJ61" s="134">
        <v>0</v>
      </c>
      <c r="AK61" s="134">
        <v>16</v>
      </c>
      <c r="AL61" s="134">
        <v>16</v>
      </c>
      <c r="AM61" s="134">
        <v>12</v>
      </c>
      <c r="AN61" s="134">
        <v>790</v>
      </c>
      <c r="AO61" s="134">
        <v>802</v>
      </c>
      <c r="AP61" s="134">
        <v>2514</v>
      </c>
      <c r="AQ61" s="134">
        <v>29670</v>
      </c>
      <c r="AR61" s="134">
        <v>32184</v>
      </c>
      <c r="AS61" s="134">
        <v>2501</v>
      </c>
      <c r="AT61" s="134">
        <v>29345</v>
      </c>
      <c r="AU61" s="134">
        <v>31846</v>
      </c>
      <c r="AV61" s="134">
        <v>13</v>
      </c>
      <c r="AW61" s="134">
        <v>325</v>
      </c>
      <c r="AX61" s="134">
        <v>338</v>
      </c>
      <c r="AY61" s="134">
        <v>118</v>
      </c>
      <c r="AZ61" s="134">
        <v>2661</v>
      </c>
      <c r="BA61" s="134">
        <v>2779</v>
      </c>
      <c r="BB61" s="134">
        <v>68</v>
      </c>
      <c r="BC61" s="134">
        <v>2</v>
      </c>
      <c r="BD61" s="134">
        <v>0</v>
      </c>
      <c r="BE61" s="134">
        <v>1185</v>
      </c>
      <c r="BF61" s="134">
        <v>12</v>
      </c>
      <c r="BG61" s="134">
        <v>12</v>
      </c>
      <c r="BH61" s="134">
        <v>70</v>
      </c>
      <c r="BI61" s="134">
        <v>1209</v>
      </c>
      <c r="BJ61" s="134">
        <v>1279</v>
      </c>
      <c r="BK61" s="134">
        <v>-26</v>
      </c>
      <c r="BL61" s="134">
        <v>26</v>
      </c>
      <c r="BM61" s="134">
        <v>0</v>
      </c>
      <c r="BN61" s="134">
        <v>0</v>
      </c>
      <c r="BO61" s="134">
        <v>26</v>
      </c>
      <c r="BP61" s="134">
        <v>26</v>
      </c>
      <c r="BQ61" s="134">
        <v>16</v>
      </c>
      <c r="BR61" s="134">
        <v>405</v>
      </c>
      <c r="BS61" s="134">
        <v>421</v>
      </c>
      <c r="BT61" s="134">
        <v>58</v>
      </c>
      <c r="BU61" s="134">
        <v>995</v>
      </c>
      <c r="BV61" s="134">
        <v>1053</v>
      </c>
      <c r="BW61" s="134">
        <v>2632</v>
      </c>
      <c r="BX61" s="134">
        <v>32331</v>
      </c>
      <c r="BY61" s="134">
        <v>34963</v>
      </c>
      <c r="BZ61" s="134">
        <v>2609</v>
      </c>
      <c r="CA61" s="134">
        <v>31800</v>
      </c>
      <c r="CB61" s="134">
        <v>34409</v>
      </c>
      <c r="CC61" s="134">
        <v>70151</v>
      </c>
      <c r="CD61" s="134">
        <v>46</v>
      </c>
      <c r="CE61" s="134">
        <v>571</v>
      </c>
      <c r="CF61" s="134">
        <v>23</v>
      </c>
      <c r="CG61" s="134">
        <v>309</v>
      </c>
      <c r="CH61" s="134">
        <v>332</v>
      </c>
      <c r="CI61" s="134">
        <v>276</v>
      </c>
      <c r="CJ61" s="134">
        <v>3</v>
      </c>
      <c r="CK61" s="134">
        <v>0</v>
      </c>
      <c r="CL61" s="134">
        <v>222</v>
      </c>
      <c r="CM61" s="134">
        <v>222</v>
      </c>
      <c r="CN61" s="134">
        <v>122</v>
      </c>
      <c r="CO61" s="134">
        <v>2840</v>
      </c>
      <c r="CP61" s="134">
        <v>2962</v>
      </c>
      <c r="CQ61" s="134">
        <v>0</v>
      </c>
      <c r="CR61" s="134">
        <v>0</v>
      </c>
      <c r="CS61" s="134">
        <v>0</v>
      </c>
      <c r="CT61" s="134">
        <v>2510</v>
      </c>
      <c r="CU61" s="134">
        <v>29491</v>
      </c>
      <c r="CV61" s="134">
        <v>32001</v>
      </c>
      <c r="CW61" s="134">
        <v>170</v>
      </c>
      <c r="CX61" s="134">
        <v>1347</v>
      </c>
      <c r="CY61" s="134">
        <v>1517</v>
      </c>
      <c r="CZ61" s="134">
        <v>166</v>
      </c>
      <c r="DA61" s="134">
        <v>0</v>
      </c>
      <c r="DB61" s="134">
        <v>0</v>
      </c>
      <c r="DC61" s="134">
        <v>1267</v>
      </c>
      <c r="DD61" s="134">
        <v>7</v>
      </c>
      <c r="DE61" s="134">
        <v>5</v>
      </c>
      <c r="DF61" s="134">
        <v>166</v>
      </c>
      <c r="DG61" s="134">
        <v>1279</v>
      </c>
      <c r="DH61" s="134">
        <v>1445</v>
      </c>
      <c r="DI61" s="134">
        <v>4</v>
      </c>
      <c r="DJ61" s="134">
        <v>0</v>
      </c>
      <c r="DK61" s="134">
        <v>0</v>
      </c>
      <c r="DL61" s="134">
        <v>66</v>
      </c>
      <c r="DM61" s="134">
        <v>2</v>
      </c>
      <c r="DN61" s="134">
        <v>0</v>
      </c>
      <c r="DO61" s="134">
        <v>4</v>
      </c>
      <c r="DP61" s="134">
        <v>68</v>
      </c>
      <c r="DQ61" s="134">
        <v>72</v>
      </c>
      <c r="DR61" s="134">
        <v>0</v>
      </c>
      <c r="DS61" s="134">
        <v>0</v>
      </c>
      <c r="DT61" s="135">
        <v>0</v>
      </c>
      <c r="DU61" s="116"/>
      <c r="DV61" s="136"/>
      <c r="DX61" s="136"/>
      <c r="DY61" s="136"/>
    </row>
    <row r="62" spans="1:129" s="137" customFormat="1">
      <c r="A62" s="133" t="s">
        <v>331</v>
      </c>
      <c r="B62" s="134">
        <v>1409</v>
      </c>
      <c r="C62" s="134">
        <v>579</v>
      </c>
      <c r="D62" s="134">
        <v>1111</v>
      </c>
      <c r="E62" s="134">
        <v>653</v>
      </c>
      <c r="F62" s="134">
        <v>1</v>
      </c>
      <c r="G62" s="134">
        <v>101</v>
      </c>
      <c r="H62" s="134">
        <v>102</v>
      </c>
      <c r="I62" s="134">
        <v>0</v>
      </c>
      <c r="J62" s="134">
        <v>415</v>
      </c>
      <c r="K62" s="134">
        <v>415</v>
      </c>
      <c r="L62" s="134">
        <v>0</v>
      </c>
      <c r="M62" s="134">
        <v>90</v>
      </c>
      <c r="N62" s="134">
        <v>90</v>
      </c>
      <c r="O62" s="134">
        <v>0</v>
      </c>
      <c r="P62" s="134">
        <v>325</v>
      </c>
      <c r="Q62" s="134">
        <v>325</v>
      </c>
      <c r="R62" s="134">
        <v>0</v>
      </c>
      <c r="S62" s="134">
        <v>81</v>
      </c>
      <c r="T62" s="134">
        <v>81</v>
      </c>
      <c r="U62" s="134">
        <v>0</v>
      </c>
      <c r="V62" s="134">
        <v>43</v>
      </c>
      <c r="W62" s="134">
        <v>43</v>
      </c>
      <c r="X62" s="134">
        <v>4</v>
      </c>
      <c r="Y62" s="134">
        <v>238</v>
      </c>
      <c r="Z62" s="134">
        <v>242</v>
      </c>
      <c r="AA62" s="134">
        <v>4</v>
      </c>
      <c r="AB62" s="134">
        <v>238</v>
      </c>
      <c r="AC62" s="134">
        <v>242</v>
      </c>
      <c r="AD62" s="134">
        <v>3</v>
      </c>
      <c r="AE62" s="134">
        <v>227</v>
      </c>
      <c r="AF62" s="134">
        <v>230</v>
      </c>
      <c r="AG62" s="134">
        <v>1</v>
      </c>
      <c r="AH62" s="134">
        <v>7</v>
      </c>
      <c r="AI62" s="134">
        <v>8</v>
      </c>
      <c r="AJ62" s="134">
        <v>0</v>
      </c>
      <c r="AK62" s="134">
        <v>4</v>
      </c>
      <c r="AL62" s="134">
        <v>4</v>
      </c>
      <c r="AM62" s="134">
        <v>0</v>
      </c>
      <c r="AN62" s="134">
        <v>0</v>
      </c>
      <c r="AO62" s="134">
        <v>0</v>
      </c>
      <c r="AP62" s="134">
        <v>758</v>
      </c>
      <c r="AQ62" s="134">
        <v>8004</v>
      </c>
      <c r="AR62" s="134">
        <v>8762</v>
      </c>
      <c r="AS62" s="134">
        <v>751</v>
      </c>
      <c r="AT62" s="134">
        <v>7994</v>
      </c>
      <c r="AU62" s="134">
        <v>8745</v>
      </c>
      <c r="AV62" s="134">
        <v>7</v>
      </c>
      <c r="AW62" s="134">
        <v>10</v>
      </c>
      <c r="AX62" s="134">
        <v>17</v>
      </c>
      <c r="AY62" s="134">
        <v>31</v>
      </c>
      <c r="AZ62" s="134">
        <v>1100</v>
      </c>
      <c r="BA62" s="134">
        <v>1131</v>
      </c>
      <c r="BB62" s="134">
        <v>17</v>
      </c>
      <c r="BC62" s="134">
        <v>1</v>
      </c>
      <c r="BD62" s="134">
        <v>0</v>
      </c>
      <c r="BE62" s="134">
        <v>622</v>
      </c>
      <c r="BF62" s="134">
        <v>4</v>
      </c>
      <c r="BG62" s="134">
        <v>9</v>
      </c>
      <c r="BH62" s="134">
        <v>18</v>
      </c>
      <c r="BI62" s="134">
        <v>635</v>
      </c>
      <c r="BJ62" s="134">
        <v>653</v>
      </c>
      <c r="BK62" s="134">
        <v>-22</v>
      </c>
      <c r="BL62" s="134">
        <v>22</v>
      </c>
      <c r="BM62" s="134">
        <v>0</v>
      </c>
      <c r="BN62" s="134">
        <v>2</v>
      </c>
      <c r="BO62" s="134">
        <v>30</v>
      </c>
      <c r="BP62" s="134">
        <v>32</v>
      </c>
      <c r="BQ62" s="134">
        <v>6</v>
      </c>
      <c r="BR62" s="134">
        <v>87</v>
      </c>
      <c r="BS62" s="134">
        <v>93</v>
      </c>
      <c r="BT62" s="134">
        <v>27</v>
      </c>
      <c r="BU62" s="134">
        <v>326</v>
      </c>
      <c r="BV62" s="134">
        <v>353</v>
      </c>
      <c r="BW62" s="134">
        <v>789</v>
      </c>
      <c r="BX62" s="134">
        <v>9104</v>
      </c>
      <c r="BY62" s="134">
        <v>9893</v>
      </c>
      <c r="BZ62" s="134">
        <v>749</v>
      </c>
      <c r="CA62" s="134">
        <v>8904</v>
      </c>
      <c r="CB62" s="134">
        <v>9653</v>
      </c>
      <c r="CC62" s="134">
        <v>18167</v>
      </c>
      <c r="CD62" s="134">
        <v>10</v>
      </c>
      <c r="CE62" s="134">
        <v>290</v>
      </c>
      <c r="CF62" s="134">
        <v>40</v>
      </c>
      <c r="CG62" s="134">
        <v>150</v>
      </c>
      <c r="CH62" s="134">
        <v>190</v>
      </c>
      <c r="CI62" s="134">
        <v>69</v>
      </c>
      <c r="CJ62" s="134">
        <v>0</v>
      </c>
      <c r="CK62" s="134">
        <v>0</v>
      </c>
      <c r="CL62" s="134">
        <v>50</v>
      </c>
      <c r="CM62" s="134">
        <v>50</v>
      </c>
      <c r="CN62" s="134">
        <v>54</v>
      </c>
      <c r="CO62" s="134">
        <v>876</v>
      </c>
      <c r="CP62" s="134">
        <v>930</v>
      </c>
      <c r="CQ62" s="134">
        <v>0</v>
      </c>
      <c r="CR62" s="134">
        <v>0</v>
      </c>
      <c r="CS62" s="134">
        <v>0</v>
      </c>
      <c r="CT62" s="134">
        <v>735</v>
      </c>
      <c r="CU62" s="134">
        <v>8228</v>
      </c>
      <c r="CV62" s="134">
        <v>8963</v>
      </c>
      <c r="CW62" s="134">
        <v>60</v>
      </c>
      <c r="CX62" s="134">
        <v>473</v>
      </c>
      <c r="CY62" s="134">
        <v>533</v>
      </c>
      <c r="CZ62" s="134">
        <v>57</v>
      </c>
      <c r="DA62" s="134">
        <v>2</v>
      </c>
      <c r="DB62" s="134">
        <v>0</v>
      </c>
      <c r="DC62" s="134">
        <v>376</v>
      </c>
      <c r="DD62" s="134">
        <v>12</v>
      </c>
      <c r="DE62" s="134">
        <v>0</v>
      </c>
      <c r="DF62" s="134">
        <v>59</v>
      </c>
      <c r="DG62" s="134">
        <v>388</v>
      </c>
      <c r="DH62" s="134">
        <v>447</v>
      </c>
      <c r="DI62" s="134">
        <v>1</v>
      </c>
      <c r="DJ62" s="134">
        <v>0</v>
      </c>
      <c r="DK62" s="134">
        <v>0</v>
      </c>
      <c r="DL62" s="134">
        <v>80</v>
      </c>
      <c r="DM62" s="134">
        <v>4</v>
      </c>
      <c r="DN62" s="134">
        <v>1</v>
      </c>
      <c r="DO62" s="134">
        <v>1</v>
      </c>
      <c r="DP62" s="134">
        <v>85</v>
      </c>
      <c r="DQ62" s="134">
        <v>86</v>
      </c>
      <c r="DR62" s="134">
        <v>0</v>
      </c>
      <c r="DS62" s="134">
        <v>0</v>
      </c>
      <c r="DT62" s="135">
        <v>0</v>
      </c>
      <c r="DU62" s="116"/>
      <c r="DV62" s="136"/>
      <c r="DX62" s="136"/>
      <c r="DY62" s="136"/>
    </row>
    <row r="63" spans="1:129" s="137" customFormat="1" ht="18" customHeight="1" thickBot="1">
      <c r="A63" s="138" t="s">
        <v>332</v>
      </c>
      <c r="B63" s="139">
        <v>474</v>
      </c>
      <c r="C63" s="139">
        <v>78</v>
      </c>
      <c r="D63" s="139">
        <v>454</v>
      </c>
      <c r="E63" s="139">
        <v>305</v>
      </c>
      <c r="F63" s="139">
        <v>0</v>
      </c>
      <c r="G63" s="139">
        <v>2</v>
      </c>
      <c r="H63" s="139">
        <v>2</v>
      </c>
      <c r="I63" s="139">
        <v>1</v>
      </c>
      <c r="J63" s="139">
        <v>123</v>
      </c>
      <c r="K63" s="139">
        <v>124</v>
      </c>
      <c r="L63" s="139">
        <v>1</v>
      </c>
      <c r="M63" s="139">
        <v>52</v>
      </c>
      <c r="N63" s="139">
        <v>53</v>
      </c>
      <c r="O63" s="139">
        <v>0</v>
      </c>
      <c r="P63" s="139">
        <v>71</v>
      </c>
      <c r="Q63" s="139">
        <v>71</v>
      </c>
      <c r="R63" s="139">
        <v>0</v>
      </c>
      <c r="S63" s="139">
        <v>1</v>
      </c>
      <c r="T63" s="139">
        <v>1</v>
      </c>
      <c r="U63" s="139">
        <v>0</v>
      </c>
      <c r="V63" s="139">
        <v>25</v>
      </c>
      <c r="W63" s="139">
        <v>25</v>
      </c>
      <c r="X63" s="139">
        <v>6</v>
      </c>
      <c r="Y63" s="139">
        <v>448</v>
      </c>
      <c r="Z63" s="139">
        <v>454</v>
      </c>
      <c r="AA63" s="139">
        <v>2</v>
      </c>
      <c r="AB63" s="139">
        <v>227</v>
      </c>
      <c r="AC63" s="139">
        <v>229</v>
      </c>
      <c r="AD63" s="139">
        <v>2</v>
      </c>
      <c r="AE63" s="139">
        <v>224</v>
      </c>
      <c r="AF63" s="139">
        <v>226</v>
      </c>
      <c r="AG63" s="139">
        <v>0</v>
      </c>
      <c r="AH63" s="139">
        <v>2</v>
      </c>
      <c r="AI63" s="139">
        <v>2</v>
      </c>
      <c r="AJ63" s="139">
        <v>0</v>
      </c>
      <c r="AK63" s="139">
        <v>1</v>
      </c>
      <c r="AL63" s="139">
        <v>1</v>
      </c>
      <c r="AM63" s="139">
        <v>4</v>
      </c>
      <c r="AN63" s="139">
        <v>221</v>
      </c>
      <c r="AO63" s="139">
        <v>225</v>
      </c>
      <c r="AP63" s="139">
        <v>740</v>
      </c>
      <c r="AQ63" s="139">
        <v>4853</v>
      </c>
      <c r="AR63" s="139">
        <v>5593</v>
      </c>
      <c r="AS63" s="139">
        <v>740</v>
      </c>
      <c r="AT63" s="139">
        <v>4854</v>
      </c>
      <c r="AU63" s="139">
        <v>5594</v>
      </c>
      <c r="AV63" s="139">
        <v>0</v>
      </c>
      <c r="AW63" s="139">
        <v>-1</v>
      </c>
      <c r="AX63" s="139">
        <v>-1</v>
      </c>
      <c r="AY63" s="139">
        <v>40</v>
      </c>
      <c r="AZ63" s="139">
        <v>501</v>
      </c>
      <c r="BA63" s="139">
        <v>541</v>
      </c>
      <c r="BB63" s="139">
        <v>6</v>
      </c>
      <c r="BC63" s="139">
        <v>0</v>
      </c>
      <c r="BD63" s="139">
        <v>0</v>
      </c>
      <c r="BE63" s="139">
        <v>298</v>
      </c>
      <c r="BF63" s="139">
        <v>1</v>
      </c>
      <c r="BG63" s="139">
        <v>0</v>
      </c>
      <c r="BH63" s="139">
        <v>6</v>
      </c>
      <c r="BI63" s="139">
        <v>299</v>
      </c>
      <c r="BJ63" s="139">
        <v>305</v>
      </c>
      <c r="BK63" s="139">
        <v>-3</v>
      </c>
      <c r="BL63" s="139">
        <v>3</v>
      </c>
      <c r="BM63" s="139">
        <v>0</v>
      </c>
      <c r="BN63" s="139">
        <v>9</v>
      </c>
      <c r="BO63" s="139">
        <v>39</v>
      </c>
      <c r="BP63" s="139">
        <v>48</v>
      </c>
      <c r="BQ63" s="139">
        <v>3</v>
      </c>
      <c r="BR63" s="139">
        <v>55</v>
      </c>
      <c r="BS63" s="139">
        <v>58</v>
      </c>
      <c r="BT63" s="139">
        <v>25</v>
      </c>
      <c r="BU63" s="139">
        <v>105</v>
      </c>
      <c r="BV63" s="139">
        <v>130</v>
      </c>
      <c r="BW63" s="139">
        <v>780</v>
      </c>
      <c r="BX63" s="139">
        <v>5354</v>
      </c>
      <c r="BY63" s="139">
        <v>6134</v>
      </c>
      <c r="BZ63" s="139">
        <v>774</v>
      </c>
      <c r="CA63" s="139">
        <v>5326</v>
      </c>
      <c r="CB63" s="139">
        <v>6100</v>
      </c>
      <c r="CC63" s="139">
        <v>13057</v>
      </c>
      <c r="CD63" s="139">
        <v>1</v>
      </c>
      <c r="CE63" s="139">
        <v>46</v>
      </c>
      <c r="CF63" s="139">
        <v>6</v>
      </c>
      <c r="CG63" s="139">
        <v>22</v>
      </c>
      <c r="CH63" s="139">
        <v>28</v>
      </c>
      <c r="CI63" s="139">
        <v>6</v>
      </c>
      <c r="CJ63" s="139">
        <v>0</v>
      </c>
      <c r="CK63" s="139">
        <v>0</v>
      </c>
      <c r="CL63" s="139">
        <v>6</v>
      </c>
      <c r="CM63" s="139">
        <v>6</v>
      </c>
      <c r="CN63" s="139">
        <v>43</v>
      </c>
      <c r="CO63" s="139">
        <v>532</v>
      </c>
      <c r="CP63" s="139">
        <v>575</v>
      </c>
      <c r="CQ63" s="139">
        <v>0</v>
      </c>
      <c r="CR63" s="139">
        <v>19</v>
      </c>
      <c r="CS63" s="139">
        <v>19</v>
      </c>
      <c r="CT63" s="139">
        <v>737</v>
      </c>
      <c r="CU63" s="139">
        <v>4822</v>
      </c>
      <c r="CV63" s="139">
        <v>5559</v>
      </c>
      <c r="CW63" s="139">
        <v>63</v>
      </c>
      <c r="CX63" s="139">
        <v>188</v>
      </c>
      <c r="CY63" s="139">
        <v>251</v>
      </c>
      <c r="CZ63" s="139">
        <v>62</v>
      </c>
      <c r="DA63" s="139">
        <v>0</v>
      </c>
      <c r="DB63" s="139">
        <v>0</v>
      </c>
      <c r="DC63" s="139">
        <v>183</v>
      </c>
      <c r="DD63" s="139">
        <v>1</v>
      </c>
      <c r="DE63" s="139">
        <v>1</v>
      </c>
      <c r="DF63" s="139">
        <v>62</v>
      </c>
      <c r="DG63" s="139">
        <v>185</v>
      </c>
      <c r="DH63" s="139">
        <v>247</v>
      </c>
      <c r="DI63" s="139">
        <v>1</v>
      </c>
      <c r="DJ63" s="139">
        <v>0</v>
      </c>
      <c r="DK63" s="139">
        <v>0</v>
      </c>
      <c r="DL63" s="139">
        <v>3</v>
      </c>
      <c r="DM63" s="139">
        <v>0</v>
      </c>
      <c r="DN63" s="139">
        <v>0</v>
      </c>
      <c r="DO63" s="139">
        <v>1</v>
      </c>
      <c r="DP63" s="139">
        <v>3</v>
      </c>
      <c r="DQ63" s="139">
        <v>4</v>
      </c>
      <c r="DR63" s="139">
        <v>0</v>
      </c>
      <c r="DS63" s="139">
        <v>0</v>
      </c>
      <c r="DT63" s="140">
        <v>0</v>
      </c>
      <c r="DU63" s="116"/>
      <c r="DV63" s="141" t="s">
        <v>333</v>
      </c>
      <c r="DX63" s="136"/>
      <c r="DY63" s="136"/>
    </row>
    <row r="64" spans="1:129" s="137" customFormat="1" ht="15.75" thickTop="1">
      <c r="A64" s="142" t="s">
        <v>334</v>
      </c>
      <c r="B64" s="143">
        <v>161692</v>
      </c>
      <c r="C64" s="143">
        <v>53494</v>
      </c>
      <c r="D64" s="143">
        <v>154199</v>
      </c>
      <c r="E64" s="143">
        <v>95187</v>
      </c>
      <c r="F64" s="143">
        <v>164</v>
      </c>
      <c r="G64" s="143">
        <v>1755</v>
      </c>
      <c r="H64" s="143">
        <v>1919</v>
      </c>
      <c r="I64" s="143">
        <v>147</v>
      </c>
      <c r="J64" s="143">
        <v>52349</v>
      </c>
      <c r="K64" s="143">
        <v>52496</v>
      </c>
      <c r="L64" s="143">
        <v>83</v>
      </c>
      <c r="M64" s="143">
        <v>20804</v>
      </c>
      <c r="N64" s="143">
        <v>20887</v>
      </c>
      <c r="O64" s="143">
        <v>64</v>
      </c>
      <c r="P64" s="143">
        <v>31545</v>
      </c>
      <c r="Q64" s="143">
        <v>31609</v>
      </c>
      <c r="R64" s="143">
        <v>6</v>
      </c>
      <c r="S64" s="143">
        <v>2300</v>
      </c>
      <c r="T64" s="143">
        <v>2306</v>
      </c>
      <c r="U64" s="143">
        <v>50</v>
      </c>
      <c r="V64" s="143">
        <v>6466</v>
      </c>
      <c r="W64" s="143">
        <v>6516</v>
      </c>
      <c r="X64" s="143">
        <v>4674</v>
      </c>
      <c r="Y64" s="143">
        <v>132923</v>
      </c>
      <c r="Z64" s="143">
        <v>137597</v>
      </c>
      <c r="AA64" s="143">
        <v>2828</v>
      </c>
      <c r="AB64" s="143">
        <v>52870</v>
      </c>
      <c r="AC64" s="143">
        <v>55698</v>
      </c>
      <c r="AD64" s="143">
        <v>2473</v>
      </c>
      <c r="AE64" s="143">
        <v>49201</v>
      </c>
      <c r="AF64" s="143">
        <v>51674</v>
      </c>
      <c r="AG64" s="143">
        <v>136</v>
      </c>
      <c r="AH64" s="143">
        <v>1944</v>
      </c>
      <c r="AI64" s="143">
        <v>2080</v>
      </c>
      <c r="AJ64" s="143">
        <v>219</v>
      </c>
      <c r="AK64" s="143">
        <v>1725</v>
      </c>
      <c r="AL64" s="143">
        <v>1944</v>
      </c>
      <c r="AM64" s="143">
        <v>1846</v>
      </c>
      <c r="AN64" s="143">
        <v>80053</v>
      </c>
      <c r="AO64" s="143">
        <v>81899</v>
      </c>
      <c r="AP64" s="143">
        <v>221055</v>
      </c>
      <c r="AQ64" s="143">
        <v>1576334</v>
      </c>
      <c r="AR64" s="143">
        <v>1797389</v>
      </c>
      <c r="AS64" s="143">
        <v>221542</v>
      </c>
      <c r="AT64" s="143">
        <v>1580827</v>
      </c>
      <c r="AU64" s="143">
        <v>1802369</v>
      </c>
      <c r="AV64" s="143">
        <v>-487</v>
      </c>
      <c r="AW64" s="143">
        <v>-4493</v>
      </c>
      <c r="AX64" s="143">
        <v>-4980</v>
      </c>
      <c r="AY64" s="143">
        <v>12733</v>
      </c>
      <c r="AZ64" s="143">
        <v>148759</v>
      </c>
      <c r="BA64" s="143">
        <v>161492</v>
      </c>
      <c r="BB64" s="143">
        <v>5867</v>
      </c>
      <c r="BC64" s="143">
        <v>135</v>
      </c>
      <c r="BD64" s="143">
        <v>17</v>
      </c>
      <c r="BE64" s="143">
        <v>87433</v>
      </c>
      <c r="BF64" s="143">
        <v>1049</v>
      </c>
      <c r="BG64" s="143">
        <v>686</v>
      </c>
      <c r="BH64" s="143">
        <v>6019</v>
      </c>
      <c r="BI64" s="143">
        <v>89168</v>
      </c>
      <c r="BJ64" s="143">
        <v>95187</v>
      </c>
      <c r="BK64" s="143">
        <v>-1330</v>
      </c>
      <c r="BL64" s="143">
        <v>1330</v>
      </c>
      <c r="BM64" s="143">
        <v>0</v>
      </c>
      <c r="BN64" s="143">
        <v>635</v>
      </c>
      <c r="BO64" s="143">
        <v>2553</v>
      </c>
      <c r="BP64" s="143">
        <v>3188</v>
      </c>
      <c r="BQ64" s="143">
        <v>1068</v>
      </c>
      <c r="BR64" s="143">
        <v>14591</v>
      </c>
      <c r="BS64" s="143">
        <v>15659</v>
      </c>
      <c r="BT64" s="143">
        <v>6341</v>
      </c>
      <c r="BU64" s="143">
        <v>41117</v>
      </c>
      <c r="BV64" s="143">
        <v>47458</v>
      </c>
      <c r="BW64" s="143">
        <v>233788</v>
      </c>
      <c r="BX64" s="143">
        <v>1725093</v>
      </c>
      <c r="BY64" s="143">
        <v>1958881</v>
      </c>
      <c r="BZ64" s="143">
        <v>229044</v>
      </c>
      <c r="CA64" s="143">
        <v>1696987</v>
      </c>
      <c r="CB64" s="143">
        <v>1926031</v>
      </c>
      <c r="CC64" s="143">
        <v>3986957</v>
      </c>
      <c r="CD64" s="143">
        <v>2449</v>
      </c>
      <c r="CE64" s="143">
        <v>28431</v>
      </c>
      <c r="CF64" s="143">
        <v>4484</v>
      </c>
      <c r="CG64" s="143">
        <v>18964</v>
      </c>
      <c r="CH64" s="143">
        <v>23448</v>
      </c>
      <c r="CI64" s="143">
        <v>11328</v>
      </c>
      <c r="CJ64" s="143">
        <v>1020</v>
      </c>
      <c r="CK64" s="143">
        <v>260</v>
      </c>
      <c r="CL64" s="143">
        <v>9142</v>
      </c>
      <c r="CM64" s="143">
        <v>9402</v>
      </c>
      <c r="CN64" s="143">
        <v>12098</v>
      </c>
      <c r="CO64" s="143">
        <v>136304</v>
      </c>
      <c r="CP64" s="143">
        <v>148402</v>
      </c>
      <c r="CQ64" s="143">
        <v>57</v>
      </c>
      <c r="CR64" s="143">
        <v>791</v>
      </c>
      <c r="CS64" s="143">
        <v>848</v>
      </c>
      <c r="CT64" s="143">
        <v>221690</v>
      </c>
      <c r="CU64" s="143">
        <v>1588789</v>
      </c>
      <c r="CV64" s="143">
        <v>1810479</v>
      </c>
      <c r="CW64" s="143">
        <v>15048</v>
      </c>
      <c r="CX64" s="143">
        <v>73910</v>
      </c>
      <c r="CY64" s="143">
        <v>88958</v>
      </c>
      <c r="CZ64" s="143">
        <v>14410</v>
      </c>
      <c r="DA64" s="143">
        <v>308</v>
      </c>
      <c r="DB64" s="143">
        <v>8</v>
      </c>
      <c r="DC64" s="143">
        <v>68258</v>
      </c>
      <c r="DD64" s="143">
        <v>967</v>
      </c>
      <c r="DE64" s="143">
        <v>243</v>
      </c>
      <c r="DF64" s="143">
        <v>14726</v>
      </c>
      <c r="DG64" s="143">
        <v>69468</v>
      </c>
      <c r="DH64" s="143">
        <v>84194</v>
      </c>
      <c r="DI64" s="143">
        <v>316</v>
      </c>
      <c r="DJ64" s="143">
        <v>6</v>
      </c>
      <c r="DK64" s="143">
        <v>0</v>
      </c>
      <c r="DL64" s="143">
        <v>4312</v>
      </c>
      <c r="DM64" s="143">
        <v>105</v>
      </c>
      <c r="DN64" s="143">
        <v>25</v>
      </c>
      <c r="DO64" s="143">
        <v>322</v>
      </c>
      <c r="DP64" s="143">
        <v>4442</v>
      </c>
      <c r="DQ64" s="143">
        <v>4764</v>
      </c>
      <c r="DR64" s="143">
        <v>6</v>
      </c>
      <c r="DS64" s="143">
        <v>8</v>
      </c>
      <c r="DT64" s="143">
        <v>14</v>
      </c>
      <c r="DU64" s="116"/>
      <c r="DV64" s="144">
        <v>25518518</v>
      </c>
      <c r="DX64" s="136"/>
      <c r="DY64" s="136"/>
    </row>
  </sheetData>
  <conditionalFormatting sqref="B6:DT63">
    <cfRule type="containsBlanks" dxfId="885" priority="1">
      <formula>LEN(TRIM(B6))=0</formula>
    </cfRule>
  </conditionalFormatting>
  <dataValidations count="123">
    <dataValidation allowBlank="1" prompt="Part D.  RECERTIFICATIONS_x000a_ Item 10. Overdue recertifications during the month_x000a_ Column C. Total" sqref="DT5"/>
    <dataValidation allowBlank="1" prompt="Part D.  RECERTIFICATIONS_x000a_ Item 10. Overdue recertifications during the month_x000a_ Column B. NACF" sqref="DS5"/>
    <dataValidation allowBlank="1" prompt="Part D.  RECERTIFICATIONS_x000a_ Item 10. Overdue recertifications during the month_x000a_ Column A. PACF" sqref="DR5"/>
    <dataValidation allowBlank="1" prompt="Part D.  RECERTIFICATIONS_x000a_ Item 9B. Determined ineligible_x000a_ Column C. Total" sqref="DQ5"/>
    <dataValidation allowBlank="1" prompt="Part D.  RECERTIFICATIONS_x000a_ Item 9B. Determined ineligible_x000a_ Column B. NACF" sqref="DP5"/>
    <dataValidation allowBlank="1" prompt="Part D.  RECERTIFICATIONS_x000a_ Item 9B. Determined ineligible_x000a_ Column A. PACF" sqref="DO5"/>
    <dataValidation allowBlank="1" prompt="Part D.  RECERTIFICATIONS_x000a_ Item 9B. Determined ineligible_x000a_ Column NACF: State" sqref="DN5"/>
    <dataValidation allowBlank="1" prompt="Part D.  RECERTIFICATIONS_x000a_ Item 9B. Determined ineligible_x000a_ Column NACF: Federal/State" sqref="DM5"/>
    <dataValidation allowBlank="1" prompt="Part D.  RECERTIFICATIONS_x000a_ Item 9B. Determined ineligible_x000a_ Column NACF: Federal" sqref="DL5"/>
    <dataValidation allowBlank="1" prompt="Part D.  RECERTIFICATIONS_x000a_ Item 9B. Determined ineligible_x000a_ Column PACF: State" sqref="DK5"/>
    <dataValidation allowBlank="1" prompt="Part D.  RECERTIFICATIONS_x000a_ Item 9B. Determined ineligible_x000a_ Column PACF: Federal/State" sqref="DJ5"/>
    <dataValidation allowBlank="1" prompt="Part D.  RECERTIFICATIONS_x000a_ Item 9B. Determined ineligible_x000a_ Column PACF: Federal" sqref="DI5"/>
    <dataValidation allowBlank="1" prompt="Part D.  RECERTIFICATIONS_x000a_ Item 9A. Determined continuing eligible_x000a_ Column C. Total" sqref="DH5"/>
    <dataValidation allowBlank="1" prompt="Part D.  RECERTIFICATIONS_x000a_ Item 9A. Determined continuing eligible_x000a_ Column B. NACF" sqref="DG5"/>
    <dataValidation allowBlank="1" prompt="Part D.  RECERTIFICATIONS_x000a_ Item 9A. Determined continuing eligible_x000a_ Column A. PACF" sqref="DF5"/>
    <dataValidation allowBlank="1" prompt="Part D.  RECERTIFICATIONS_x000a_ Item 9A. Determined continuing eligible_x000a_ Column NACF: State" sqref="DE5"/>
    <dataValidation allowBlank="1" prompt="Part D.  RECERTIFICATIONS_x000a_ Item 9A. Determined continuing eligible_x000a_ Column NACF: Federal/State" sqref="DD5"/>
    <dataValidation allowBlank="1" prompt="Part D.  RECERTIFICATIONS_x000a_ Item 9A. Determined continuing eligible_x000a_ Column NACF: Federal" sqref="DC5"/>
    <dataValidation allowBlank="1" prompt="Part D.  RECERTIFICATIONS_x000a_ Item 9A. Determined continuing eligible_x000a_ Column PACF: State" sqref="DB5"/>
    <dataValidation allowBlank="1" prompt="Part D.  RECERTIFICATIONS_x000a_ Item 9A. Determined continuing eligible_x000a_ Column PACF: Federal/State" sqref="DA5"/>
    <dataValidation allowBlank="1" prompt="Part D.  RECERTIFICATIONS_x000a_ Item 9A. Determined continuing eligible_x000a_ Column PACF: Federal" sqref="CZ5"/>
    <dataValidation allowBlank="1" prompt="Part D.  RECERTIFICATIONS_x000a_ Item 9. Recertifications disposed of during the month _x000a_ Column C. Total" sqref="CY5"/>
    <dataValidation allowBlank="1" prompt="Part D.  RECERTIFICATIONS_x000a_ Item 9. Recertifications disposed of during the month _x000a_ Column B. NACF" sqref="CX5"/>
    <dataValidation allowBlank="1" prompt="Part D.  RECERTIFICATIONS_x000a_ Item 9. Recertifications disposed of during the month _x000a_ Column A. PACF" sqref="CW5"/>
    <dataValidation allowBlank="1" prompt="Part C.  CERTIFIED CASELOAD MOVEMENT_x000a_ Item 8. Cases brought forward at the end of the month_x000a_ Column C. Total" sqref="CV5"/>
    <dataValidation allowBlank="1" prompt="Part C.  CERTIFIED CASELOAD MOVEMENT_x000a_ Item 8. Cases brought forward at the end of the month_x000a_ Column B. NACF" sqref="CU5"/>
    <dataValidation allowBlank="1" prompt="Part C.  CERTIFIED CASELOAD MOVEMENT_x000a_ Item 8. Cases brought forward at the end of the month_x000a_ Column A. PACF" sqref="CT5"/>
    <dataValidation allowBlank="1" prompt="Part C.  CERTIFIED CASELOAD MOVEMENT_x000a_ Item 7A. Households discontinued due to recipient failure to complete application process for ongoing benefits (Expedited services only)_x000a_ Column C. Total" sqref="CS5"/>
    <dataValidation allowBlank="1" prompt="Part C.  CERTIFIED CASELOAD MOVEMENT_x000a_ Item 7A. Households discontinued due to recipient failure to complete application process for ongoing benefits (Expedited services only)_x000a_ Column B. NACF" sqref="CR5"/>
    <dataValidation allowBlank="1" prompt="Part C.  CERTIFIED CASELOAD MOVEMENT_x000a_ Item 7A. Households discontinued due to recipient failure to complete application process for ongoing benefits (Expedited services only)_x000a_ Column A. PACF" sqref="CQ5"/>
    <dataValidation allowBlank="1" prompt="Part C.  CERTIFIED CASELOAD MOVEMENT_x000a_ Item 7. Cases discontinued during the month_x000a_ Column C. Total" sqref="CP5"/>
    <dataValidation allowBlank="1" prompt="Part C.  CERTIFIED CASELOAD MOVEMENT_x000a_ Item 7. Cases discontinued during the month_x000a_ Column B. NACF" sqref="CO5"/>
    <dataValidation allowBlank="1" prompt="Part C.  CERTIFIED CASELOAD MOVEMENT_x000a_ Item 7. Cases discontinued during the month_x000a_ Column A. PACF" sqref="CN5"/>
    <dataValidation allowBlank="1" prompt="Part C.  CERTIFIED CASELOAD MOVEMENT_x000a_ Item 6C. Pure state cases_x000a_ Column C. Total" sqref="CM5"/>
    <dataValidation allowBlank="1" prompt="Part C.  CERTIFIED CASELOAD MOVEMENT_x000a_ Item 6C. Pure state cases_x000a_ Column B. NACF" sqref="CL5"/>
    <dataValidation allowBlank="1" prompt="Part C.  CERTIFIED CASELOAD MOVEMENT_x000a_ Item 6C. Pure state cases_x000a_ Column A. PACF" sqref="CK5"/>
    <dataValidation allowBlank="1" prompt="Part C.  CERTIFIED CASELOAD MOVEMENT_x000a_ Item 6C. Pure state cases_x000a_ Column State Persons: Families" sqref="CJ5"/>
    <dataValidation allowBlank="1" prompt="Part C.  CERTIFIED CASELOAD MOVEMENT_x000a_ Item 6C. Pure state cases_x000a_ Column State Persons: Single" sqref="CI5"/>
    <dataValidation allowBlank="1" prompt="Part C.  CERTIFIED CASELOAD MOVEMENT_x000a_ Item 6B. Federal/State combined cases_x000a_ Column C. Total" sqref="CH5"/>
    <dataValidation allowBlank="1" prompt="Part C.  CERTIFIED CASELOAD MOVEMENT_x000a_ Item 6B. Federal/State combined cases_x000a_ Column B. NACF" sqref="CG5"/>
    <dataValidation allowBlank="1" prompt="Part C.  CERTIFIED CASELOAD MOVEMENT_x000a_ Item 6B. Federal/State combined cases_x000a_ Column A. PACF" sqref="CF5"/>
    <dataValidation allowBlank="1" prompt="Part C.  CERTIFIED CASELOAD MOVEMENT_x000a_ Item 6B. Federal/State combined cases_x000a_ Column State Persons: Families" sqref="CE5"/>
    <dataValidation allowBlank="1" prompt="Part C.  CERTIFIED CASELOAD MOVEMENT_x000a_ Item 6B. Federal/State combined cases_x000a_ Column State Persons: Single" sqref="CD5"/>
    <dataValidation allowBlank="1" prompt="Part C.  CERTIFIED CASELOAD MOVEMENT_x000a_ Item 6A.1) Federal persons in Item 6A cases plus federal persons in Item 6B cases_x000a_ Column Federal Persons" sqref="CC5"/>
    <dataValidation allowBlank="1" prompt="Part C.  CERTIFIED CASELOAD MOVEMENT_x000a_ Item 6A. Pure federal cases_x000a_ Column C. Total" sqref="CB5"/>
    <dataValidation allowBlank="1" prompt="Part C.  CERTIFIED CASELOAD MOVEMENT_x000a_ Item 6A. Pure federal cases_x000a_ Column B. NACF" sqref="CA5"/>
    <dataValidation allowBlank="1" prompt="Part C.  CERTIFIED CASELOAD MOVEMENT_x000a_ Item 6A. Pure federal cases_x000a_ Column A. PACF" sqref="BZ5"/>
    <dataValidation allowBlank="1" prompt="Part C.  CERTIFIED CASELOAD MOVEMENT_x000a_ Item 6. Total cases open during the month _x000a_ Column C. Total" sqref="BY5"/>
    <dataValidation allowBlank="1" prompt="Part C.  CERTIFIED CASELOAD MOVEMENT_x000a_ Item 6. Total cases open during the month _x000a_ Column B. NACF" sqref="BX5"/>
    <dataValidation allowBlank="1" prompt="Part C.  CERTIFIED CASELOAD MOVEMENT_x000a_ Item 6. Total cases open during the month _x000a_ Column A. PACF" sqref="BW5"/>
    <dataValidation allowBlank="1" prompt="Part C.  CERTIFIED CASELOAD MOVEMENT_x000a_ Item 5E. Other Approvals_x000a_ Column C. Total" sqref="BV5"/>
    <dataValidation allowBlank="1" prompt="Part C.  CERTIFIED CASELOAD MOVEMENT_x000a_ Item 5E. Other Approvals_x000a_ Column B. NACF" sqref="BU5"/>
    <dataValidation allowBlank="1" prompt="Part C.  CERTIFIED CASELOAD MOVEMENT_x000a_ Item 5E. Other Approvals_x000a_ Column A. PACF" sqref="BT5"/>
    <dataValidation allowBlank="1" prompt="Part C.  CERTIFIED CASELOAD MOVEMENT_x000a_ Item 5D. Cases with eligibility reinstated and benefits pro-rated during the month_x000a_ Column C. Total" sqref="BS5"/>
    <dataValidation allowBlank="1" prompt="Part C.  CERTIFIED CASELOAD MOVEMENT_x000a_ Item 5D. Cases with eligibility reinstated and benefits pro-rated during the month_x000a_ Column B. NACF" sqref="BR5"/>
    <dataValidation allowBlank="1" prompt="Part C.  CERTIFIED CASELOAD MOVEMENT_x000a_ Item 5D. Cases with eligibility reinstated and benefits pro-rated during the month_x000a_ Column A. PACF" sqref="BQ5"/>
    <dataValidation allowBlank="1" prompt="Part C.  CERTIFIED CASELOAD MOVEMENT_x000a_ Item 5C. Inter-County Transfers_x000a_ Column C. Total" sqref="BP5"/>
    <dataValidation allowBlank="1" prompt="Part C.  CERTIFIED CASELOAD MOVEMENT_x000a_ Item 5C. Inter-County Transfers_x000a_ Column B. NACF" sqref="BO5"/>
    <dataValidation allowBlank="1" prompt="Part C.  CERTIFIED CASELOAD MOVEMENT_x000a_ Item 5C. Inter-County Transfers_x000a_ Column A. PACF" sqref="BN5"/>
    <dataValidation allowBlank="1" prompt="Part C.  CERTIFIED CASELOAD MOVEMENT_x000a_ Item 5B. Change in asssistance status from PACF or NACF_x000a_ Column C. Total" sqref="BM5"/>
    <dataValidation allowBlank="1" prompt="Part C.  CERTIFIED CASELOAD MOVEMENT_x000a_ Item 5B. Change in asssistance status from PACF or NACF_x000a_ Column B. NACF" sqref="BL5"/>
    <dataValidation allowBlank="1" prompt="Part C.  CERTIFIED CASELOAD MOVEMENT_x000a_ Item 5B. Change in asssistance status from PACF or NACF_x000a_ Column A. PACF" sqref="BK5"/>
    <dataValidation allowBlank="1" prompt="Part C.  CERTIFIED CASELOAD MOVEMENT_x000a_ Item 5A. Applications Approved_x000a_ Column C. Total" sqref="BJ5"/>
    <dataValidation allowBlank="1" prompt="Part C.  CERTIFIED CASELOAD MOVEMENT_x000a_ Item 5A. Applications Approved_x000a_ Column B. NACF" sqref="BI5"/>
    <dataValidation allowBlank="1" prompt="Part C.  CERTIFIED CASELOAD MOVEMENT_x000a_ Item 5A. Applications Approved_x000a_ Column A. PACF" sqref="BH5"/>
    <dataValidation allowBlank="1" prompt="Part C.  CERTIFIED CASELOAD MOVEMENT_x000a_ Item 5A. Applications Approved_x000a_ Column NACF (State)" sqref="BG5"/>
    <dataValidation allowBlank="1" prompt="Part C.  CERTIFIED CASELOAD MOVEMENT_x000a_ Item 5A. Applications Approved_x000a_ Column NACF (Federal/State)" sqref="BF5"/>
    <dataValidation allowBlank="1" prompt="Part C.  CERTIFIED CASELOAD MOVEMENT_x000a_ Item 5A. Applications Approved_x000a_ Column NACF (Federal)" sqref="BE5"/>
    <dataValidation allowBlank="1" prompt="Part C.  CERTIFIED CASELOAD MOVEMENT_x000a_ Item 5A. Applications Approved_x000a_ Column PACF (State)" sqref="BD5"/>
    <dataValidation allowBlank="1" prompt="Part C.  CERTIFIED CASELOAD MOVEMENT_x000a_ Item 5A. Applications Approved_x000a_ Column PACF (Federal/State)" sqref="BC5"/>
    <dataValidation allowBlank="1" prompt="Part C.  CERTIFIED CASELOAD MOVEMENT_x000a_ Item 5A. Applications Approved_x000a_ Column PACF (Federal)" sqref="BB5"/>
    <dataValidation allowBlank="1" prompt="Part C.  CERTIFIED CASELOAD MOVEMENT_x000a_ Item 5. Cases added during the month _x000a_ Column C. Total" sqref="BA5"/>
    <dataValidation allowBlank="1" prompt="Part C.  CERTIFIED CASELOAD MOVEMENT_x000a_ Item 5. Cases added during the month _x000a_ Column B. NACF" sqref="AZ5"/>
    <dataValidation allowBlank="1" prompt="Part C.  CERTIFIED CASELOAD MOVEMENT_x000a_ Item 5. Cases added during the month _x000a_ Column A. PACF" sqref="AY5"/>
    <dataValidation allowBlank="1" prompt="Part C.  CERTIFIED CASELOAD MOVEMENT_x000a_ Item 4B. Adjustment_x000a_ Column C. Total" sqref="AX5"/>
    <dataValidation allowBlank="1" prompt="Part C.  CERTIFIED CASELOAD MOVEMENT_x000a_ Item 4B. Adjustment_x000a_ Column B. NACF" sqref="AW5"/>
    <dataValidation allowBlank="1" prompt="Part C.  CERTIFIED CASELOAD MOVEMENT_x000a_ Item 4B. Adjustment_x000a_ Column A. PACF" sqref="AV5"/>
    <dataValidation allowBlank="1" prompt="Part C.  CERTIFIED CASELOAD MOVEMENT_x000a_ Item 4A. Item 8 from last month's report, as reported to CDSS_x000a_ Column C. Total" sqref="AU5"/>
    <dataValidation allowBlank="1" prompt="Part C.  CERTIFIED CASELOAD MOVEMENT_x000a_ Item 4A. Item 8 from last month's report, as reported to CDSS_x000a_ Column B. NACF" sqref="AT5"/>
    <dataValidation allowBlank="1" prompt="Part C.  CERTIFIED CASELOAD MOVEMENT_x000a_ Item 4A. Item 8 from last month's report, as reported to CDSS_x000a_ Column A. PACF" sqref="AS5"/>
    <dataValidation allowBlank="1" prompt="Part C.  CERTIFIED CASELOAD MOVEMENT_x000a_ Item 4. Cases brought forward at the beginning of the month_x000a_ Column C. Total" sqref="AR5"/>
    <dataValidation allowBlank="1" prompt="Part C.  CERTIFIED CASELOAD MOVEMENT_x000a_ Item 4. Cases brought forward at the beginning of the month_x000a_ Column B. NACF" sqref="AQ5"/>
    <dataValidation allowBlank="1" prompt="Part C.  CERTIFIED CASELOAD MOVEMENT_x000a_ Item 4. Cases brought forward at the beginning of the month_x000a_ Column A. PACF" sqref="AP5"/>
    <dataValidation allowBlank="1" prompt="Part B.  APPLICATIONS PROCESSED UNDER EXPEDITED SERVICES (ES)_x000a_ Item 3B. Found not entitled to expedited services_x000a_ Column C. Total" sqref="AO5"/>
    <dataValidation allowBlank="1" prompt="Part B.  APPLICATIONS PROCESSED UNDER EXPEDITED SERVICES (ES)_x000a_ Item 3B. Found not entitled to expedited services_x000a_ Column B. NACF" sqref="AN5"/>
    <dataValidation allowBlank="1" prompt="Part B.  APPLICATIONS PROCESSED UNDER EXPEDITED SERVICES (ES)_x000a_ Item 3B. Found not entitled to expedited services_x000a_ Column A. PACF" sqref="AM5"/>
    <dataValidation allowBlank="1" prompt="Part B.  APPLICATIONS PROCESSED UNDER EXPEDITED SERVICES (ES)_x000a_ Item 3A.3) Benefits issued in over 7 days_x000a_ Column C. Total" sqref="AL5"/>
    <dataValidation allowBlank="1" prompt="Part B.  APPLICATIONS PROCESSED UNDER EXPEDITED SERVICES (ES)_x000a_ Item 3A.3) Benefits issued in over 7 days_x000a_ Column B. NACF" sqref="AK5"/>
    <dataValidation allowBlank="1" prompt="Part B.  APPLICATIONS PROCESSED UNDER EXPEDITED SERVICES (ES)_x000a_ Item 3A.3) Benefits issued in over 7 days_x000a_ Column A. PACF" sqref="AJ5"/>
    <dataValidation allowBlank="1" prompt="Part B.  APPLICATIONS PROCESSED UNDER EXPEDITED SERVICES (ES)_x000a_ Item 3A.2) Benefits issued in 4 to 7 days_x000a_ Column C. Total" sqref="AI5"/>
    <dataValidation allowBlank="1" prompt="Part B.  APPLICATIONS PROCESSED UNDER EXPEDITED SERVICES (ES)_x000a_ Item 3A.2) Benefits issued in 4 to 7 days_x000a_ Column B. NACF" sqref="AH5"/>
    <dataValidation allowBlank="1" prompt="Part B.  APPLICATIONS PROCESSED UNDER EXPEDITED SERVICES (ES)_x000a_ Item 3A.2) Benefits issued in 4 to 7 days_x000a_ Column A. PACF" sqref="AG5"/>
    <dataValidation allowBlank="1" prompt="Part B.  APPLICATIONS PROCESSED UNDER EXPEDITED SERVICES (ES)_x000a_ Item 3A.1) Benefits issued in 1 to 3 days_x000a_ Column C. Total" sqref="AF5"/>
    <dataValidation allowBlank="1" prompt="Part B.  APPLICATIONS PROCESSED UNDER EXPEDITED SERVICES (ES)_x000a_ Item 3A.1) Benefits issued in 1 to 3 days_x000a_ Column B. NACF" sqref="AE5"/>
    <dataValidation allowBlank="1" prompt="Part B.  APPLICATIONS PROCESSED UNDER EXPEDITED SERVICES (ES)_x000a_ Item 3A.1) Benefits issued in 1 to 3 days_x000a_ Column A. PACF" sqref="AD5"/>
    <dataValidation allowBlank="1" prompt="Part B.  APPLICATIONS PROCESSED UNDER EXPEDITED SERVICES (ES)_x000a_ Item 3A. Found entitled to expedited services_x000a_ Column C. Total" sqref="AC5"/>
    <dataValidation allowBlank="1" prompt="Part B.  APPLICATIONS PROCESSED UNDER EXPEDITED SERVICES (ES)_x000a_ Item 3A. Found entitled to expedited services_x000a_ Column B. NACF" sqref="AB5"/>
    <dataValidation allowBlank="1" prompt="Part B.  APPLICATIONS PROCESSED UNDER EXPEDITED SERVICES (ES)_x000a_ Item 3A. Found entitled to expedited services_x000a_ Column A. PACF" sqref="AA5"/>
    <dataValidation allowBlank="1" prompt="Part B.  APPLICATIONS PROCESSED UNDER EXPEDITED SERVICES (ES)_x000a_ Item 3. Of the applications disposed of during the month in Item 2, applications processed under expedited services_x000a_ Column C. Total" sqref="Z5"/>
    <dataValidation allowBlank="1" prompt="Part B.  APPLICATIONS PROCESSED UNDER EXPEDITED SERVICES (ES)_x000a_ Item 3. Of the applications disposed of during the month in Item 2, applications processed under expedited services_x000a_ Column B. NACF" sqref="Y5"/>
    <dataValidation allowBlank="1" prompt="Part B.  APPLICATIONS PROCESSED UNDER EXPEDITED SERVICES (ES)_x000a_ Item 3. Of the applications disposed of during the month in Item 2, applications processed under expedited services_x000a_ Column A. PACF" sqref="X5"/>
    <dataValidation allowBlank="1" prompt="Part A.  APPLICATIONS FOR CALFRESH_x000a_ Item 2C. Applications withdrawn_x000a_ Column C. Total" sqref="W5"/>
    <dataValidation allowBlank="1" prompt="Part A.  APPLICATIONS FOR CALFRESH_x000a_ Item 2C. Applications withdrawn_x000a_ Column B. NACF" sqref="V5"/>
    <dataValidation allowBlank="1" prompt="Part A.  APPLICATIONS FOR CALFRESH_x000a_ Item 2C. Applications withdrawn_x000a_ Column A. PACF" sqref="U5"/>
    <dataValidation allowBlank="1" prompt="Part A.  APPLICATIONS FOR CALFRESH_x000a_ Item 2B.3) Applications denied in over 30 days_x000a_ Column C. Total" sqref="T5"/>
    <dataValidation allowBlank="1" prompt="Part A.  APPLICATIONS FOR CALFRESH_x000a_ Item 2B.3) Applications denied in over 30 days_x000a_ Column B. NACF" sqref="S5"/>
    <dataValidation allowBlank="1" prompt="Part A.  APPLICATIONS FOR CALFRESH_x000a_ Item 2B.3) Applications denied in over 30 days_x000a_ Column A. PACF" sqref="R5"/>
    <dataValidation allowBlank="1" prompt="Part A.  APPLICATIONS FOR CALFRESH_x000a_ Item 2B.2) Applications denied for procedural reasons_x000a_ Column C. Total" sqref="Q5"/>
    <dataValidation allowBlank="1" prompt="Part A.  APPLICATIONS FOR CALFRESH_x000a_ Item 2B.2) Applications denied for procedural reasons_x000a_ Column B. NACF" sqref="P5"/>
    <dataValidation allowBlank="1" prompt="Part A.  APPLICATIONS FOR CALFRESH_x000a_ Item 2B.2) Applications denied for procedural reasons_x000a_ Column A. PACF" sqref="O5"/>
    <dataValidation allowBlank="1" prompt="Part A.  APPLICATIONS FOR CALFRESH_x000a_ Item 2B.1) Applications denied because determined ineligible_x000a_ Column C. Total" sqref="N5"/>
    <dataValidation allowBlank="1" prompt="Part A.  APPLICATIONS FOR CALFRESH_x000a_ Item 2B.1) Applications denied because determined ineligible_x000a_ Column B. NACF" sqref="M5"/>
    <dataValidation allowBlank="1" prompt="Part A.  APPLICATIONS FOR CALFRESH_x000a_ Item 2B.1) Applications denied because determined ineligible_x000a_ Column A. PACF" sqref="L5"/>
    <dataValidation allowBlank="1" prompt="Part A.  APPLICATIONS FOR CALFRESH_x000a_ Item 2B. Applications denied (Item 2B1 plus Item 2B2)_x000a_ Column C. Total" sqref="K5"/>
    <dataValidation allowBlank="1" prompt="Part A.  APPLICATIONS FOR CALFRESH_x000a_ Item 2B. Applications denied (Item 2B1 plus Item 2B2)_x000a_ Column B. NACF" sqref="J5"/>
    <dataValidation allowBlank="1" prompt="Part A.  APPLICATIONS FOR CALFRESH_x000a_ Item 2B. Applications denied (Item 2B1 plus Item 2B2)_x000a_ Column A. PACF" sqref="I5"/>
    <dataValidation allowBlank="1" prompt="Part A.  APPLICATIONS FOR CALFRESH_x000a_ Item 2A.1) Applications approved in over 30 days_x000a_ Column C. Total" sqref="H5"/>
    <dataValidation allowBlank="1" prompt="Part A.  APPLICATIONS FOR CALFRESH_x000a_ Item 2A.1) Applications approved in over 30 days _x000a_ Column B. NACF" sqref="G5"/>
    <dataValidation allowBlank="1" prompt="Part A.  APPLICATIONS FOR CALFRESH_x000a_ Item 2A.1) Applications approved in over 30 days _x000a_ Column A. PACF" sqref="F5"/>
    <dataValidation allowBlank="1" prompt="Part A.  APPLICATIONS FOR CALFRESH_x000a_ Item 2A. Applications approved _x000a_ Column Total" sqref="E5"/>
    <dataValidation allowBlank="1" prompt="Part A.  APPLICATIONS FOR CALFRESH_x000a_ Item 2. Applications disposed of during the month _x000a_ Column Total" sqref="D5"/>
    <dataValidation allowBlank="1" prompt="Part A.  APPLICATIONS FOR CALFRESH_x000a_ Item 1A. Online applications received during the month_x000a_ Column Total" sqref="C5"/>
    <dataValidation allowBlank="1" prompt="Part A.  APPLICATIONS FOR CALFRESH_x000a_ Item 1. Applications received during the month_x000a_ Column Total" sqref="B5"/>
  </dataValidations>
  <printOptions horizontalCentered="1"/>
  <pageMargins left="0.25" right="0.25" top="0.81708333333333305" bottom="0.5" header="0.25" footer="0.25"/>
  <pageSetup scale="10" orientation="portrait" r:id="rId1"/>
  <headerFooter scaleWithDoc="0" alignWithMargins="0"/>
  <rowBreaks count="1" manualBreakCount="1">
    <brk id="64" max="16383" man="1"/>
  </rowBreaks>
  <colBreaks count="12" manualBreakCount="12">
    <brk id="7" max="64" man="1"/>
    <brk id="13" max="64" man="1"/>
    <brk id="19" max="64" man="1"/>
    <brk id="25" max="64" man="1"/>
    <brk id="31" max="64" man="1"/>
    <brk id="37" max="64" man="1"/>
    <brk id="43" max="64" man="1"/>
    <brk id="49" max="64" man="1"/>
    <brk id="55" max="1048575" man="1"/>
    <brk id="61" max="1048575" man="1"/>
    <brk id="80" max="64" man="1"/>
    <brk id="115" max="64" man="1"/>
  </colBreak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14</vt:i4>
      </vt:variant>
    </vt:vector>
  </HeadingPairs>
  <TitlesOfParts>
    <vt:vector size="27" baseType="lpstr">
      <vt:lpstr>Release Summary</vt:lpstr>
      <vt:lpstr>Jul17 Statewide</vt:lpstr>
      <vt:lpstr>Jul17</vt:lpstr>
      <vt:lpstr>Aug17 Statewide</vt:lpstr>
      <vt:lpstr>Aug17</vt:lpstr>
      <vt:lpstr>Sep17 Statewide</vt:lpstr>
      <vt:lpstr>Sep17</vt:lpstr>
      <vt:lpstr>Oct17 Statewide</vt:lpstr>
      <vt:lpstr>Oct17</vt:lpstr>
      <vt:lpstr>Nov17 Statewide</vt:lpstr>
      <vt:lpstr>Nov17</vt:lpstr>
      <vt:lpstr>Dec17 Statewide</vt:lpstr>
      <vt:lpstr>Dec17</vt:lpstr>
      <vt:lpstr>'Aug17'!Print_Area</vt:lpstr>
      <vt:lpstr>'Dec17'!Print_Area</vt:lpstr>
      <vt:lpstr>'Jul17'!Print_Area</vt:lpstr>
      <vt:lpstr>'Nov17'!Print_Area</vt:lpstr>
      <vt:lpstr>'Oct17'!Print_Area</vt:lpstr>
      <vt:lpstr>'Release Summary'!Print_Area</vt:lpstr>
      <vt:lpstr>'Sep17'!Print_Area</vt:lpstr>
      <vt:lpstr>TitleRegion1.a4.c16.1</vt:lpstr>
      <vt:lpstr>TitleRegion1.a5.dt64.10</vt:lpstr>
      <vt:lpstr>TitleRegion1.a5.dt64.12</vt:lpstr>
      <vt:lpstr>TitleRegion1.a5.dt64.14</vt:lpstr>
      <vt:lpstr>TitleRegion1.a5.dt64.4</vt:lpstr>
      <vt:lpstr>TitleRegion1.a5.dt64.6</vt:lpstr>
      <vt:lpstr>TitleRegion1.a5.dt64.8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Table Release CF296 FY17-18</dc:title>
  <dc:creator>Jacquelyn Alvarez</dc:creator>
  <cp:lastModifiedBy>Greaves, Jennifer E.@dss</cp:lastModifiedBy>
  <cp:lastPrinted>2018-02-14T15:33:11Z</cp:lastPrinted>
  <dcterms:created xsi:type="dcterms:W3CDTF">2018-02-14T15:28:36Z</dcterms:created>
  <dcterms:modified xsi:type="dcterms:W3CDTF">2018-02-14T16:22:57Z</dcterms:modified>
</cp:coreProperties>
</file>