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15"/>
  <workbookPr filterPrivacy="1" defaultThemeVersion="124226"/>
  <xr:revisionPtr revIDLastSave="0" documentId="7CCD9B2EC8921DA28A17B15512D5ABA9A949143C" xr6:coauthVersionLast="20" xr6:coauthVersionMax="20" xr10:uidLastSave="{00000000-0000-0000-0000-000000000000}"/>
  <bookViews>
    <workbookView xWindow="240" yWindow="108" windowWidth="14808" windowHeight="8016" xr2:uid="{00000000-000D-0000-FFFF-FFFF00000000}"/>
  </bookViews>
  <sheets>
    <sheet name="BOM_spec" sheetId="2" r:id="rId1"/>
    <sheet name="BOM_spec (Farnell)" sheetId="6" r:id="rId2"/>
    <sheet name="Farnell Order" sheetId="5" r:id="rId3"/>
    <sheet name="BOM_spec (Digikey)" sheetId="7" r:id="rId4"/>
    <sheet name="Digikey" sheetId="9" r:id="rId5"/>
  </sheets>
  <calcPr calcId="171026"/>
</workbook>
</file>

<file path=xl/calcChain.xml><?xml version="1.0" encoding="utf-8"?>
<calcChain xmlns="http://schemas.openxmlformats.org/spreadsheetml/2006/main">
  <c r="J16" i="2" l="1"/>
  <c r="K16" i="2"/>
  <c r="J18" i="2"/>
  <c r="K18" i="2"/>
  <c r="K23" i="2"/>
  <c r="D8" i="9"/>
  <c r="F8" i="9"/>
  <c r="H8" i="9"/>
  <c r="I8" i="9"/>
  <c r="J8" i="9"/>
  <c r="B9" i="7"/>
  <c r="E9" i="7"/>
  <c r="F9" i="7"/>
  <c r="A2" i="9"/>
  <c r="A3" i="9"/>
  <c r="A4" i="9"/>
  <c r="A5" i="9"/>
  <c r="A6" i="9"/>
  <c r="A7" i="9"/>
  <c r="A1" i="7"/>
  <c r="A2" i="7"/>
  <c r="B2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A3" i="7"/>
  <c r="B3" i="7"/>
  <c r="C3" i="7"/>
  <c r="E3" i="7"/>
  <c r="F3" i="7"/>
  <c r="E2" i="9"/>
  <c r="G3" i="7"/>
  <c r="H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A4" i="7"/>
  <c r="B4" i="7"/>
  <c r="C4" i="7"/>
  <c r="E4" i="7"/>
  <c r="F4" i="7"/>
  <c r="E3" i="9"/>
  <c r="G4" i="7"/>
  <c r="H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A5" i="7"/>
  <c r="B5" i="7"/>
  <c r="C5" i="7"/>
  <c r="E5" i="7"/>
  <c r="F5" i="7"/>
  <c r="E4" i="9"/>
  <c r="G5" i="7"/>
  <c r="H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A6" i="7"/>
  <c r="B6" i="7"/>
  <c r="C6" i="7"/>
  <c r="E6" i="7"/>
  <c r="F6" i="7"/>
  <c r="E5" i="9"/>
  <c r="G6" i="7"/>
  <c r="H6" i="7"/>
  <c r="I6" i="7"/>
  <c r="B5" i="9"/>
  <c r="D5" i="9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A7" i="7"/>
  <c r="B7" i="7"/>
  <c r="C7" i="7"/>
  <c r="E7" i="7"/>
  <c r="F7" i="7"/>
  <c r="E6" i="9"/>
  <c r="G7" i="7"/>
  <c r="H7" i="7"/>
  <c r="I7" i="7"/>
  <c r="B6" i="9"/>
  <c r="D6" i="9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A8" i="7"/>
  <c r="B8" i="7"/>
  <c r="C8" i="7"/>
  <c r="E8" i="7"/>
  <c r="F8" i="7"/>
  <c r="E7" i="9"/>
  <c r="G8" i="7"/>
  <c r="H8" i="7"/>
  <c r="I8" i="7"/>
  <c r="B7" i="9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A1" i="6"/>
  <c r="A2" i="6"/>
  <c r="B2" i="6"/>
  <c r="C2" i="6"/>
  <c r="D2" i="6"/>
  <c r="E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A3" i="6"/>
  <c r="B3" i="6"/>
  <c r="C3" i="6"/>
  <c r="D3" i="6"/>
  <c r="E3" i="6"/>
  <c r="A2" i="5" a="1"/>
  <c r="A2" i="5"/>
  <c r="E2" i="5"/>
  <c r="G3" i="6"/>
  <c r="H3" i="6"/>
  <c r="K3" i="6"/>
  <c r="L3" i="6"/>
  <c r="N3" i="6"/>
  <c r="O3" i="6"/>
  <c r="P3" i="6"/>
  <c r="Q3" i="6"/>
  <c r="R3" i="6"/>
  <c r="S3" i="6"/>
  <c r="T3" i="6"/>
  <c r="U3" i="6"/>
  <c r="V3" i="6"/>
  <c r="W3" i="6"/>
  <c r="X3" i="6"/>
  <c r="Y3" i="6"/>
  <c r="A4" i="6"/>
  <c r="B4" i="6"/>
  <c r="C4" i="6"/>
  <c r="D4" i="6"/>
  <c r="E4" i="6"/>
  <c r="F4" i="6"/>
  <c r="G4" i="6"/>
  <c r="H4" i="6"/>
  <c r="K4" i="6"/>
  <c r="L4" i="6"/>
  <c r="N4" i="6"/>
  <c r="O4" i="6"/>
  <c r="P4" i="6"/>
  <c r="Q4" i="6"/>
  <c r="R4" i="6"/>
  <c r="S4" i="6"/>
  <c r="T4" i="6"/>
  <c r="U4" i="6"/>
  <c r="V4" i="6"/>
  <c r="W4" i="6"/>
  <c r="X4" i="6"/>
  <c r="Y4" i="6"/>
  <c r="A5" i="6"/>
  <c r="B5" i="6"/>
  <c r="C5" i="6"/>
  <c r="D5" i="6"/>
  <c r="E5" i="6"/>
  <c r="F5" i="6"/>
  <c r="G5" i="6"/>
  <c r="H5" i="6"/>
  <c r="K5" i="6"/>
  <c r="L5" i="6"/>
  <c r="N5" i="6"/>
  <c r="O5" i="6"/>
  <c r="P5" i="6"/>
  <c r="Q5" i="6"/>
  <c r="R5" i="6"/>
  <c r="S5" i="6"/>
  <c r="T5" i="6"/>
  <c r="U5" i="6"/>
  <c r="V5" i="6"/>
  <c r="W5" i="6"/>
  <c r="X5" i="6"/>
  <c r="Y5" i="6"/>
  <c r="A6" i="6"/>
  <c r="B6" i="6"/>
  <c r="C6" i="6"/>
  <c r="D6" i="6"/>
  <c r="E6" i="6"/>
  <c r="F6" i="6"/>
  <c r="G6" i="6"/>
  <c r="H6" i="6"/>
  <c r="K6" i="6"/>
  <c r="L6" i="6"/>
  <c r="N6" i="6"/>
  <c r="O6" i="6"/>
  <c r="P6" i="6"/>
  <c r="Q6" i="6"/>
  <c r="R6" i="6"/>
  <c r="S6" i="6"/>
  <c r="T6" i="6"/>
  <c r="V6" i="6"/>
  <c r="W6" i="6"/>
  <c r="X6" i="6"/>
  <c r="Y6" i="6"/>
  <c r="A7" i="6"/>
  <c r="B7" i="6"/>
  <c r="C7" i="6"/>
  <c r="D7" i="6"/>
  <c r="E7" i="6"/>
  <c r="F7" i="6"/>
  <c r="G7" i="6"/>
  <c r="H7" i="6"/>
  <c r="K7" i="6"/>
  <c r="L7" i="6"/>
  <c r="N7" i="6"/>
  <c r="O7" i="6"/>
  <c r="P7" i="6"/>
  <c r="Q7" i="6"/>
  <c r="R7" i="6"/>
  <c r="S7" i="6"/>
  <c r="T7" i="6"/>
  <c r="V7" i="6"/>
  <c r="W7" i="6"/>
  <c r="X7" i="6"/>
  <c r="Y7" i="6"/>
  <c r="A8" i="6"/>
  <c r="B8" i="6"/>
  <c r="C8" i="6"/>
  <c r="D8" i="6"/>
  <c r="E8" i="6"/>
  <c r="F8" i="6"/>
  <c r="G8" i="6"/>
  <c r="H8" i="6"/>
  <c r="K8" i="6"/>
  <c r="L8" i="6"/>
  <c r="N8" i="6"/>
  <c r="O8" i="6"/>
  <c r="P8" i="6"/>
  <c r="Q8" i="6"/>
  <c r="R8" i="6"/>
  <c r="S8" i="6"/>
  <c r="T8" i="6"/>
  <c r="U8" i="6"/>
  <c r="V8" i="6"/>
  <c r="W8" i="6"/>
  <c r="X8" i="6"/>
  <c r="Y8" i="6"/>
  <c r="A9" i="6"/>
  <c r="B9" i="6"/>
  <c r="C9" i="6"/>
  <c r="D9" i="6"/>
  <c r="E9" i="6"/>
  <c r="F9" i="6"/>
  <c r="G9" i="6"/>
  <c r="H9" i="6"/>
  <c r="K9" i="6"/>
  <c r="L9" i="6"/>
  <c r="N9" i="6"/>
  <c r="O9" i="6"/>
  <c r="P9" i="6"/>
  <c r="Q9" i="6"/>
  <c r="R9" i="6"/>
  <c r="S9" i="6"/>
  <c r="T9" i="6"/>
  <c r="U9" i="6"/>
  <c r="V9" i="6"/>
  <c r="W9" i="6"/>
  <c r="X9" i="6"/>
  <c r="Y9" i="6"/>
  <c r="A10" i="6"/>
  <c r="B10" i="6"/>
  <c r="C10" i="6"/>
  <c r="D10" i="6"/>
  <c r="E10" i="6"/>
  <c r="F10" i="6"/>
  <c r="G10" i="6"/>
  <c r="H10" i="6"/>
  <c r="K10" i="6"/>
  <c r="L10" i="6"/>
  <c r="N10" i="6"/>
  <c r="O10" i="6"/>
  <c r="P10" i="6"/>
  <c r="Q10" i="6"/>
  <c r="R10" i="6"/>
  <c r="S10" i="6"/>
  <c r="T10" i="6"/>
  <c r="U10" i="6"/>
  <c r="V10" i="6"/>
  <c r="W10" i="6"/>
  <c r="X10" i="6"/>
  <c r="Y10" i="6"/>
  <c r="A11" i="6"/>
  <c r="B11" i="6"/>
  <c r="C11" i="6"/>
  <c r="D11" i="6"/>
  <c r="E11" i="6"/>
  <c r="F11" i="6"/>
  <c r="G11" i="6"/>
  <c r="H11" i="6"/>
  <c r="K11" i="6"/>
  <c r="L11" i="6"/>
  <c r="N11" i="6"/>
  <c r="O11" i="6"/>
  <c r="P11" i="6"/>
  <c r="Q11" i="6"/>
  <c r="R11" i="6"/>
  <c r="S11" i="6"/>
  <c r="T11" i="6"/>
  <c r="U11" i="6"/>
  <c r="V11" i="6"/>
  <c r="W11" i="6"/>
  <c r="X11" i="6"/>
  <c r="Y11" i="6"/>
  <c r="A12" i="6"/>
  <c r="B12" i="6"/>
  <c r="C12" i="6"/>
  <c r="D12" i="6"/>
  <c r="E12" i="6"/>
  <c r="F12" i="6"/>
  <c r="G12" i="6"/>
  <c r="H12" i="6"/>
  <c r="K12" i="6"/>
  <c r="L12" i="6"/>
  <c r="N12" i="6"/>
  <c r="O12" i="6"/>
  <c r="P12" i="6"/>
  <c r="Q12" i="6"/>
  <c r="R12" i="6"/>
  <c r="S12" i="6"/>
  <c r="T12" i="6"/>
  <c r="U12" i="6"/>
  <c r="V12" i="6"/>
  <c r="W12" i="6"/>
  <c r="X12" i="6"/>
  <c r="Y12" i="6"/>
  <c r="A13" i="6"/>
  <c r="B13" i="6"/>
  <c r="C13" i="6"/>
  <c r="D13" i="6"/>
  <c r="E13" i="6"/>
  <c r="F13" i="6"/>
  <c r="G13" i="6"/>
  <c r="H13" i="6"/>
  <c r="K13" i="6"/>
  <c r="L13" i="6"/>
  <c r="N13" i="6"/>
  <c r="O13" i="6"/>
  <c r="P13" i="6"/>
  <c r="Q13" i="6"/>
  <c r="R13" i="6"/>
  <c r="S13" i="6"/>
  <c r="T13" i="6"/>
  <c r="U13" i="6"/>
  <c r="V13" i="6"/>
  <c r="W13" i="6"/>
  <c r="X13" i="6"/>
  <c r="Y13" i="6"/>
  <c r="A14" i="6"/>
  <c r="B14" i="6"/>
  <c r="C14" i="6"/>
  <c r="D14" i="6"/>
  <c r="E14" i="6"/>
  <c r="F14" i="6"/>
  <c r="G14" i="6"/>
  <c r="H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A15" i="6"/>
  <c r="B15" i="6"/>
  <c r="C15" i="6"/>
  <c r="D15" i="6"/>
  <c r="E15" i="6"/>
  <c r="F15" i="6"/>
  <c r="G15" i="6"/>
  <c r="H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A16" i="6"/>
  <c r="B16" i="6"/>
  <c r="C16" i="6"/>
  <c r="D16" i="6"/>
  <c r="E16" i="6"/>
  <c r="F16" i="6"/>
  <c r="G16" i="6"/>
  <c r="H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A17" i="6"/>
  <c r="B17" i="6"/>
  <c r="C17" i="6"/>
  <c r="D17" i="6"/>
  <c r="E17" i="6"/>
  <c r="F17" i="6"/>
  <c r="G17" i="6"/>
  <c r="H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A18" i="6"/>
  <c r="B18" i="6"/>
  <c r="C18" i="6"/>
  <c r="D18" i="6"/>
  <c r="E18" i="6"/>
  <c r="F18" i="6"/>
  <c r="G18" i="6"/>
  <c r="H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A19" i="6"/>
  <c r="B19" i="6"/>
  <c r="C19" i="6"/>
  <c r="D19" i="6"/>
  <c r="E19" i="6"/>
  <c r="F19" i="6"/>
  <c r="G19" i="6"/>
  <c r="H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A20" i="6"/>
  <c r="B20" i="6"/>
  <c r="C20" i="6"/>
  <c r="D20" i="6"/>
  <c r="E20" i="6"/>
  <c r="F20" i="6"/>
  <c r="G20" i="6"/>
  <c r="H20" i="6"/>
  <c r="K20" i="6"/>
  <c r="L20" i="6"/>
  <c r="N20" i="6"/>
  <c r="O20" i="6"/>
  <c r="P20" i="6"/>
  <c r="Q20" i="6"/>
  <c r="R20" i="6"/>
  <c r="T20" i="6"/>
  <c r="U20" i="6"/>
  <c r="W20" i="6"/>
  <c r="X20" i="6"/>
  <c r="Y20" i="6"/>
  <c r="A21" i="6"/>
  <c r="B21" i="6"/>
  <c r="C21" i="6"/>
  <c r="D21" i="6"/>
  <c r="E21" i="6"/>
  <c r="F21" i="6"/>
  <c r="G21" i="6"/>
  <c r="H21" i="6"/>
  <c r="K21" i="6"/>
  <c r="L21" i="6"/>
  <c r="N21" i="6"/>
  <c r="O21" i="6"/>
  <c r="P21" i="6"/>
  <c r="Q21" i="6"/>
  <c r="R21" i="6"/>
  <c r="T21" i="6"/>
  <c r="U21" i="6"/>
  <c r="W21" i="6"/>
  <c r="X21" i="6"/>
  <c r="Y21" i="6"/>
  <c r="A22" i="6"/>
  <c r="B22" i="6"/>
  <c r="C22" i="6"/>
  <c r="D22" i="6"/>
  <c r="E22" i="6"/>
  <c r="F22" i="6"/>
  <c r="G22" i="6"/>
  <c r="H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A23" i="6"/>
  <c r="B23" i="6"/>
  <c r="C23" i="6"/>
  <c r="D23" i="6"/>
  <c r="E23" i="6"/>
  <c r="F23" i="6"/>
  <c r="G23" i="6"/>
  <c r="H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A24" i="6"/>
  <c r="B24" i="6"/>
  <c r="C24" i="6"/>
  <c r="D24" i="6"/>
  <c r="E24" i="6"/>
  <c r="F24" i="6"/>
  <c r="G24" i="6"/>
  <c r="H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A25" i="6"/>
  <c r="B25" i="6"/>
  <c r="C25" i="6"/>
  <c r="D25" i="6"/>
  <c r="E25" i="6"/>
  <c r="F25" i="6"/>
  <c r="G25" i="6"/>
  <c r="H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A26" i="6"/>
  <c r="B26" i="6"/>
  <c r="C26" i="6"/>
  <c r="D26" i="6"/>
  <c r="E26" i="6"/>
  <c r="F26" i="6"/>
  <c r="G26" i="6"/>
  <c r="H26" i="6"/>
  <c r="K26" i="6"/>
  <c r="L26" i="6"/>
  <c r="N26" i="6"/>
  <c r="O26" i="6"/>
  <c r="P26" i="6"/>
  <c r="Q26" i="6"/>
  <c r="R26" i="6"/>
  <c r="S26" i="6"/>
  <c r="T26" i="6"/>
  <c r="U26" i="6"/>
  <c r="V26" i="6"/>
  <c r="W26" i="6"/>
  <c r="X26" i="6"/>
  <c r="Y26" i="6"/>
  <c r="A27" i="6"/>
  <c r="B27" i="6"/>
  <c r="C27" i="6"/>
  <c r="D27" i="6"/>
  <c r="E27" i="6"/>
  <c r="F27" i="6"/>
  <c r="G27" i="6"/>
  <c r="H27" i="6"/>
  <c r="K27" i="6"/>
  <c r="L27" i="6"/>
  <c r="N27" i="6"/>
  <c r="O27" i="6"/>
  <c r="P27" i="6"/>
  <c r="Q27" i="6"/>
  <c r="R27" i="6"/>
  <c r="S27" i="6"/>
  <c r="T27" i="6"/>
  <c r="U27" i="6"/>
  <c r="V27" i="6"/>
  <c r="W27" i="6"/>
  <c r="X27" i="6"/>
  <c r="Y27" i="6"/>
  <c r="A28" i="6"/>
  <c r="B28" i="6"/>
  <c r="C28" i="6"/>
  <c r="D28" i="6"/>
  <c r="E28" i="6"/>
  <c r="F28" i="6"/>
  <c r="G28" i="6"/>
  <c r="H28" i="6"/>
  <c r="K28" i="6"/>
  <c r="L28" i="6"/>
  <c r="N28" i="6"/>
  <c r="O28" i="6"/>
  <c r="P28" i="6"/>
  <c r="Q28" i="6"/>
  <c r="R28" i="6"/>
  <c r="S28" i="6"/>
  <c r="T28" i="6"/>
  <c r="U28" i="6"/>
  <c r="V28" i="6"/>
  <c r="W28" i="6"/>
  <c r="X28" i="6"/>
  <c r="Y28" i="6"/>
  <c r="A29" i="6"/>
  <c r="B29" i="6"/>
  <c r="C29" i="6"/>
  <c r="D29" i="6"/>
  <c r="E29" i="6"/>
  <c r="F29" i="6"/>
  <c r="G29" i="6"/>
  <c r="H29" i="6"/>
  <c r="K29" i="6"/>
  <c r="L29" i="6"/>
  <c r="N29" i="6"/>
  <c r="O29" i="6"/>
  <c r="P29" i="6"/>
  <c r="Q29" i="6"/>
  <c r="R29" i="6"/>
  <c r="S29" i="6"/>
  <c r="T29" i="6"/>
  <c r="U29" i="6"/>
  <c r="V29" i="6"/>
  <c r="W29" i="6"/>
  <c r="X29" i="6"/>
  <c r="Y29" i="6"/>
  <c r="A30" i="6"/>
  <c r="B30" i="6"/>
  <c r="C30" i="6"/>
  <c r="D30" i="6"/>
  <c r="E30" i="6"/>
  <c r="F30" i="6"/>
  <c r="G30" i="6"/>
  <c r="H30" i="6"/>
  <c r="K30" i="6"/>
  <c r="L30" i="6"/>
  <c r="N30" i="6"/>
  <c r="O30" i="6"/>
  <c r="P30" i="6"/>
  <c r="Q30" i="6"/>
  <c r="R30" i="6"/>
  <c r="S30" i="6"/>
  <c r="T30" i="6"/>
  <c r="U30" i="6"/>
  <c r="V30" i="6"/>
  <c r="W30" i="6"/>
  <c r="X30" i="6"/>
  <c r="Y30" i="6"/>
  <c r="A31" i="6"/>
  <c r="B31" i="6"/>
  <c r="C31" i="6"/>
  <c r="D31" i="6"/>
  <c r="E31" i="6"/>
  <c r="F31" i="6"/>
  <c r="G31" i="6"/>
  <c r="H31" i="6"/>
  <c r="K31" i="6"/>
  <c r="L31" i="6"/>
  <c r="N31" i="6"/>
  <c r="O31" i="6"/>
  <c r="P31" i="6"/>
  <c r="Q31" i="6"/>
  <c r="R31" i="6"/>
  <c r="S31" i="6"/>
  <c r="T31" i="6"/>
  <c r="U31" i="6"/>
  <c r="V31" i="6"/>
  <c r="W31" i="6"/>
  <c r="X31" i="6"/>
  <c r="Y31" i="6"/>
  <c r="A32" i="6"/>
  <c r="B32" i="6"/>
  <c r="C32" i="6"/>
  <c r="D32" i="6"/>
  <c r="E32" i="6"/>
  <c r="F32" i="6"/>
  <c r="G32" i="6"/>
  <c r="H32" i="6"/>
  <c r="K32" i="6"/>
  <c r="L32" i="6"/>
  <c r="N32" i="6"/>
  <c r="O32" i="6"/>
  <c r="P32" i="6"/>
  <c r="Q32" i="6"/>
  <c r="R32" i="6"/>
  <c r="S32" i="6"/>
  <c r="T32" i="6"/>
  <c r="U32" i="6"/>
  <c r="V32" i="6"/>
  <c r="W32" i="6"/>
  <c r="X32" i="6"/>
  <c r="Y32" i="6"/>
  <c r="A33" i="6"/>
  <c r="B33" i="6"/>
  <c r="C33" i="6"/>
  <c r="D33" i="6"/>
  <c r="E33" i="6"/>
  <c r="F33" i="6"/>
  <c r="G33" i="6"/>
  <c r="H33" i="6"/>
  <c r="K33" i="6"/>
  <c r="L33" i="6"/>
  <c r="N33" i="6"/>
  <c r="O33" i="6"/>
  <c r="P33" i="6"/>
  <c r="Q33" i="6"/>
  <c r="R33" i="6"/>
  <c r="S33" i="6"/>
  <c r="T33" i="6"/>
  <c r="U33" i="6"/>
  <c r="V33" i="6"/>
  <c r="W33" i="6"/>
  <c r="X33" i="6"/>
  <c r="Y33" i="6"/>
  <c r="A34" i="6"/>
  <c r="B34" i="6"/>
  <c r="C34" i="6"/>
  <c r="D34" i="6"/>
  <c r="E34" i="6"/>
  <c r="F34" i="6"/>
  <c r="G34" i="6"/>
  <c r="H34" i="6"/>
  <c r="K34" i="6"/>
  <c r="L34" i="6"/>
  <c r="N34" i="6"/>
  <c r="O34" i="6"/>
  <c r="P34" i="6"/>
  <c r="Q34" i="6"/>
  <c r="R34" i="6"/>
  <c r="S34" i="6"/>
  <c r="T34" i="6"/>
  <c r="U34" i="6"/>
  <c r="V34" i="6"/>
  <c r="W34" i="6"/>
  <c r="X34" i="6"/>
  <c r="Y34" i="6"/>
  <c r="A35" i="6"/>
  <c r="B35" i="6"/>
  <c r="C35" i="6"/>
  <c r="D35" i="6"/>
  <c r="E35" i="6"/>
  <c r="F35" i="6"/>
  <c r="G35" i="6"/>
  <c r="H35" i="6"/>
  <c r="K35" i="6"/>
  <c r="L35" i="6"/>
  <c r="N35" i="6"/>
  <c r="O35" i="6"/>
  <c r="P35" i="6"/>
  <c r="Q35" i="6"/>
  <c r="R35" i="6"/>
  <c r="S35" i="6"/>
  <c r="T35" i="6"/>
  <c r="U35" i="6"/>
  <c r="V35" i="6"/>
  <c r="W35" i="6"/>
  <c r="X35" i="6"/>
  <c r="Y35" i="6"/>
  <c r="A36" i="6"/>
  <c r="B36" i="6"/>
  <c r="C36" i="6"/>
  <c r="D36" i="6"/>
  <c r="E36" i="6"/>
  <c r="F36" i="6"/>
  <c r="G36" i="6"/>
  <c r="H36" i="6"/>
  <c r="K36" i="6"/>
  <c r="L36" i="6"/>
  <c r="N36" i="6"/>
  <c r="O36" i="6"/>
  <c r="P36" i="6"/>
  <c r="Q36" i="6"/>
  <c r="R36" i="6"/>
  <c r="S36" i="6"/>
  <c r="T36" i="6"/>
  <c r="U36" i="6"/>
  <c r="V36" i="6"/>
  <c r="W36" i="6"/>
  <c r="X36" i="6"/>
  <c r="Y36" i="6"/>
  <c r="A37" i="6"/>
  <c r="B37" i="6"/>
  <c r="C37" i="6"/>
  <c r="D37" i="6"/>
  <c r="E37" i="6"/>
  <c r="F37" i="6"/>
  <c r="G37" i="6"/>
  <c r="H37" i="6"/>
  <c r="K37" i="6"/>
  <c r="L37" i="6"/>
  <c r="N37" i="6"/>
  <c r="O37" i="6"/>
  <c r="P37" i="6"/>
  <c r="Q37" i="6"/>
  <c r="R37" i="6"/>
  <c r="S37" i="6"/>
  <c r="T37" i="6"/>
  <c r="U37" i="6"/>
  <c r="V37" i="6"/>
  <c r="W37" i="6"/>
  <c r="X37" i="6"/>
  <c r="Y37" i="6"/>
  <c r="A38" i="6"/>
  <c r="B38" i="6"/>
  <c r="C38" i="6"/>
  <c r="D38" i="6"/>
  <c r="E38" i="6"/>
  <c r="F38" i="6"/>
  <c r="G38" i="6"/>
  <c r="H38" i="6"/>
  <c r="K38" i="6"/>
  <c r="L38" i="6"/>
  <c r="N38" i="6"/>
  <c r="O38" i="6"/>
  <c r="P38" i="6"/>
  <c r="Q38" i="6"/>
  <c r="R38" i="6"/>
  <c r="S38" i="6"/>
  <c r="T38" i="6"/>
  <c r="U38" i="6"/>
  <c r="V38" i="6"/>
  <c r="W38" i="6"/>
  <c r="X38" i="6"/>
  <c r="Y38" i="6"/>
  <c r="A39" i="6"/>
  <c r="B39" i="6"/>
  <c r="C39" i="6"/>
  <c r="D39" i="6"/>
  <c r="E39" i="6"/>
  <c r="F39" i="6"/>
  <c r="G39" i="6"/>
  <c r="H39" i="6"/>
  <c r="K39" i="6"/>
  <c r="L39" i="6"/>
  <c r="N39" i="6"/>
  <c r="O39" i="6"/>
  <c r="P39" i="6"/>
  <c r="Q39" i="6"/>
  <c r="R39" i="6"/>
  <c r="S39" i="6"/>
  <c r="T39" i="6"/>
  <c r="U39" i="6"/>
  <c r="V39" i="6"/>
  <c r="W39" i="6"/>
  <c r="X39" i="6"/>
  <c r="Y39" i="6"/>
  <c r="A40" i="6"/>
  <c r="B40" i="6"/>
  <c r="C40" i="6"/>
  <c r="D40" i="6"/>
  <c r="E40" i="6"/>
  <c r="F40" i="6"/>
  <c r="G40" i="6"/>
  <c r="H40" i="6"/>
  <c r="K40" i="6"/>
  <c r="L40" i="6"/>
  <c r="N40" i="6"/>
  <c r="O40" i="6"/>
  <c r="P40" i="6"/>
  <c r="Q40" i="6"/>
  <c r="R40" i="6"/>
  <c r="S40" i="6"/>
  <c r="T40" i="6"/>
  <c r="U40" i="6"/>
  <c r="V40" i="6"/>
  <c r="W40" i="6"/>
  <c r="X40" i="6"/>
  <c r="Y40" i="6"/>
  <c r="A41" i="6"/>
  <c r="B41" i="6"/>
  <c r="C41" i="6"/>
  <c r="D41" i="6"/>
  <c r="E41" i="6"/>
  <c r="F41" i="6"/>
  <c r="G41" i="6"/>
  <c r="H41" i="6"/>
  <c r="K41" i="6"/>
  <c r="L41" i="6"/>
  <c r="N41" i="6"/>
  <c r="O41" i="6"/>
  <c r="P41" i="6"/>
  <c r="Q41" i="6"/>
  <c r="R41" i="6"/>
  <c r="S41" i="6"/>
  <c r="T41" i="6"/>
  <c r="U41" i="6"/>
  <c r="V41" i="6"/>
  <c r="W41" i="6"/>
  <c r="X41" i="6"/>
  <c r="Y41" i="6"/>
  <c r="A42" i="6"/>
  <c r="B42" i="6"/>
  <c r="C42" i="6"/>
  <c r="D42" i="6"/>
  <c r="E42" i="6"/>
  <c r="F42" i="6"/>
  <c r="G42" i="6"/>
  <c r="H42" i="6"/>
  <c r="K42" i="6"/>
  <c r="L42" i="6"/>
  <c r="N42" i="6"/>
  <c r="O42" i="6"/>
  <c r="P42" i="6"/>
  <c r="Q42" i="6"/>
  <c r="R42" i="6"/>
  <c r="S42" i="6"/>
  <c r="T42" i="6"/>
  <c r="U42" i="6"/>
  <c r="V42" i="6"/>
  <c r="W42" i="6"/>
  <c r="X42" i="6"/>
  <c r="Y42" i="6"/>
  <c r="A43" i="6"/>
  <c r="B43" i="6"/>
  <c r="C43" i="6"/>
  <c r="D43" i="6"/>
  <c r="E43" i="6"/>
  <c r="F43" i="6"/>
  <c r="G43" i="6"/>
  <c r="H43" i="6"/>
  <c r="K43" i="6"/>
  <c r="L43" i="6"/>
  <c r="N43" i="6"/>
  <c r="O43" i="6"/>
  <c r="P43" i="6"/>
  <c r="Q43" i="6"/>
  <c r="R43" i="6"/>
  <c r="S43" i="6"/>
  <c r="T43" i="6"/>
  <c r="U43" i="6"/>
  <c r="V43" i="6"/>
  <c r="W43" i="6"/>
  <c r="X43" i="6"/>
  <c r="Y43" i="6"/>
  <c r="A44" i="6"/>
  <c r="B44" i="6"/>
  <c r="C44" i="6"/>
  <c r="D44" i="6"/>
  <c r="E44" i="6"/>
  <c r="F44" i="6"/>
  <c r="G44" i="6"/>
  <c r="H44" i="6"/>
  <c r="K44" i="6"/>
  <c r="L44" i="6"/>
  <c r="N44" i="6"/>
  <c r="O44" i="6"/>
  <c r="P44" i="6"/>
  <c r="Q44" i="6"/>
  <c r="R44" i="6"/>
  <c r="S44" i="6"/>
  <c r="T44" i="6"/>
  <c r="U44" i="6"/>
  <c r="V44" i="6"/>
  <c r="W44" i="6"/>
  <c r="X44" i="6"/>
  <c r="Y44" i="6"/>
  <c r="A45" i="6"/>
  <c r="B45" i="6"/>
  <c r="C45" i="6"/>
  <c r="D45" i="6"/>
  <c r="E45" i="6"/>
  <c r="F45" i="6"/>
  <c r="G45" i="6"/>
  <c r="H45" i="6"/>
  <c r="K45" i="6"/>
  <c r="L45" i="6"/>
  <c r="N45" i="6"/>
  <c r="O45" i="6"/>
  <c r="P45" i="6"/>
  <c r="Q45" i="6"/>
  <c r="R45" i="6"/>
  <c r="S45" i="6"/>
  <c r="T45" i="6"/>
  <c r="U45" i="6"/>
  <c r="V45" i="6"/>
  <c r="W45" i="6"/>
  <c r="X45" i="6"/>
  <c r="Y45" i="6"/>
  <c r="A46" i="6"/>
  <c r="B46" i="6"/>
  <c r="C46" i="6"/>
  <c r="D46" i="6"/>
  <c r="E46" i="6"/>
  <c r="F46" i="6"/>
  <c r="G46" i="6"/>
  <c r="H46" i="6"/>
  <c r="K46" i="6"/>
  <c r="L46" i="6"/>
  <c r="N46" i="6"/>
  <c r="O46" i="6"/>
  <c r="P46" i="6"/>
  <c r="Q46" i="6"/>
  <c r="R46" i="6"/>
  <c r="S46" i="6"/>
  <c r="T46" i="6"/>
  <c r="U46" i="6"/>
  <c r="V46" i="6"/>
  <c r="W46" i="6"/>
  <c r="X46" i="6"/>
  <c r="Y46" i="6"/>
  <c r="A47" i="6"/>
  <c r="B47" i="6"/>
  <c r="C47" i="6"/>
  <c r="D47" i="6"/>
  <c r="E47" i="6"/>
  <c r="F47" i="6"/>
  <c r="G47" i="6"/>
  <c r="H47" i="6"/>
  <c r="K47" i="6"/>
  <c r="L47" i="6"/>
  <c r="N47" i="6"/>
  <c r="O47" i="6"/>
  <c r="P47" i="6"/>
  <c r="Q47" i="6"/>
  <c r="R47" i="6"/>
  <c r="S47" i="6"/>
  <c r="T47" i="6"/>
  <c r="U47" i="6"/>
  <c r="V47" i="6"/>
  <c r="W47" i="6"/>
  <c r="X47" i="6"/>
  <c r="Y47" i="6"/>
  <c r="A48" i="6"/>
  <c r="B48" i="6"/>
  <c r="C48" i="6"/>
  <c r="D48" i="6"/>
  <c r="E48" i="6"/>
  <c r="F48" i="6"/>
  <c r="G48" i="6"/>
  <c r="H48" i="6"/>
  <c r="K48" i="6"/>
  <c r="L48" i="6"/>
  <c r="N48" i="6"/>
  <c r="O48" i="6"/>
  <c r="P48" i="6"/>
  <c r="Q48" i="6"/>
  <c r="R48" i="6"/>
  <c r="S48" i="6"/>
  <c r="T48" i="6"/>
  <c r="U48" i="6"/>
  <c r="V48" i="6"/>
  <c r="W48" i="6"/>
  <c r="X48" i="6"/>
  <c r="Y48" i="6"/>
  <c r="A49" i="6"/>
  <c r="B49" i="6"/>
  <c r="C49" i="6"/>
  <c r="D49" i="6"/>
  <c r="E49" i="6"/>
  <c r="F49" i="6"/>
  <c r="G49" i="6"/>
  <c r="H49" i="6"/>
  <c r="K49" i="6"/>
  <c r="L49" i="6"/>
  <c r="N49" i="6"/>
  <c r="O49" i="6"/>
  <c r="P49" i="6"/>
  <c r="Q49" i="6"/>
  <c r="R49" i="6"/>
  <c r="S49" i="6"/>
  <c r="T49" i="6"/>
  <c r="U49" i="6"/>
  <c r="V49" i="6"/>
  <c r="W49" i="6"/>
  <c r="X49" i="6"/>
  <c r="Y49" i="6"/>
  <c r="B50" i="6"/>
  <c r="E50" i="6"/>
  <c r="F50" i="6"/>
  <c r="I50" i="6"/>
  <c r="B51" i="6"/>
  <c r="E51" i="6"/>
  <c r="F51" i="6"/>
  <c r="I51" i="6"/>
  <c r="B52" i="6"/>
  <c r="E52" i="6"/>
  <c r="F52" i="6"/>
  <c r="I52" i="6"/>
  <c r="B53" i="6"/>
  <c r="E53" i="6"/>
  <c r="F53" i="6"/>
  <c r="I53" i="6"/>
  <c r="B54" i="6"/>
  <c r="E54" i="6"/>
  <c r="F54" i="6"/>
  <c r="I54" i="6"/>
  <c r="B55" i="6"/>
  <c r="E55" i="6"/>
  <c r="F55" i="6"/>
  <c r="I55" i="6"/>
  <c r="B56" i="6"/>
  <c r="E56" i="6"/>
  <c r="F56" i="6"/>
  <c r="I56" i="6"/>
  <c r="B57" i="6"/>
  <c r="E57" i="6"/>
  <c r="F57" i="6"/>
  <c r="I57" i="6"/>
  <c r="B58" i="6"/>
  <c r="E58" i="6"/>
  <c r="F58" i="6"/>
  <c r="I58" i="6"/>
  <c r="B59" i="6"/>
  <c r="E59" i="6"/>
  <c r="F59" i="6"/>
  <c r="I59" i="6"/>
  <c r="B60" i="6"/>
  <c r="E60" i="6"/>
  <c r="F60" i="6"/>
  <c r="I60" i="6"/>
  <c r="B61" i="6"/>
  <c r="E61" i="6"/>
  <c r="F61" i="6"/>
  <c r="I61" i="6"/>
  <c r="B62" i="6"/>
  <c r="E62" i="6"/>
  <c r="F62" i="6"/>
  <c r="I62" i="6"/>
  <c r="J19" i="2"/>
  <c r="K19" i="2"/>
  <c r="J18" i="6"/>
  <c r="J13" i="2"/>
  <c r="K13" i="2"/>
  <c r="J13" i="6"/>
  <c r="J53" i="2"/>
  <c r="K53" i="2"/>
  <c r="J48" i="6"/>
  <c r="J54" i="2"/>
  <c r="K54" i="2"/>
  <c r="J49" i="6"/>
  <c r="F6" i="9"/>
  <c r="H6" i="9"/>
  <c r="I6" i="9"/>
  <c r="J6" i="9"/>
  <c r="I48" i="6"/>
  <c r="I13" i="6"/>
  <c r="I49" i="6"/>
  <c r="I18" i="6"/>
  <c r="D7" i="9"/>
  <c r="F7" i="9"/>
  <c r="H7" i="9"/>
  <c r="I7" i="9"/>
  <c r="J7" i="9"/>
  <c r="F5" i="9"/>
  <c r="H5" i="9"/>
  <c r="I5" i="9"/>
  <c r="J5" i="9"/>
  <c r="F3" i="6"/>
  <c r="A3" i="5" a="1"/>
  <c r="A3" i="5"/>
  <c r="G2" i="5"/>
  <c r="J17" i="2"/>
  <c r="K17" i="2"/>
  <c r="J17" i="6"/>
  <c r="I17" i="6"/>
  <c r="E3" i="5"/>
  <c r="G3" i="5"/>
  <c r="A4" i="5" a="1"/>
  <c r="A4" i="5"/>
  <c r="G4" i="5"/>
  <c r="J31" i="2"/>
  <c r="J52" i="2"/>
  <c r="K31" i="2"/>
  <c r="J25" i="6"/>
  <c r="I25" i="6"/>
  <c r="K52" i="2"/>
  <c r="J47" i="6"/>
  <c r="I47" i="6"/>
  <c r="E4" i="5"/>
  <c r="A5" i="5" a="1"/>
  <c r="A5" i="5"/>
  <c r="J50" i="2"/>
  <c r="J51" i="2"/>
  <c r="J49" i="2"/>
  <c r="J30" i="2"/>
  <c r="K30" i="2"/>
  <c r="J24" i="6"/>
  <c r="I24" i="6"/>
  <c r="K50" i="2"/>
  <c r="J46" i="6"/>
  <c r="I46" i="6"/>
  <c r="K49" i="2"/>
  <c r="J43" i="6"/>
  <c r="I43" i="6"/>
  <c r="J44" i="6"/>
  <c r="I44" i="6"/>
  <c r="K51" i="2"/>
  <c r="J45" i="6"/>
  <c r="I45" i="6"/>
  <c r="E5" i="5"/>
  <c r="G5" i="5"/>
  <c r="A6" i="5" a="1"/>
  <c r="A6" i="5"/>
  <c r="G6" i="5"/>
  <c r="J48" i="2"/>
  <c r="J47" i="2"/>
  <c r="K47" i="2"/>
  <c r="J41" i="6"/>
  <c r="I41" i="6"/>
  <c r="K48" i="2"/>
  <c r="J42" i="6"/>
  <c r="I42" i="6"/>
  <c r="E6" i="5"/>
  <c r="A7" i="5" a="1"/>
  <c r="A7" i="5"/>
  <c r="J26" i="2"/>
  <c r="K26" i="2"/>
  <c r="J21" i="6"/>
  <c r="I21" i="6"/>
  <c r="E7" i="5"/>
  <c r="G7" i="5"/>
  <c r="A8" i="5" a="1"/>
  <c r="A8" i="5"/>
  <c r="J22" i="2"/>
  <c r="K22" i="2"/>
  <c r="J4" i="7"/>
  <c r="I4" i="7"/>
  <c r="B3" i="9"/>
  <c r="D3" i="9"/>
  <c r="F3" i="9"/>
  <c r="H3" i="9"/>
  <c r="I3" i="9"/>
  <c r="J3" i="9"/>
  <c r="E8" i="5"/>
  <c r="G8" i="5"/>
  <c r="A9" i="5" a="1"/>
  <c r="A9" i="5"/>
  <c r="J41" i="2"/>
  <c r="K41" i="2"/>
  <c r="J35" i="6"/>
  <c r="I35" i="6"/>
  <c r="E9" i="5"/>
  <c r="G9" i="5"/>
  <c r="A10" i="5" a="1"/>
  <c r="A10" i="5"/>
  <c r="J25" i="2"/>
  <c r="K25" i="2"/>
  <c r="J24" i="2"/>
  <c r="K24" i="2"/>
  <c r="J20" i="6"/>
  <c r="I20" i="6"/>
  <c r="E10" i="5"/>
  <c r="G10" i="5"/>
  <c r="A11" i="5" a="1"/>
  <c r="A11" i="5"/>
  <c r="B10" i="5"/>
  <c r="D10" i="5"/>
  <c r="J14" i="2"/>
  <c r="F10" i="5"/>
  <c r="R10" i="5"/>
  <c r="K14" i="2"/>
  <c r="J14" i="6"/>
  <c r="I14" i="6"/>
  <c r="E11" i="5"/>
  <c r="G11" i="5"/>
  <c r="A12" i="5" a="1"/>
  <c r="A12" i="5"/>
  <c r="B11" i="5"/>
  <c r="D11" i="5"/>
  <c r="J46" i="2"/>
  <c r="J45" i="2"/>
  <c r="J44" i="2"/>
  <c r="F11" i="5"/>
  <c r="R11" i="5"/>
  <c r="K45" i="2"/>
  <c r="J39" i="6"/>
  <c r="I39" i="6"/>
  <c r="K44" i="2"/>
  <c r="J38" i="6"/>
  <c r="I38" i="6"/>
  <c r="K46" i="2"/>
  <c r="J40" i="6"/>
  <c r="I40" i="6"/>
  <c r="E12" i="5"/>
  <c r="G12" i="5"/>
  <c r="A13" i="5" a="1"/>
  <c r="A13" i="5"/>
  <c r="J12" i="2"/>
  <c r="J11" i="2"/>
  <c r="K11" i="2"/>
  <c r="J11" i="6"/>
  <c r="I11" i="6"/>
  <c r="B8" i="5"/>
  <c r="D8" i="5"/>
  <c r="F8" i="5"/>
  <c r="R8" i="5"/>
  <c r="K12" i="2"/>
  <c r="J12" i="6"/>
  <c r="I12" i="6"/>
  <c r="B9" i="5"/>
  <c r="D9" i="5"/>
  <c r="F9" i="5"/>
  <c r="R9" i="5"/>
  <c r="E13" i="5"/>
  <c r="G13" i="5"/>
  <c r="A14" i="5" a="1"/>
  <c r="A14" i="5"/>
  <c r="J10" i="2"/>
  <c r="K10" i="2"/>
  <c r="J10" i="6"/>
  <c r="I10" i="6"/>
  <c r="B7" i="5"/>
  <c r="D7" i="5"/>
  <c r="F7" i="5"/>
  <c r="R7" i="5"/>
  <c r="E14" i="5"/>
  <c r="G14" i="5"/>
  <c r="B14" i="5"/>
  <c r="D14" i="5"/>
  <c r="A15" i="5" a="1"/>
  <c r="A15" i="5"/>
  <c r="G15" i="5"/>
  <c r="J29" i="2"/>
  <c r="J43" i="2"/>
  <c r="J42" i="2"/>
  <c r="F14" i="5"/>
  <c r="R14" i="5"/>
  <c r="K43" i="2"/>
  <c r="J37" i="6"/>
  <c r="I37" i="6"/>
  <c r="K42" i="2"/>
  <c r="J36" i="6"/>
  <c r="I36" i="6"/>
  <c r="K29" i="2"/>
  <c r="J23" i="6"/>
  <c r="I23" i="6"/>
  <c r="B15" i="5"/>
  <c r="D15" i="5"/>
  <c r="E15" i="5"/>
  <c r="A16" i="5" a="1"/>
  <c r="A16" i="5"/>
  <c r="G16" i="5"/>
  <c r="V7" i="2"/>
  <c r="U7" i="6"/>
  <c r="V6" i="2"/>
  <c r="U6" i="6"/>
  <c r="F15" i="5"/>
  <c r="R15" i="5"/>
  <c r="A17" i="5" a="1"/>
  <c r="A17" i="5"/>
  <c r="E16" i="5"/>
  <c r="J21" i="2"/>
  <c r="K21" i="2"/>
  <c r="J19" i="6"/>
  <c r="I19" i="6"/>
  <c r="B16" i="5"/>
  <c r="D16" i="5"/>
  <c r="F16" i="5"/>
  <c r="R16" i="5"/>
  <c r="E17" i="5"/>
  <c r="G17" i="5"/>
  <c r="A18" i="5" a="1"/>
  <c r="A18" i="5"/>
  <c r="B17" i="5"/>
  <c r="D17" i="5"/>
  <c r="J3" i="2"/>
  <c r="F17" i="5"/>
  <c r="R17" i="5"/>
  <c r="K3" i="2"/>
  <c r="J3" i="6"/>
  <c r="I3" i="6"/>
  <c r="E18" i="5"/>
  <c r="G18" i="5"/>
  <c r="A19" i="5" a="1"/>
  <c r="A19" i="5"/>
  <c r="G19" i="5"/>
  <c r="B18" i="5"/>
  <c r="D18" i="5"/>
  <c r="J15" i="2"/>
  <c r="J4" i="2"/>
  <c r="J32" i="2"/>
  <c r="J33" i="2"/>
  <c r="J34" i="2"/>
  <c r="J35" i="2"/>
  <c r="J36" i="2"/>
  <c r="J5" i="2"/>
  <c r="J37" i="2"/>
  <c r="J38" i="2"/>
  <c r="I32" i="6"/>
  <c r="J39" i="2"/>
  <c r="I33" i="6"/>
  <c r="J27" i="2"/>
  <c r="J6" i="2"/>
  <c r="J7" i="2"/>
  <c r="J28" i="2"/>
  <c r="J8" i="2"/>
  <c r="J40" i="2"/>
  <c r="J9" i="2"/>
  <c r="J20" i="2"/>
  <c r="F18" i="5"/>
  <c r="R18" i="5"/>
  <c r="K8" i="2"/>
  <c r="J8" i="6"/>
  <c r="I8" i="6"/>
  <c r="B5" i="5"/>
  <c r="D5" i="5"/>
  <c r="F5" i="5"/>
  <c r="R5" i="5"/>
  <c r="K5" i="2"/>
  <c r="J5" i="6"/>
  <c r="I5" i="6"/>
  <c r="B3" i="5"/>
  <c r="D3" i="5"/>
  <c r="F3" i="5"/>
  <c r="R3" i="5"/>
  <c r="K9" i="2"/>
  <c r="J9" i="6"/>
  <c r="I9" i="6"/>
  <c r="B6" i="5"/>
  <c r="D6" i="5"/>
  <c r="F6" i="5"/>
  <c r="R6" i="5"/>
  <c r="K32" i="2"/>
  <c r="J26" i="6"/>
  <c r="I26" i="6"/>
  <c r="K40" i="2"/>
  <c r="J34" i="6"/>
  <c r="I34" i="6"/>
  <c r="K7" i="2"/>
  <c r="J7" i="6"/>
  <c r="I7" i="6"/>
  <c r="K35" i="2"/>
  <c r="J29" i="6"/>
  <c r="I29" i="6"/>
  <c r="K4" i="2"/>
  <c r="J4" i="6"/>
  <c r="I4" i="6"/>
  <c r="B2" i="5"/>
  <c r="D2" i="5"/>
  <c r="F2" i="5"/>
  <c r="R2" i="5"/>
  <c r="K20" i="2"/>
  <c r="J3" i="7"/>
  <c r="I3" i="7"/>
  <c r="B2" i="9"/>
  <c r="D2" i="9"/>
  <c r="F2" i="9"/>
  <c r="H2" i="9"/>
  <c r="I2" i="9"/>
  <c r="J2" i="9"/>
  <c r="K27" i="2"/>
  <c r="J22" i="6"/>
  <c r="I22" i="6"/>
  <c r="B19" i="5"/>
  <c r="D19" i="5"/>
  <c r="K33" i="2"/>
  <c r="J27" i="6"/>
  <c r="I27" i="6"/>
  <c r="K28" i="2"/>
  <c r="J5" i="7"/>
  <c r="I5" i="7"/>
  <c r="B4" i="9"/>
  <c r="D4" i="9"/>
  <c r="F4" i="9"/>
  <c r="H4" i="9"/>
  <c r="I4" i="9"/>
  <c r="J4" i="9"/>
  <c r="K36" i="2"/>
  <c r="J30" i="6"/>
  <c r="I30" i="6"/>
  <c r="J16" i="6"/>
  <c r="I16" i="6"/>
  <c r="B13" i="5"/>
  <c r="D13" i="5"/>
  <c r="F13" i="5"/>
  <c r="R13" i="5"/>
  <c r="K6" i="2"/>
  <c r="J6" i="6"/>
  <c r="I6" i="6"/>
  <c r="B4" i="5"/>
  <c r="D4" i="5"/>
  <c r="F4" i="5"/>
  <c r="R4" i="5"/>
  <c r="K37" i="2"/>
  <c r="J31" i="6"/>
  <c r="I31" i="6"/>
  <c r="K34" i="2"/>
  <c r="J28" i="6"/>
  <c r="I28" i="6"/>
  <c r="K15" i="2"/>
  <c r="J15" i="6"/>
  <c r="I15" i="6"/>
  <c r="B12" i="5"/>
  <c r="D12" i="5"/>
  <c r="F12" i="5"/>
  <c r="R12" i="5"/>
  <c r="E19" i="5"/>
  <c r="A20" i="5" a="1"/>
  <c r="A20" i="5"/>
  <c r="K38" i="2"/>
  <c r="J32" i="6"/>
  <c r="K39" i="2"/>
  <c r="J33" i="6"/>
  <c r="F19" i="5"/>
  <c r="R19" i="5"/>
  <c r="J10" i="9"/>
  <c r="U3" i="5"/>
  <c r="E20" i="5"/>
  <c r="G20" i="5"/>
  <c r="A21" i="5" a="1"/>
  <c r="A21" i="5"/>
  <c r="B20" i="5"/>
  <c r="D20" i="5"/>
  <c r="F20" i="5"/>
  <c r="R20" i="5"/>
  <c r="B21" i="5"/>
  <c r="D21" i="5"/>
  <c r="G21" i="5"/>
  <c r="A22" i="5" a="1"/>
  <c r="A22" i="5"/>
  <c r="E21" i="5"/>
  <c r="E22" i="5"/>
  <c r="G22" i="5"/>
  <c r="F21" i="5"/>
  <c r="R21" i="5"/>
  <c r="A23" i="5" a="1"/>
  <c r="A23" i="5"/>
  <c r="G23" i="5"/>
  <c r="B22" i="5"/>
  <c r="D22" i="5"/>
  <c r="F22" i="5"/>
  <c r="R22" i="5"/>
  <c r="E23" i="5"/>
  <c r="B23" i="5"/>
  <c r="D23" i="5"/>
  <c r="F23" i="5"/>
  <c r="R23" i="5"/>
  <c r="A24" i="5" a="1"/>
  <c r="A24" i="5"/>
  <c r="G24" i="5"/>
  <c r="E24" i="5"/>
  <c r="A25" i="5" a="1"/>
  <c r="A25" i="5"/>
  <c r="B24" i="5"/>
  <c r="D24" i="5"/>
  <c r="F24" i="5"/>
  <c r="R24" i="5"/>
  <c r="A26" i="5" a="1"/>
  <c r="A26" i="5"/>
  <c r="B26" i="5"/>
  <c r="D26" i="5"/>
  <c r="G25" i="5"/>
  <c r="E25" i="5"/>
  <c r="B25" i="5"/>
  <c r="D25" i="5"/>
  <c r="F25" i="5"/>
  <c r="R25" i="5"/>
  <c r="A27" i="5" a="1"/>
  <c r="A27" i="5"/>
  <c r="G27" i="5"/>
  <c r="E26" i="5"/>
  <c r="F26" i="5"/>
  <c r="R26" i="5"/>
  <c r="G26" i="5"/>
  <c r="B27" i="5"/>
  <c r="D27" i="5"/>
  <c r="A28" i="5" a="1"/>
  <c r="A28" i="5"/>
  <c r="G28" i="5"/>
  <c r="E27" i="5"/>
  <c r="F27" i="5"/>
  <c r="R27" i="5"/>
  <c r="A29" i="5" a="1"/>
  <c r="A29" i="5"/>
  <c r="A30" i="5" a="1"/>
  <c r="A30" i="5"/>
  <c r="G30" i="5"/>
  <c r="E28" i="5"/>
  <c r="B28" i="5"/>
  <c r="D28" i="5"/>
  <c r="F28" i="5"/>
  <c r="R28" i="5"/>
  <c r="B29" i="5"/>
  <c r="D29" i="5"/>
  <c r="E29" i="5"/>
  <c r="G29" i="5"/>
  <c r="E30" i="5"/>
  <c r="A31" i="5" a="1"/>
  <c r="A31" i="5"/>
  <c r="G31" i="5"/>
  <c r="B30" i="5"/>
  <c r="D30" i="5"/>
  <c r="F29" i="5"/>
  <c r="R29" i="5"/>
  <c r="E31" i="5"/>
  <c r="F30" i="5"/>
  <c r="R30" i="5"/>
  <c r="A32" i="5" a="1"/>
  <c r="A32" i="5"/>
  <c r="G32" i="5"/>
  <c r="B31" i="5"/>
  <c r="D31" i="5"/>
  <c r="F31" i="5"/>
  <c r="R31" i="5"/>
  <c r="E32" i="5"/>
  <c r="A33" i="5" a="1"/>
  <c r="A33" i="5"/>
  <c r="G33" i="5"/>
  <c r="B32" i="5"/>
  <c r="D32" i="5"/>
  <c r="F32" i="5"/>
  <c r="R32" i="5"/>
  <c r="E33" i="5"/>
  <c r="A34" i="5" a="1"/>
  <c r="A34" i="5"/>
  <c r="G34" i="5"/>
  <c r="B33" i="5"/>
  <c r="D33" i="5"/>
  <c r="F33" i="5"/>
  <c r="R33" i="5"/>
  <c r="E34" i="5"/>
  <c r="A35" i="5" a="1"/>
  <c r="A35" i="5"/>
  <c r="B34" i="5"/>
  <c r="D34" i="5"/>
  <c r="E35" i="5"/>
  <c r="G35" i="5"/>
  <c r="F34" i="5"/>
  <c r="R34" i="5"/>
  <c r="A36" i="5" a="1"/>
  <c r="A36" i="5"/>
  <c r="G36" i="5"/>
  <c r="B35" i="5"/>
  <c r="D35" i="5"/>
  <c r="F35" i="5"/>
  <c r="R35" i="5"/>
  <c r="E36" i="5"/>
  <c r="A37" i="5" a="1"/>
  <c r="A37" i="5"/>
  <c r="G37" i="5"/>
  <c r="B36" i="5"/>
  <c r="D36" i="5"/>
  <c r="F36" i="5"/>
  <c r="R36" i="5"/>
  <c r="E37" i="5"/>
  <c r="A38" i="5" a="1"/>
  <c r="A38" i="5"/>
  <c r="G38" i="5"/>
  <c r="B37" i="5"/>
  <c r="D37" i="5"/>
  <c r="F37" i="5"/>
  <c r="R37" i="5"/>
  <c r="E38" i="5"/>
  <c r="A39" i="5" a="1"/>
  <c r="A39" i="5"/>
  <c r="B38" i="5"/>
  <c r="D38" i="5"/>
  <c r="E39" i="5"/>
  <c r="G39" i="5"/>
  <c r="F38" i="5"/>
  <c r="R38" i="5"/>
  <c r="A40" i="5" a="1"/>
  <c r="A40" i="5"/>
  <c r="G40" i="5"/>
  <c r="B39" i="5"/>
  <c r="D39" i="5"/>
  <c r="F39" i="5"/>
  <c r="R39" i="5"/>
  <c r="E40" i="5"/>
  <c r="A41" i="5" a="1"/>
  <c r="A41" i="5"/>
  <c r="B40" i="5"/>
  <c r="D40" i="5"/>
  <c r="F40" i="5"/>
  <c r="R40" i="5"/>
  <c r="E41" i="5"/>
  <c r="G41" i="5"/>
  <c r="A42" i="5" a="1"/>
  <c r="A42" i="5"/>
  <c r="G42" i="5"/>
  <c r="B41" i="5"/>
  <c r="D41" i="5"/>
  <c r="F41" i="5"/>
  <c r="R41" i="5"/>
  <c r="E42" i="5"/>
  <c r="A43" i="5" a="1"/>
  <c r="A43" i="5"/>
  <c r="G43" i="5"/>
  <c r="B42" i="5"/>
  <c r="D42" i="5"/>
  <c r="E43" i="5"/>
  <c r="F42" i="5"/>
  <c r="R42" i="5"/>
  <c r="A44" i="5" a="1"/>
  <c r="A44" i="5"/>
  <c r="B43" i="5"/>
  <c r="D43" i="5"/>
  <c r="F43" i="5"/>
  <c r="R43" i="5"/>
  <c r="E44" i="5"/>
  <c r="G44" i="5"/>
  <c r="A45" i="5" a="1"/>
  <c r="A45" i="5"/>
  <c r="G45" i="5"/>
  <c r="B44" i="5"/>
  <c r="D44" i="5"/>
  <c r="F44" i="5"/>
  <c r="R44" i="5"/>
  <c r="E45" i="5"/>
  <c r="A46" i="5" a="1"/>
  <c r="A46" i="5"/>
  <c r="B45" i="5"/>
  <c r="D45" i="5"/>
  <c r="F45" i="5"/>
  <c r="R45" i="5"/>
  <c r="E46" i="5"/>
  <c r="G46" i="5"/>
  <c r="A47" i="5" a="1"/>
  <c r="A47" i="5"/>
  <c r="G47" i="5"/>
  <c r="B46" i="5"/>
  <c r="D46" i="5"/>
  <c r="F46" i="5"/>
  <c r="R46" i="5"/>
  <c r="E47" i="5"/>
  <c r="A48" i="5" a="1"/>
  <c r="A48" i="5"/>
  <c r="G48" i="5"/>
  <c r="B47" i="5"/>
  <c r="D47" i="5"/>
  <c r="F47" i="5"/>
  <c r="R47" i="5"/>
  <c r="E48" i="5"/>
  <c r="A49" i="5" a="1"/>
  <c r="A49" i="5"/>
  <c r="G49" i="5"/>
  <c r="B48" i="5"/>
  <c r="D48" i="5"/>
  <c r="F48" i="5"/>
  <c r="R48" i="5"/>
  <c r="E49" i="5"/>
  <c r="A50" i="5" a="1"/>
  <c r="A50" i="5"/>
  <c r="G50" i="5"/>
  <c r="B49" i="5"/>
  <c r="D49" i="5"/>
  <c r="F49" i="5"/>
  <c r="R49" i="5"/>
  <c r="E50" i="5"/>
  <c r="A51" i="5" a="1"/>
  <c r="A51" i="5"/>
  <c r="G51" i="5"/>
  <c r="B50" i="5"/>
  <c r="D50" i="5"/>
  <c r="E51" i="5"/>
  <c r="F50" i="5"/>
  <c r="R50" i="5"/>
  <c r="A52" i="5" a="1"/>
  <c r="A52" i="5"/>
  <c r="G52" i="5"/>
  <c r="B51" i="5"/>
  <c r="D51" i="5"/>
  <c r="F51" i="5"/>
  <c r="R51" i="5"/>
  <c r="E52" i="5"/>
  <c r="A53" i="5" a="1"/>
  <c r="A53" i="5"/>
  <c r="G53" i="5"/>
  <c r="B52" i="5"/>
  <c r="D52" i="5"/>
  <c r="F52" i="5"/>
  <c r="R52" i="5"/>
  <c r="E53" i="5"/>
  <c r="A54" i="5" a="1"/>
  <c r="A54" i="5"/>
  <c r="G54" i="5"/>
  <c r="B53" i="5"/>
  <c r="D53" i="5"/>
  <c r="F53" i="5"/>
  <c r="R53" i="5"/>
  <c r="E54" i="5"/>
  <c r="A55" i="5" a="1"/>
  <c r="A55" i="5"/>
  <c r="G55" i="5"/>
  <c r="B54" i="5"/>
  <c r="D54" i="5"/>
  <c r="E55" i="5"/>
  <c r="F54" i="5"/>
  <c r="R54" i="5"/>
  <c r="A56" i="5" a="1"/>
  <c r="A56" i="5"/>
  <c r="G56" i="5"/>
  <c r="B55" i="5"/>
  <c r="D55" i="5"/>
  <c r="F55" i="5"/>
  <c r="R55" i="5"/>
  <c r="E56" i="5"/>
  <c r="A57" i="5" a="1"/>
  <c r="A57" i="5"/>
  <c r="G57" i="5"/>
  <c r="B56" i="5"/>
  <c r="D56" i="5"/>
  <c r="F56" i="5"/>
  <c r="R56" i="5"/>
  <c r="E57" i="5"/>
  <c r="A58" i="5" a="1"/>
  <c r="A58" i="5"/>
  <c r="G58" i="5"/>
  <c r="B57" i="5"/>
  <c r="D57" i="5"/>
  <c r="F57" i="5"/>
  <c r="R57" i="5"/>
  <c r="E58" i="5"/>
  <c r="B58" i="5"/>
  <c r="D58" i="5"/>
  <c r="F58" i="5"/>
  <c r="R58" i="5"/>
  <c r="U2" i="5"/>
  <c r="U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Ripple current is shared between parallel capacitors, so can decrease by a factor of at least 1.5</t>
        </r>
      </text>
    </comment>
    <comment ref="V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Ripple current is shared between parallel capacitors, so can decrease by a factor of at least 1.5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Ripple current is shared between parallel capacitors, so can decrease by a factor of at least 1.5</t>
        </r>
      </text>
    </comment>
    <comment ref="U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Ripple current is shared between parallel capacitors, so can decrease by a factor of at least 1.5</t>
        </r>
      </text>
    </comment>
  </commentList>
</comments>
</file>

<file path=xl/sharedStrings.xml><?xml version="1.0" encoding="utf-8"?>
<sst xmlns="http://schemas.openxmlformats.org/spreadsheetml/2006/main" count="775" uniqueCount="317">
  <si>
    <t>BOM Specification</t>
  </si>
  <si>
    <t>Part ID</t>
  </si>
  <si>
    <t>Part description</t>
  </si>
  <si>
    <t>Manufacturer</t>
  </si>
  <si>
    <t>Part number</t>
  </si>
  <si>
    <t>Package</t>
  </si>
  <si>
    <t>Proto OC</t>
  </si>
  <si>
    <t>Order margin</t>
  </si>
  <si>
    <t>Est. unit cost (1000 units)</t>
  </si>
  <si>
    <t>Replacable?</t>
  </si>
  <si>
    <t>PCS</t>
  </si>
  <si>
    <t>Est. total cost (1000 units)</t>
  </si>
  <si>
    <t>Spec 1</t>
  </si>
  <si>
    <t>Value (min)</t>
  </si>
  <si>
    <t>Value (max)</t>
  </si>
  <si>
    <t>Spec 2</t>
  </si>
  <si>
    <t>Spec 3</t>
  </si>
  <si>
    <t>Spec 4</t>
  </si>
  <si>
    <t>Spec 5</t>
  </si>
  <si>
    <t>C1,13,14,19</t>
  </si>
  <si>
    <t>Capacitor (MLCC)</t>
  </si>
  <si>
    <t>Any</t>
  </si>
  <si>
    <t>0603</t>
  </si>
  <si>
    <t>Yes</t>
  </si>
  <si>
    <t>Capacitance (F)</t>
  </si>
  <si>
    <t>V_max</t>
  </si>
  <si>
    <t>Dielectric</t>
  </si>
  <si>
    <t>X5R</t>
  </si>
  <si>
    <t>C2,10</t>
  </si>
  <si>
    <t>C3,12</t>
  </si>
  <si>
    <t>C4,5</t>
  </si>
  <si>
    <t>Murata</t>
  </si>
  <si>
    <t>GRM31CR6YA106KA12L</t>
  </si>
  <si>
    <t>1206</t>
  </si>
  <si>
    <t>No</t>
  </si>
  <si>
    <t>I_rms_max (@600kHz) (A)</t>
  </si>
  <si>
    <t>C6,7</t>
  </si>
  <si>
    <t>C8,9,00</t>
  </si>
  <si>
    <t>C11</t>
  </si>
  <si>
    <t>C15</t>
  </si>
  <si>
    <t>C16,18,20,21,22</t>
  </si>
  <si>
    <t>C17</t>
  </si>
  <si>
    <t>C23</t>
  </si>
  <si>
    <t>LED1</t>
  </si>
  <si>
    <t>Red/Green LED, common cathode</t>
  </si>
  <si>
    <t>Multicomp</t>
  </si>
  <si>
    <t>MCL039PURGW</t>
  </si>
  <si>
    <t>T1 - 3MM</t>
  </si>
  <si>
    <t>D1</t>
  </si>
  <si>
    <t>Power schottky diode</t>
  </si>
  <si>
    <t>On Semi</t>
  </si>
  <si>
    <t>MBRD835LG</t>
  </si>
  <si>
    <t>6.17x11.78MM DPAK</t>
  </si>
  <si>
    <t>V_f @ 0.2A, 85C (V)</t>
  </si>
  <si>
    <t>I_fmax (av.) (A)</t>
  </si>
  <si>
    <t>Vr_max (V)</t>
  </si>
  <si>
    <t>D3,5</t>
  </si>
  <si>
    <t>Small-signal schottky diode</t>
  </si>
  <si>
    <t>Fairchild</t>
  </si>
  <si>
    <t>BAT54XV2</t>
  </si>
  <si>
    <t>SOD-523F</t>
  </si>
  <si>
    <t>added 09/02/2013</t>
  </si>
  <si>
    <t>I_f_max (A)</t>
  </si>
  <si>
    <t>V_r_repetitive (V)</t>
  </si>
  <si>
    <t>D4</t>
  </si>
  <si>
    <t>NTS1545MFST</t>
  </si>
  <si>
    <t>SO-8 FLAT</t>
  </si>
  <si>
    <t>Maybe</t>
  </si>
  <si>
    <t>D2,6(A/B)</t>
  </si>
  <si>
    <t>Dual schottky diode (common cathode)</t>
  </si>
  <si>
    <t>BAT54C</t>
  </si>
  <si>
    <t>SOT-23</t>
  </si>
  <si>
    <t>F1</t>
  </si>
  <si>
    <t>PTC resettable fuse</t>
  </si>
  <si>
    <t>Bourns</t>
  </si>
  <si>
    <t>MF-LSMF300/24X-2</t>
  </si>
  <si>
    <t>2920</t>
  </si>
  <si>
    <t>IC1</t>
  </si>
  <si>
    <t>Solar battery charge controller ASIC</t>
  </si>
  <si>
    <t>TI</t>
  </si>
  <si>
    <t>BQ24650</t>
  </si>
  <si>
    <t>QFN-16</t>
  </si>
  <si>
    <t>Digikey</t>
  </si>
  <si>
    <t>IC2</t>
  </si>
  <si>
    <t>16bit - MCU</t>
  </si>
  <si>
    <t>MSP430G2432IPW20</t>
  </si>
  <si>
    <t>TSSOP-20</t>
  </si>
  <si>
    <t>IC3</t>
  </si>
  <si>
    <t>Current sense monitor</t>
  </si>
  <si>
    <t>INA199A2DCKR</t>
  </si>
  <si>
    <t>SC70-6</t>
  </si>
  <si>
    <t>IC4</t>
  </si>
  <si>
    <t>MCU power supply, 3.3V</t>
  </si>
  <si>
    <t>TPS71533DCKR</t>
  </si>
  <si>
    <t>SC70-5</t>
  </si>
  <si>
    <t>J1</t>
  </si>
  <si>
    <t>6-pos terminal block, screw</t>
  </si>
  <si>
    <t>MC000038</t>
  </si>
  <si>
    <t>Contacts</t>
  </si>
  <si>
    <t>Current_max (A)</t>
  </si>
  <si>
    <t>Min. wire size</t>
  </si>
  <si>
    <t>26AWG or thinner</t>
  </si>
  <si>
    <t>Max. wire size</t>
  </si>
  <si>
    <t>12AWG or fatter</t>
  </si>
  <si>
    <t>J2</t>
  </si>
  <si>
    <t>3-pos male header</t>
  </si>
  <si>
    <t>Samtec</t>
  </si>
  <si>
    <t>TSW-103-17-T-S</t>
  </si>
  <si>
    <t>J3,4</t>
  </si>
  <si>
    <t>3-pos terminal block, screw</t>
  </si>
  <si>
    <t>MC000027</t>
  </si>
  <si>
    <t>L1</t>
  </si>
  <si>
    <t>Inductor</t>
  </si>
  <si>
    <t>12.5mm x 12.5mm x 6.0mm</t>
  </si>
  <si>
    <t>Inductance (H)</t>
  </si>
  <si>
    <t>I_rms_max (A)</t>
  </si>
  <si>
    <t>I_sat (A)</t>
  </si>
  <si>
    <t>Q1(A/B)</t>
  </si>
  <si>
    <t>Dual N-channel Power MOSFET</t>
  </si>
  <si>
    <t>Vishay Siliconix</t>
  </si>
  <si>
    <t>Si7288DP</t>
  </si>
  <si>
    <t>PowerPAK SO-8</t>
  </si>
  <si>
    <t>Q2,3</t>
  </si>
  <si>
    <t>Small-signal MOSFET</t>
  </si>
  <si>
    <t>NXP</t>
  </si>
  <si>
    <t>2N7002</t>
  </si>
  <si>
    <t>Q4(A/B),5(A/B)</t>
  </si>
  <si>
    <t>Dual NPN transistor</t>
  </si>
  <si>
    <t>BC846BDW1T1G</t>
  </si>
  <si>
    <t>SOT-363</t>
  </si>
  <si>
    <t>Q6</t>
  </si>
  <si>
    <t>P-channel Power MOSFET</t>
  </si>
  <si>
    <t>Vishay</t>
  </si>
  <si>
    <t>SI7157DP-T1-GE3</t>
  </si>
  <si>
    <t>R1</t>
  </si>
  <si>
    <t>Resistor</t>
  </si>
  <si>
    <t>Resistance (Ω)</t>
  </si>
  <si>
    <t>Tolerance</t>
  </si>
  <si>
    <t>R2</t>
  </si>
  <si>
    <t>R3</t>
  </si>
  <si>
    <t>R4</t>
  </si>
  <si>
    <t>R5</t>
  </si>
  <si>
    <t>0805</t>
  </si>
  <si>
    <t>R6</t>
  </si>
  <si>
    <t>LRMAM1206-R01FT5</t>
  </si>
  <si>
    <t>Power (W)</t>
  </si>
  <si>
    <t>R7,30</t>
  </si>
  <si>
    <t>R8</t>
  </si>
  <si>
    <t>R9</t>
  </si>
  <si>
    <t>R10</t>
  </si>
  <si>
    <t>TLR3A20DR0015FTDG</t>
  </si>
  <si>
    <t>2010</t>
  </si>
  <si>
    <t>R11,12</t>
  </si>
  <si>
    <t>R13</t>
  </si>
  <si>
    <t>R14</t>
  </si>
  <si>
    <t>R15</t>
  </si>
  <si>
    <t>R16,20,21</t>
  </si>
  <si>
    <t>R17</t>
  </si>
  <si>
    <t>R18</t>
  </si>
  <si>
    <t>R19</t>
  </si>
  <si>
    <t>R22,23</t>
  </si>
  <si>
    <t>R24,25,26</t>
  </si>
  <si>
    <t>R27</t>
  </si>
  <si>
    <t>R28</t>
  </si>
  <si>
    <t>R29</t>
  </si>
  <si>
    <t>Q6X</t>
  </si>
  <si>
    <t>SI4425DDY-T1-GE3</t>
  </si>
  <si>
    <t>Alpha &amp; Omega</t>
  </si>
  <si>
    <t>AON6413</t>
  </si>
  <si>
    <t>SI7149ADP-T1-GE3</t>
  </si>
  <si>
    <t>IR</t>
  </si>
  <si>
    <t>IRF9317PBF</t>
  </si>
  <si>
    <t>Big testing resistor!</t>
  </si>
  <si>
    <t>LED washer</t>
  </si>
  <si>
    <t>LED for hallway</t>
  </si>
  <si>
    <t>Solder paste</t>
  </si>
  <si>
    <t>Solder scraper</t>
  </si>
  <si>
    <t>Magnifier</t>
  </si>
  <si>
    <t>Temperature laser gun (for monitoring frying)</t>
  </si>
  <si>
    <t>Temperature probes (for monitoring air gun, and heat tests)</t>
  </si>
  <si>
    <t>Acetone or other solvent</t>
  </si>
  <si>
    <t>Anti static wristband</t>
  </si>
  <si>
    <t>Earth bonding plug</t>
  </si>
  <si>
    <t>Scalpel blades</t>
  </si>
  <si>
    <t>Heat gun</t>
  </si>
  <si>
    <t>Scale-up?</t>
  </si>
  <si>
    <t>PCS-scaled</t>
  </si>
  <si>
    <t>Margin</t>
  </si>
  <si>
    <t>PCS w/Margin</t>
  </si>
  <si>
    <t>Match?</t>
  </si>
  <si>
    <t>Line No.</t>
  </si>
  <si>
    <t>Order Code</t>
  </si>
  <si>
    <t>RoHS Compliant?</t>
  </si>
  <si>
    <t>Notes</t>
  </si>
  <si>
    <t>Qty</t>
  </si>
  <si>
    <t>Manufacturer Part Number</t>
  </si>
  <si>
    <t>Manufacturer / Description</t>
  </si>
  <si>
    <t>Availability</t>
  </si>
  <si>
    <t>Unit Price</t>
  </si>
  <si>
    <t>Line Price</t>
  </si>
  <si>
    <t>Scaled price</t>
  </si>
  <si>
    <t>Scale</t>
  </si>
  <si>
    <t>YES</t>
  </si>
  <si>
    <t>C1608X5R1H105K080AB</t>
  </si>
  <si>
    <t>Product Range:C Series; Capacitance:1ÂµF; Capacitance Tolerance:Â± 10%; Dielectric Characteristic:X5R; Voltage Rating:50V; Ceramic Capacitor Case:0603 [1608 Metric]; Operating Temperature Mi</t>
  </si>
  <si>
    <t>Total Farnell</t>
  </si>
  <si>
    <t>MC0603N220K500CT</t>
  </si>
  <si>
    <t>Product Range:MC Series; Capacitance:22pF; Capacitance Tolerance:Â± 10%; Dielectric Characteristic:C0G / NP0; Voltage Rating:50V; Ceramic Capacitor Case:0603 [1608 Metric]; Operating T</t>
  </si>
  <si>
    <t>Total Digikey</t>
  </si>
  <si>
    <t>Product Range:GRM Series; Capacitance:10ÂµF; Capacitance Tolerance:Â± 10%; Dielectric Characteristic:X5R; Voltage Rating:35V; Ceramic Capacitor Case:1206 [3216 Metric]; Operating Temperatur</t>
  </si>
  <si>
    <t>Total</t>
  </si>
  <si>
    <t>MC0603B104K250CT</t>
  </si>
  <si>
    <t>Product Range:MC Series; Capacitance:0.1ÂµF; Capacitance Tolerance:Â± 10%; Dielectric Characteristic:X7R; Voltage Rating:25V; Ceramic Capacitor Case:0603 [1608 Metric]; Operating Temperatu</t>
  </si>
  <si>
    <t>C1608X5R1V225K080AC</t>
  </si>
  <si>
    <t>Product Range:C Series; Capacitance:2.2ÂµF; Capacitance Tolerance:Â± 10%; Dielectric Characteristic:X5R; Voltage Rating:35V; Ceramic Capacitor Case:0603 [1608 Metric]; Operating Temperatur</t>
  </si>
  <si>
    <t>MC0603B105K160CT</t>
  </si>
  <si>
    <t>Product Range:MC Series; Capacitance:1ÂµF; Capacitance Tolerance:Â± 10%; Dielectric Characteristic:X7R; Voltage Rating:16V; Ceramic Capacitor Case:0603 [1608 Metric]; Operating Temperature M</t>
  </si>
  <si>
    <t>MC0603B104K160CT</t>
  </si>
  <si>
    <t>Product Range:MC Series; Capacitance:0.1ÂµF; Capacitance Tolerance:Â± 10%; Dielectric Characteristic:X7R; Voltage Rating:16V; Ceramic Capacitor Case:0603 [1608 Metric]; Operating Temperatu</t>
  </si>
  <si>
    <t>MC0603B222K500CT</t>
  </si>
  <si>
    <t>Product Range:MC Series; Capacitance:2200pF; Capacitance Tolerance:Â± 10%; Dielectric Characteristic:X7R; Voltage Rating:50V; Ceramic Capacitor Case:0603 [1608 Metric]; Operating Temperat</t>
  </si>
  <si>
    <t>MC0603B104K500CT</t>
  </si>
  <si>
    <t>Product Range:MC Series; Capacitance:0.1ÂµF; Capacitance Tolerance:Â± 10%; Dielectric Characteristic:X7R; Voltage Rating:50V; Ceramic Capacitor Case:0603 [1608 Metric]; Operating Temperatu</t>
  </si>
  <si>
    <t>Bulb Size:T-1 (3mm); LED Colour:Green, Red; Luminous Intensity / Colour:R 30mcd, G 10mcd; Viewing Angle:76Â°; Forward Voltage / Colour:R 1.8V, G 2.1V; Forward Current / Colour:R 20mA, G</t>
  </si>
  <si>
    <t>Diode Configuration:Single; Repetitive Reverse Voltage Vrrm Max:35V; Forward Current If(AV):8A; Forward Voltage VF Max:510mV; Forward Surge Current Ifsm Max:75A; Operating Temperature Max:150Â°C;</t>
  </si>
  <si>
    <t>BAS19LT1G</t>
  </si>
  <si>
    <t>Diode Configuration:-; Repetitive Reverse Voltage Vrrm Max:120V; Forward Current If(AV):200mA; Forward Voltage VF Max:1.25V; Reverse Recovery Time trr Max:50ns; Forward Surge Current Ifsm Max</t>
  </si>
  <si>
    <t>NTS1545MFST1G</t>
  </si>
  <si>
    <t>Diode Configuration:Single; Repetitive Reverse Voltage Vrrm Max:45V; Forward Current If(AV):15A; Forward Voltage VF Max:570mV; Forward Surge Current Ifsm Max:210A; Operating Temperature Max:150Â°C; D</t>
  </si>
  <si>
    <t>Holding Current:3A; Tripping Current:5.2A; Carrying Current Max:20A; Initial Resistance Max:0.075ohm; Operating Voltage:24V; PTC Fuse Case Style:SMD; SVHC:No SVHC (17-Dec-2014); Appro</t>
  </si>
  <si>
    <t>TEXAS INSTRUMENTS-MSP430G2432IPW20-MCU, 16BIT, MSP430, 16MHZ, TSSOP-20</t>
  </si>
  <si>
    <t>MULTICOMP-MC000038-TERMINAL BLOCK, WIRE TO BRD, 6POS, 12AWG</t>
  </si>
  <si>
    <t>MULTICOMP-MC000027-TERMINAL BLOCK, WIRE TO BRD, 3POS, 12AWG</t>
  </si>
  <si>
    <t>MCSDRH125B-6R8MHF</t>
  </si>
  <si>
    <t>Product Range:MCSDRH125B Series; Inductance:6.8ÂµH; Inductance Tolerance:Â± 20%; Inductor Construction:Shielded; DC Resistance Max:0.; Available until stocks are exhausted Alternative available</t>
  </si>
  <si>
    <t>340 (Available until stock is exhausted)</t>
  </si>
  <si>
    <t>2N7002,215</t>
  </si>
  <si>
    <t>NXP-2N7002,215-MOSFET,N CH, 60V,0.3A,SOT23</t>
  </si>
  <si>
    <t>ON SEMICONDUCTOR-BC846BDW1T1G-TRANSISTOR, NPN, 65V, 100MA, SOT-363-6</t>
  </si>
  <si>
    <t>MSL:MSL 1 - Unlimited; Continuous Drain Current Id:-60A; Drain Source Voltage Vds:-20V; No. of Pins:8; On Resistance Rds(on):0.00125ohm; Operating Temperature Max:150Â°C; Power Dis</t>
  </si>
  <si>
    <t>ERJ3GEYJ100V</t>
  </si>
  <si>
    <t>Product Range:AEC-Q200 ERJ Series; Resistance:10ohm; Power Rating:100mW; Resistance Tolerance:Â± 5%; Voltage Rating:75V; Resistor Case Style:0603 [1608 Metric]; Packaging:Cut Tape; Resistor E</t>
  </si>
  <si>
    <t>Y-EX</t>
  </si>
  <si>
    <t>MC0063W0603191K</t>
  </si>
  <si>
    <t>Product Range:MC Series; Resistance:91kohm; Power Rating:63mW; Resistance Tolerance:Â± 1%; Voltage Rating:50V; Resistor Case Style:0603 [1608 Metric]; Packaging:Cut Tape; Resistor Element</t>
  </si>
  <si>
    <t>CRGH0603F6K8</t>
  </si>
  <si>
    <t>Product Range:CRG Series; Resistance:6.8kohm; Power Rating:200mW; Resistance Tolerance:Â± 1%; Voltage Rating:50V; Resistor Case Style:0603 [1608 Metric]; Packaging:Cut Tape; Resistor</t>
  </si>
  <si>
    <t>ERA3AEB304V</t>
  </si>
  <si>
    <t>Product Range:AEC-Q200 ERA Series; Resistance:300kohm; Power Rating:100mW; Resistance Tolerance:Â± 0.1%; Voltage Rating:75V; Resistor Case Style:0603 [1608 Metric]; Packaging:Cut Tape; Re</t>
  </si>
  <si>
    <t>MCTC0525B5362T5E</t>
  </si>
  <si>
    <t>Product Range:TC05 Series; Resistance:53.6kohm; Power Rating:100mW; Resistance Tolerance:Â± 0.1%; Voltage Rating:100V; Resistor Case Style:0805 [2012 Metric]; Packaging:Cut Tape; Resi</t>
  </si>
  <si>
    <t>Product Range:AEC-Q200 LRMA Series; Resistance:0.01ohm; Power Rating:1W; Resistance Tolerance:Â± 1%; Voltage Rating:-; Resistor Case Style:1206 [3216 Metric]; Packaging:Each; Resistor Elem</t>
  </si>
  <si>
    <t>ERJ3EKF2402V</t>
  </si>
  <si>
    <t>Product Range:AEC-Q200 ERJ Series; Resistance:24kohm; Power Rating:100mW; Resistance Tolerance:Â± 1%; Voltage Rating:75V; Resistor Case Style:0603 [1608 Metric]; Packaging:Cut Tape; Resistor</t>
  </si>
  <si>
    <t>ERJ3EKF3602V</t>
  </si>
  <si>
    <t>Product Range:AEC-Q200 ERJ Series; Resistance:36kohm; Power Rating:100mW; Resistance Tolerance:Â± 1%; Voltage Rating:75V; Resistor Case Style:0603 [1608 Metric]; Packaging:Cut Tape;</t>
  </si>
  <si>
    <t>MCWR06W2R20FTL</t>
  </si>
  <si>
    <t>Product Range:MCWR Series; Resistance:2.2ohm; Power Rating:100mW; Resistance Tolerance:Â± 1%; Voltage Rating:50V; Resistor Case Style:0603 [1608 Metric]; Packaging:Cut Tape; Resistor Ele</t>
  </si>
  <si>
    <t>TLR2H15DR001FTDG</t>
  </si>
  <si>
    <t>Product Range:TLR Series; Resistance:0.001ohm; Power Rating:1.5W; Resistance Tolerance:Â± 1%; Voltage Rating:-; Resistor Case Style:2010 [5025 Metric]; Packaging:Each; Resistor Eleme</t>
  </si>
  <si>
    <t>RC0603FR-13100KL</t>
  </si>
  <si>
    <t>Product Range:RC Series; Resistance:100kohm; Power Rating:100mW; Resistance Tolerance:Â± 1%; Voltage Rating:50V; Resistor Case Style:0603 [1608 Metric]; Packaging:Cut Tape; Resist</t>
  </si>
  <si>
    <t>CRCW06031M10FKEA</t>
  </si>
  <si>
    <t>Product Range:AEC-Q200 CRCW Series; Resistance:1.1Mohm; Power Rating:100mW; Resistance Tolerance:Â± 1%; Voltage Rating:75V; Resistor Case Style:0603 [1608 Metric]; Packaging:Cut Tape</t>
  </si>
  <si>
    <t>RC0603FR-0747KL</t>
  </si>
  <si>
    <t>Product Range:RC Series; Resistance:47kohm; Power Rating:100mW; Resistance Tolerance:Â± 1%; Voltage Rating:50V; Resistor Case Style:0603 [1608 Metric]; Packaging:Cut Tape; Resistor Element Materi</t>
  </si>
  <si>
    <t>ERJ3GEYJ332V</t>
  </si>
  <si>
    <t>Product Range:AEC-Q200 ERJ Series; Resistance:3.3kohm; Power Rating:100mW; Resistance Tolerance:Â± 5%; Voltage Rating:75V; Resistor Case Style:0603 [1608 Metric]; Packaging:Cut Tape; Resistor</t>
  </si>
  <si>
    <t>RC0603FR-0733KL</t>
  </si>
  <si>
    <t>Product Range:RC Series; Resistance:33kohm; Power Rating:100mW; Resistance Tolerance:Â± 1%; Voltage Rating:50V; Resistor Case Style:0603 [1608 Metric]; Packaging:Cut Tape; Resistor Element Materi</t>
  </si>
  <si>
    <t>MC0063W0603151K</t>
  </si>
  <si>
    <t>Product Range:MC Series; Resistance:51kohm; Power Rating:63mW; Resistance Tolerance:Â± 1%; Voltage Rating:50V; Resistor Case Style:0603 [1608 Metric]; Packaging:Cut Tape; Resistor Element</t>
  </si>
  <si>
    <t>CRGH0603F18K</t>
  </si>
  <si>
    <t>Product Range:CRG Series; Resistance:18kohm; Power Rating:200mW; Resistance Tolerance:Â± 1%; Voltage Rating:50V; Resistor Case Style:0603 [1608 Metric]; Packaging:Cut Tape; Resistor E</t>
  </si>
  <si>
    <t>CRCW060311K0FKEA</t>
  </si>
  <si>
    <t>Product Range:AEC-Q200 CRCW Series; Resistance:11kohm; Power Rating:100mW; Resistance Tolerance:Â± 1%; Voltage Rating:75V; Resistor Case Style:0603 [1608 Metric]; Packaging:Cut Tape; Resistor Elem</t>
  </si>
  <si>
    <t>CRGH0603F5K6</t>
  </si>
  <si>
    <t>Product Range:CRG Series; Resistance:5.6kohm; Power Rating:200mW; Resistance Tolerance:Â± 1%; Voltage Rating:50V; Resistor Case Style:0603 [1608 Metric]; Packaging:Cut Tape; Resistor</t>
  </si>
  <si>
    <t>ERJ3EKF1002V</t>
  </si>
  <si>
    <t>Product Range:AEC-Q200 ERJ Series; Resistance:10kohm; Power Rating:100mW; Resistance Tolerance:Â± 1%; Voltage Rating:75V; Resistor Case Style:0603 [1608 Metric]; Packaging:Cut Tape;</t>
  </si>
  <si>
    <t>ERJ3EKF1001V</t>
  </si>
  <si>
    <t>Product Range:AEC-Q200 ERJ Series; Resistance:1kohm; Power Rating:100mW; Resistance Tolerance:Â± 1%; Voltage Rating:75V; Resistor Case Style:0603 [1608 Metric]; Packaging:Cut Tape; Re</t>
  </si>
  <si>
    <t>RR1220P-105-B-T5</t>
  </si>
  <si>
    <t>Product Range:RR Series; Resistance:1Mohm; Power Rating:100mW; Resistance Tolerance:Â± 0.1%; Voltage Rating:100V; Resistor Case Style:0805 [2012 Metric]; Packaging:Cut Tape; Resistor Element Mater</t>
  </si>
  <si>
    <t>RR0816P-104-B-T5</t>
  </si>
  <si>
    <t>Product Range:RR Series; Resistance:100kohm; Power Rating:63mW; Resistance Tolerance:Â± 0.1%; Voltage Rating:75V; Resistor Case Style:0603 [1608 Metric]; Packaging:Cut Tape; Resis</t>
  </si>
  <si>
    <t>INTERNATIONAL RECTIFIER-IRF9317PBF-MOSFET,P CH,30V,16A,SO-8</t>
  </si>
  <si>
    <t>NO</t>
  </si>
  <si>
    <t>THS503R3J</t>
  </si>
  <si>
    <t>Product Range:THS Series; Resistance:3.3ohm; Power Rating:50W; Resistance Tolerance:Â± 5%; Voltage Rating:1.25kV; Resistor Case Style:Axial Leaded; Resistor Element Material:Wirewound; Tempe</t>
  </si>
  <si>
    <t>DURATOOL-0110770-WASHER, FLAT, NYLON, M8, PK50</t>
  </si>
  <si>
    <t>LXR9-SW27</t>
  </si>
  <si>
    <t>Product Range:LUXEON M Series; LED Colour:White; CCT:2700K; Luminous Flux @ Test:610lm; Forward Current @ Test:700mA; Forward Current If Max:1.05A; Forward Voltage @ Test:12V; Vie</t>
  </si>
  <si>
    <t>NA</t>
  </si>
  <si>
    <t>T5075 2</t>
  </si>
  <si>
    <t>CK TOOLS-T5075 2-SCRAPER, PAINTERS, 2"</t>
  </si>
  <si>
    <t>OP5122</t>
  </si>
  <si>
    <t>DURATOOL-OP5122-10X MAG EYE GLASS</t>
  </si>
  <si>
    <t>72-8730</t>
  </si>
  <si>
    <t>Temperature Measuring Range:-18Â°C to +280Â°C; Accuracy %:2%; Operating Temperature Min:-; Operating Temperature Max:-; SVHC:No SVHC (17-Dec-2014)</t>
  </si>
  <si>
    <t>TMP36GT9Z</t>
  </si>
  <si>
    <t>IC Output Type:Voltage; Sensing Accuracy Range:Â± 3Â°C; Sensing Temperature Min:-40Â°C; Sensing Temperature Max:+125Â°C; Supply Voltage Min:2.7V; Supply Voltage Max:5.5V; Sensor Case Style:TO-92; N</t>
  </si>
  <si>
    <t>PPC103</t>
  </si>
  <si>
    <t>PRO POWER-PPC103-SOLVENT, IPA, AEROSOL, 400ML</t>
  </si>
  <si>
    <t>DY7010</t>
  </si>
  <si>
    <t>MULTICOMP-DY7010-WRIST STRAP, 6FT CORD</t>
  </si>
  <si>
    <t>070-0011</t>
  </si>
  <si>
    <t>End To Ground Resistance:-; No. of Studs:3; Lead Length:-; SVHC:No SVHC (17-Dec-2014)</t>
  </si>
  <si>
    <t>SM03</t>
  </si>
  <si>
    <t>Knife Type:Scalpel; Blade Material:-; Blade Length:79mm; SVHC:No SVHC (17-Dec-2014)</t>
  </si>
  <si>
    <t>060329A042</t>
  </si>
  <si>
    <t>BOSCH-060329A042-HOT AIR GUN, 230V, UK PLUG</t>
  </si>
  <si>
    <t>INA199A3DCKR</t>
  </si>
  <si>
    <t>DKK/unit</t>
  </si>
  <si>
    <t>Line price</t>
  </si>
  <si>
    <t>w/ VAT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</si>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</sst>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0.0E+00"/>
    <numFmt numFmtId="165" formatCode="0.0"/>
    <numFmt numFmtId="166" formatCode="0.000"/>
    <numFmt numFmtId="167" formatCode="_-[$£-809]* #,##0.00_-;\-[$£-809]* #,##0.00_-;_-[$£-809]* &quot;-&quot;??_-;_-@_-"/>
    <numFmt numFmtId="168" formatCode="&quot;£&quot;#,##0.00"/>
    <numFmt numFmtId="169" formatCode="&quot;£&quot;#,##0.000"/>
  </numFmts>
  <fonts count="7">
    <font>
      <sz val="11"/>
      <color theme="1"/>
      <name val="Calibri"/>
      <family val="2"/>
      <scheme val="minor"/>
    </font>
    <font>
      <b/>
      <sz val="2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9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165" fontId="2" fillId="0" borderId="4" xfId="0" applyNumberFormat="1" applyFont="1" applyFill="1" applyBorder="1" applyAlignment="1">
      <alignment horizontal="left"/>
    </xf>
    <xf numFmtId="0" fontId="2" fillId="0" borderId="9" xfId="0" applyFont="1" applyFill="1" applyBorder="1" applyAlignment="1"/>
    <xf numFmtId="0" fontId="2" fillId="0" borderId="4" xfId="0" applyFont="1" applyFill="1" applyBorder="1" applyAlignment="1"/>
    <xf numFmtId="9" fontId="2" fillId="0" borderId="4" xfId="0" applyNumberFormat="1" applyFont="1" applyFill="1" applyBorder="1" applyAlignment="1">
      <alignment horizontal="left"/>
    </xf>
    <xf numFmtId="166" fontId="2" fillId="0" borderId="9" xfId="0" applyNumberFormat="1" applyFont="1" applyFill="1" applyBorder="1" applyAlignment="1">
      <alignment horizontal="left"/>
    </xf>
    <xf numFmtId="0" fontId="2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0" fontId="2" fillId="0" borderId="13" xfId="0" applyFont="1" applyFill="1" applyBorder="1"/>
    <xf numFmtId="0" fontId="2" fillId="3" borderId="12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9" fontId="2" fillId="0" borderId="11" xfId="0" applyNumberFormat="1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164" fontId="2" fillId="0" borderId="14" xfId="0" applyNumberFormat="1" applyFont="1" applyFill="1" applyBorder="1" applyAlignment="1"/>
    <xf numFmtId="164" fontId="2" fillId="0" borderId="11" xfId="0" applyNumberFormat="1" applyFont="1" applyFill="1" applyBorder="1" applyAlignment="1"/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164" fontId="2" fillId="0" borderId="9" xfId="0" applyNumberFormat="1" applyFont="1" applyFill="1" applyBorder="1" applyAlignment="1"/>
    <xf numFmtId="165" fontId="2" fillId="0" borderId="9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Alignment="1"/>
    <xf numFmtId="0" fontId="2" fillId="0" borderId="17" xfId="0" applyFont="1" applyFill="1" applyBorder="1"/>
    <xf numFmtId="167" fontId="2" fillId="0" borderId="0" xfId="0" applyNumberFormat="1" applyFont="1" applyFill="1" applyBorder="1"/>
    <xf numFmtId="168" fontId="3" fillId="2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/>
    <xf numFmtId="49" fontId="2" fillId="0" borderId="5" xfId="0" applyNumberFormat="1" applyFont="1" applyFill="1" applyBorder="1"/>
    <xf numFmtId="49" fontId="2" fillId="0" borderId="12" xfId="0" applyNumberFormat="1" applyFont="1" applyFill="1" applyBorder="1"/>
    <xf numFmtId="0" fontId="2" fillId="0" borderId="6" xfId="1" applyFont="1" applyFill="1" applyBorder="1"/>
    <xf numFmtId="169" fontId="2" fillId="0" borderId="18" xfId="0" applyNumberFormat="1" applyFont="1" applyFill="1" applyBorder="1"/>
    <xf numFmtId="169" fontId="2" fillId="0" borderId="19" xfId="0" applyNumberFormat="1" applyFont="1" applyFill="1" applyBorder="1"/>
    <xf numFmtId="1" fontId="2" fillId="0" borderId="9" xfId="0" applyNumberFormat="1" applyFont="1" applyFill="1" applyBorder="1" applyAlignment="1"/>
    <xf numFmtId="164" fontId="2" fillId="0" borderId="9" xfId="0" applyNumberFormat="1" applyFont="1" applyFill="1" applyBorder="1" applyAlignment="1">
      <alignment horizontal="center"/>
    </xf>
    <xf numFmtId="0" fontId="2" fillId="3" borderId="20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center"/>
    </xf>
    <xf numFmtId="0" fontId="2" fillId="0" borderId="8" xfId="0" applyFont="1" applyFill="1" applyBorder="1" applyAlignment="1"/>
    <xf numFmtId="165" fontId="2" fillId="0" borderId="8" xfId="0" applyNumberFormat="1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right"/>
    </xf>
    <xf numFmtId="164" fontId="2" fillId="0" borderId="8" xfId="0" applyNumberFormat="1" applyFont="1" applyFill="1" applyBorder="1" applyAlignment="1"/>
    <xf numFmtId="1" fontId="2" fillId="0" borderId="7" xfId="0" applyNumberFormat="1" applyFont="1" applyFill="1" applyBorder="1" applyAlignment="1"/>
    <xf numFmtId="0" fontId="2" fillId="0" borderId="5" xfId="0" applyFont="1" applyFill="1" applyBorder="1" applyAlignment="1">
      <alignment horizontal="right"/>
    </xf>
    <xf numFmtId="0" fontId="0" fillId="3" borderId="9" xfId="0" applyFill="1" applyBorder="1"/>
    <xf numFmtId="0" fontId="0" fillId="0" borderId="0" xfId="0" applyAlignment="1"/>
    <xf numFmtId="2" fontId="0" fillId="0" borderId="0" xfId="0" applyNumberFormat="1"/>
    <xf numFmtId="0" fontId="2" fillId="0" borderId="22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/>
    <xf numFmtId="0" fontId="0" fillId="0" borderId="0" xfId="0" applyFill="1" applyBorder="1"/>
    <xf numFmtId="49" fontId="2" fillId="0" borderId="17" xfId="0" applyNumberFormat="1" applyFont="1" applyFill="1" applyBorder="1"/>
    <xf numFmtId="0" fontId="2" fillId="0" borderId="22" xfId="0" applyFont="1" applyFill="1" applyBorder="1" applyAlignment="1">
      <alignment horizontal="left"/>
    </xf>
    <xf numFmtId="164" fontId="2" fillId="0" borderId="7" xfId="0" applyNumberFormat="1" applyFont="1" applyFill="1" applyBorder="1" applyAlignment="1">
      <alignment horizontal="center"/>
    </xf>
    <xf numFmtId="164" fontId="2" fillId="0" borderId="8" xfId="0" applyNumberFormat="1" applyFont="1" applyFill="1" applyBorder="1" applyAlignment="1">
      <alignment horizontal="center"/>
    </xf>
    <xf numFmtId="164" fontId="2" fillId="0" borderId="7" xfId="0" applyNumberFormat="1" applyFont="1" applyFill="1" applyBorder="1" applyAlignment="1">
      <alignment horizontal="center"/>
    </xf>
    <xf numFmtId="164" fontId="2" fillId="0" borderId="8" xfId="0" applyNumberFormat="1" applyFont="1" applyFill="1" applyBorder="1" applyAlignment="1">
      <alignment horizontal="center"/>
    </xf>
    <xf numFmtId="1" fontId="2" fillId="0" borderId="7" xfId="0" applyNumberFormat="1" applyFont="1" applyFill="1" applyBorder="1" applyAlignment="1">
      <alignment horizontal="center"/>
    </xf>
    <xf numFmtId="1" fontId="2" fillId="0" borderId="8" xfId="0" applyNumberFormat="1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</cellXfs>
  <cellStyles count="2">
    <cellStyle name="Link" xfId="1" builtinId="8"/>
    <cellStyle name="Normal" xfId="0" builtinId="0"/>
  </cellStyles>
  <dxfs count="2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  <pageSetUpPr fitToPage="1"/>
  </sheetPr>
  <dimension ref="A1:Z72"/>
  <sheetViews>
    <sheetView showGridLines="0" tabSelected="1" zoomScale="85" zoomScaleNormal="85" workbookViewId="0" xr3:uid="{AEA406A1-0E4B-5B11-9CD5-51D6E497D94C}">
      <pane xSplit="1" ySplit="2" topLeftCell="B14" activePane="bottomRight" state="frozen"/>
      <selection pane="bottomRight" activeCell="D22" sqref="D22"/>
      <selection pane="bottomLeft" activeCell="A2" sqref="A2"/>
      <selection pane="topRight" activeCell="B1" sqref="B1"/>
    </sheetView>
  </sheetViews>
  <sheetFormatPr defaultColWidth="8.85546875" defaultRowHeight="14.45"/>
  <cols>
    <col min="1" max="1" width="14.42578125" style="2" customWidth="1"/>
    <col min="2" max="2" width="37.28515625" style="2" bestFit="1" customWidth="1"/>
    <col min="3" max="3" width="14.5703125" style="2" bestFit="1" customWidth="1"/>
    <col min="4" max="5" width="27.42578125" style="39" customWidth="1"/>
    <col min="6" max="6" width="9.7109375" style="2" bestFit="1" customWidth="1"/>
    <col min="7" max="7" width="9.7109375" style="3" customWidth="1"/>
    <col min="8" max="8" width="15" style="37" bestFit="1" customWidth="1"/>
    <col min="9" max="9" width="13.42578125" style="2" bestFit="1" customWidth="1"/>
    <col min="10" max="10" width="6.85546875" style="3" customWidth="1"/>
    <col min="11" max="11" width="14.7109375" style="3" customWidth="1"/>
    <col min="12" max="12" width="20.7109375" style="4" customWidth="1"/>
    <col min="13" max="14" width="9.5703125" style="4" customWidth="1"/>
    <col min="15" max="15" width="20.7109375" style="4" customWidth="1"/>
    <col min="16" max="17" width="9.5703125" style="4" customWidth="1"/>
    <col min="18" max="18" width="20.7109375" style="4" customWidth="1"/>
    <col min="19" max="20" width="9.5703125" style="4" customWidth="1"/>
    <col min="21" max="21" width="20.7109375" style="4" customWidth="1"/>
    <col min="22" max="23" width="9.5703125" style="4" customWidth="1"/>
    <col min="24" max="24" width="20.7109375" style="4" customWidth="1"/>
    <col min="25" max="26" width="8.85546875" style="4" customWidth="1"/>
    <col min="27" max="16384" width="8.85546875" style="2"/>
  </cols>
  <sheetData>
    <row r="1" spans="1:26" ht="34.15" thickBot="1">
      <c r="A1" s="1" t="s">
        <v>0</v>
      </c>
    </row>
    <row r="2" spans="1:26" s="8" customFormat="1" ht="29.45" thickBot="1">
      <c r="A2" s="5" t="s">
        <v>1</v>
      </c>
      <c r="B2" s="6" t="s">
        <v>2</v>
      </c>
      <c r="C2" s="6" t="s">
        <v>3</v>
      </c>
      <c r="D2" s="40" t="s">
        <v>4</v>
      </c>
      <c r="E2" s="40" t="s">
        <v>5</v>
      </c>
      <c r="F2" s="6" t="s">
        <v>6</v>
      </c>
      <c r="G2" s="6" t="s">
        <v>7</v>
      </c>
      <c r="H2" s="38" t="s">
        <v>8</v>
      </c>
      <c r="I2" s="6" t="s">
        <v>9</v>
      </c>
      <c r="J2" s="6" t="s">
        <v>10</v>
      </c>
      <c r="K2" s="38" t="s">
        <v>11</v>
      </c>
      <c r="L2" s="6" t="s">
        <v>12</v>
      </c>
      <c r="M2" s="7" t="s">
        <v>13</v>
      </c>
      <c r="N2" s="5" t="s">
        <v>14</v>
      </c>
      <c r="O2" s="6" t="s">
        <v>15</v>
      </c>
      <c r="P2" s="7" t="s">
        <v>13</v>
      </c>
      <c r="Q2" s="5" t="s">
        <v>14</v>
      </c>
      <c r="R2" s="6" t="s">
        <v>16</v>
      </c>
      <c r="S2" s="7" t="s">
        <v>13</v>
      </c>
      <c r="T2" s="5" t="s">
        <v>14</v>
      </c>
      <c r="U2" s="6" t="s">
        <v>17</v>
      </c>
      <c r="V2" s="7" t="s">
        <v>13</v>
      </c>
      <c r="W2" s="5" t="s">
        <v>14</v>
      </c>
      <c r="X2" s="6" t="s">
        <v>18</v>
      </c>
      <c r="Y2" s="7" t="s">
        <v>13</v>
      </c>
      <c r="Z2" s="5" t="s">
        <v>14</v>
      </c>
    </row>
    <row r="3" spans="1:26">
      <c r="A3" s="9" t="s">
        <v>19</v>
      </c>
      <c r="B3" s="10" t="s">
        <v>20</v>
      </c>
      <c r="C3" s="11" t="s">
        <v>21</v>
      </c>
      <c r="D3" s="41" t="s">
        <v>22</v>
      </c>
      <c r="E3" s="41" t="s">
        <v>22</v>
      </c>
      <c r="F3" s="11">
        <v>2211179</v>
      </c>
      <c r="G3" s="62">
        <v>2</v>
      </c>
      <c r="H3" s="45">
        <v>2.6700000000000002E-2</v>
      </c>
      <c r="I3" s="10" t="s">
        <v>23</v>
      </c>
      <c r="J3" s="30">
        <f t="shared" ref="J3:J31" si="0">1+LEN(A3)-LEN(SUBSTITUTE(A3,",",""))</f>
        <v>4</v>
      </c>
      <c r="K3" s="45">
        <f t="shared" ref="K3:K31" si="1">H3*J3</f>
        <v>0.10680000000000001</v>
      </c>
      <c r="L3" s="14" t="s">
        <v>24</v>
      </c>
      <c r="M3" s="71">
        <v>9.9999999999999995E-7</v>
      </c>
      <c r="N3" s="72"/>
      <c r="O3" s="14" t="s">
        <v>25</v>
      </c>
      <c r="P3" s="12">
        <v>35</v>
      </c>
      <c r="Q3" s="13"/>
      <c r="R3" s="14" t="s">
        <v>26</v>
      </c>
      <c r="S3" s="16" t="s">
        <v>27</v>
      </c>
      <c r="T3" s="52"/>
      <c r="U3" s="14"/>
      <c r="V3" s="12"/>
      <c r="W3" s="15"/>
      <c r="X3" s="14"/>
      <c r="Y3" s="12"/>
      <c r="Z3" s="13"/>
    </row>
    <row r="4" spans="1:26">
      <c r="A4" s="9" t="s">
        <v>28</v>
      </c>
      <c r="B4" s="10" t="s">
        <v>20</v>
      </c>
      <c r="C4" s="11" t="s">
        <v>21</v>
      </c>
      <c r="D4" s="41" t="s">
        <v>22</v>
      </c>
      <c r="E4" s="41" t="s">
        <v>22</v>
      </c>
      <c r="F4" s="11">
        <v>2211179</v>
      </c>
      <c r="G4" s="62">
        <v>2</v>
      </c>
      <c r="H4" s="45">
        <v>6.6E-3</v>
      </c>
      <c r="I4" s="10" t="s">
        <v>23</v>
      </c>
      <c r="J4" s="30">
        <f t="shared" si="0"/>
        <v>2</v>
      </c>
      <c r="K4" s="45">
        <f t="shared" si="1"/>
        <v>1.32E-2</v>
      </c>
      <c r="L4" s="14" t="s">
        <v>24</v>
      </c>
      <c r="M4" s="71">
        <v>9.9999999999999995E-7</v>
      </c>
      <c r="N4" s="72"/>
      <c r="O4" s="14" t="s">
        <v>25</v>
      </c>
      <c r="P4" s="12">
        <v>15</v>
      </c>
      <c r="Q4" s="13"/>
      <c r="R4" s="14" t="s">
        <v>26</v>
      </c>
      <c r="S4" s="16" t="s">
        <v>27</v>
      </c>
      <c r="T4" s="53"/>
      <c r="U4" s="14"/>
      <c r="V4" s="12"/>
      <c r="W4" s="15"/>
      <c r="X4" s="14"/>
      <c r="Y4" s="12"/>
      <c r="Z4" s="13"/>
    </row>
    <row r="5" spans="1:26">
      <c r="A5" s="9" t="s">
        <v>29</v>
      </c>
      <c r="B5" s="10" t="s">
        <v>20</v>
      </c>
      <c r="C5" s="10" t="s">
        <v>21</v>
      </c>
      <c r="D5" s="42" t="s">
        <v>22</v>
      </c>
      <c r="E5" s="41" t="s">
        <v>22</v>
      </c>
      <c r="F5" s="10">
        <v>2309012</v>
      </c>
      <c r="G5" s="62">
        <v>2</v>
      </c>
      <c r="H5" s="45">
        <v>3.5000000000000001E-3</v>
      </c>
      <c r="I5" s="10" t="s">
        <v>23</v>
      </c>
      <c r="J5" s="30">
        <f t="shared" si="0"/>
        <v>2</v>
      </c>
      <c r="K5" s="45">
        <f t="shared" si="1"/>
        <v>7.0000000000000001E-3</v>
      </c>
      <c r="L5" s="14" t="s">
        <v>24</v>
      </c>
      <c r="M5" s="71">
        <v>2.2000000000000002E-11</v>
      </c>
      <c r="N5" s="72"/>
      <c r="O5" s="14" t="s">
        <v>25</v>
      </c>
      <c r="P5" s="12">
        <v>35</v>
      </c>
      <c r="Q5" s="17"/>
      <c r="R5" s="14" t="s">
        <v>26</v>
      </c>
      <c r="S5" s="16" t="s">
        <v>27</v>
      </c>
      <c r="T5" s="54"/>
      <c r="U5" s="14"/>
      <c r="V5" s="12"/>
      <c r="W5" s="13"/>
      <c r="X5" s="14"/>
      <c r="Y5" s="12"/>
      <c r="Z5" s="13"/>
    </row>
    <row r="6" spans="1:26">
      <c r="A6" s="9" t="s">
        <v>30</v>
      </c>
      <c r="B6" s="10" t="s">
        <v>20</v>
      </c>
      <c r="C6" s="10" t="s">
        <v>31</v>
      </c>
      <c r="D6" s="42" t="s">
        <v>32</v>
      </c>
      <c r="E6" s="41" t="s">
        <v>33</v>
      </c>
      <c r="F6" s="10">
        <v>1797011</v>
      </c>
      <c r="G6" s="62">
        <v>2</v>
      </c>
      <c r="H6" s="45">
        <v>0.125</v>
      </c>
      <c r="I6" s="10" t="s">
        <v>34</v>
      </c>
      <c r="J6" s="30">
        <f t="shared" si="0"/>
        <v>2</v>
      </c>
      <c r="K6" s="45">
        <f t="shared" si="1"/>
        <v>0.25</v>
      </c>
      <c r="L6" s="14" t="s">
        <v>24</v>
      </c>
      <c r="M6" s="71">
        <v>1.0000000000000001E-5</v>
      </c>
      <c r="N6" s="72"/>
      <c r="O6" s="14" t="s">
        <v>25</v>
      </c>
      <c r="P6" s="12">
        <v>35</v>
      </c>
      <c r="Q6" s="17"/>
      <c r="R6" s="14" t="s">
        <v>26</v>
      </c>
      <c r="S6" s="16" t="s">
        <v>27</v>
      </c>
      <c r="T6" s="52"/>
      <c r="U6" s="14" t="s">
        <v>35</v>
      </c>
      <c r="V6" s="19">
        <f>0.4/1.5</f>
        <v>0.26666666666666666</v>
      </c>
      <c r="W6" s="13"/>
      <c r="X6" s="14"/>
      <c r="Y6" s="12"/>
      <c r="Z6" s="13"/>
    </row>
    <row r="7" spans="1:26">
      <c r="A7" s="9" t="s">
        <v>36</v>
      </c>
      <c r="B7" s="10" t="s">
        <v>20</v>
      </c>
      <c r="C7" s="10" t="s">
        <v>31</v>
      </c>
      <c r="D7" s="42" t="s">
        <v>32</v>
      </c>
      <c r="E7" s="41" t="s">
        <v>33</v>
      </c>
      <c r="F7" s="10">
        <v>1797011</v>
      </c>
      <c r="G7" s="62">
        <v>2</v>
      </c>
      <c r="H7" s="45">
        <v>0.125</v>
      </c>
      <c r="I7" s="10" t="s">
        <v>34</v>
      </c>
      <c r="J7" s="30">
        <f t="shared" si="0"/>
        <v>2</v>
      </c>
      <c r="K7" s="45">
        <f t="shared" si="1"/>
        <v>0.25</v>
      </c>
      <c r="L7" s="14" t="s">
        <v>24</v>
      </c>
      <c r="M7" s="71">
        <v>1.0000000000000001E-5</v>
      </c>
      <c r="N7" s="72"/>
      <c r="O7" s="14" t="s">
        <v>25</v>
      </c>
      <c r="P7" s="12">
        <v>35</v>
      </c>
      <c r="Q7" s="17"/>
      <c r="R7" s="14" t="s">
        <v>26</v>
      </c>
      <c r="S7" s="16" t="s">
        <v>27</v>
      </c>
      <c r="T7" s="52"/>
      <c r="U7" s="14" t="s">
        <v>35</v>
      </c>
      <c r="V7" s="19">
        <f>2.5/1.5</f>
        <v>1.6666666666666667</v>
      </c>
      <c r="W7" s="13"/>
      <c r="X7" s="14"/>
      <c r="Y7" s="12"/>
      <c r="Z7" s="13"/>
    </row>
    <row r="8" spans="1:26">
      <c r="A8" s="9" t="s">
        <v>37</v>
      </c>
      <c r="B8" s="10" t="s">
        <v>20</v>
      </c>
      <c r="C8" s="10" t="s">
        <v>21</v>
      </c>
      <c r="D8" s="42" t="s">
        <v>22</v>
      </c>
      <c r="E8" s="41" t="s">
        <v>22</v>
      </c>
      <c r="F8" s="10">
        <v>1759037</v>
      </c>
      <c r="G8" s="62">
        <v>2</v>
      </c>
      <c r="H8" s="45">
        <v>3.0999999999999999E-3</v>
      </c>
      <c r="I8" s="10" t="s">
        <v>23</v>
      </c>
      <c r="J8" s="30">
        <f t="shared" si="0"/>
        <v>3</v>
      </c>
      <c r="K8" s="45">
        <f t="shared" si="1"/>
        <v>9.2999999999999992E-3</v>
      </c>
      <c r="L8" s="14" t="s">
        <v>24</v>
      </c>
      <c r="M8" s="71">
        <v>9.9999999999999995E-8</v>
      </c>
      <c r="N8" s="72"/>
      <c r="O8" s="14" t="s">
        <v>25</v>
      </c>
      <c r="P8" s="12">
        <v>15</v>
      </c>
      <c r="Q8" s="18"/>
      <c r="R8" s="14" t="s">
        <v>26</v>
      </c>
      <c r="S8" s="16" t="s">
        <v>27</v>
      </c>
      <c r="T8" s="54"/>
      <c r="U8" s="14"/>
      <c r="V8" s="12"/>
      <c r="W8" s="13"/>
      <c r="X8" s="14"/>
      <c r="Y8" s="12"/>
      <c r="Z8" s="13"/>
    </row>
    <row r="9" spans="1:26">
      <c r="A9" s="20" t="s">
        <v>38</v>
      </c>
      <c r="B9" s="10" t="s">
        <v>20</v>
      </c>
      <c r="C9" s="10" t="s">
        <v>21</v>
      </c>
      <c r="D9" s="42" t="s">
        <v>22</v>
      </c>
      <c r="E9" s="41" t="s">
        <v>22</v>
      </c>
      <c r="F9" s="10">
        <v>2211185</v>
      </c>
      <c r="G9" s="62">
        <v>2</v>
      </c>
      <c r="H9" s="45">
        <v>3.6299999999999999E-2</v>
      </c>
      <c r="I9" s="10" t="s">
        <v>23</v>
      </c>
      <c r="J9" s="31">
        <f t="shared" si="0"/>
        <v>1</v>
      </c>
      <c r="K9" s="45">
        <f t="shared" si="1"/>
        <v>3.6299999999999999E-2</v>
      </c>
      <c r="L9" s="14" t="s">
        <v>24</v>
      </c>
      <c r="M9" s="71">
        <v>2.2000000000000001E-6</v>
      </c>
      <c r="N9" s="72"/>
      <c r="O9" s="14" t="s">
        <v>25</v>
      </c>
      <c r="P9" s="12">
        <v>35</v>
      </c>
      <c r="Q9" s="18"/>
      <c r="R9" s="14" t="s">
        <v>26</v>
      </c>
      <c r="S9" s="16" t="s">
        <v>27</v>
      </c>
      <c r="T9" s="52"/>
      <c r="U9" s="14"/>
      <c r="V9" s="12"/>
      <c r="W9" s="13"/>
      <c r="X9" s="14"/>
      <c r="Y9" s="12"/>
      <c r="Z9" s="13"/>
    </row>
    <row r="10" spans="1:26">
      <c r="A10" s="20" t="s">
        <v>39</v>
      </c>
      <c r="B10" s="10" t="s">
        <v>20</v>
      </c>
      <c r="C10" s="10" t="s">
        <v>21</v>
      </c>
      <c r="D10" s="42" t="s">
        <v>22</v>
      </c>
      <c r="E10" s="41" t="s">
        <v>22</v>
      </c>
      <c r="F10" s="11">
        <v>2320814</v>
      </c>
      <c r="G10" s="62">
        <v>2</v>
      </c>
      <c r="H10" s="45">
        <v>1.7999999999999999E-2</v>
      </c>
      <c r="I10" s="10" t="s">
        <v>23</v>
      </c>
      <c r="J10" s="31">
        <f t="shared" ref="J10" si="2">1+LEN(A10)-LEN(SUBSTITUTE(A10,",",""))</f>
        <v>1</v>
      </c>
      <c r="K10" s="45">
        <f t="shared" ref="K10" si="3">H10*J10</f>
        <v>1.7999999999999999E-2</v>
      </c>
      <c r="L10" s="14" t="s">
        <v>24</v>
      </c>
      <c r="M10" s="71">
        <v>9.9999999999999995E-7</v>
      </c>
      <c r="N10" s="72"/>
      <c r="O10" s="14" t="s">
        <v>25</v>
      </c>
      <c r="P10" s="12">
        <v>6.3</v>
      </c>
      <c r="Q10" s="18"/>
      <c r="R10" s="14" t="s">
        <v>26</v>
      </c>
      <c r="S10" s="16" t="s">
        <v>27</v>
      </c>
      <c r="T10" s="52"/>
      <c r="U10" s="14"/>
      <c r="V10" s="12"/>
      <c r="W10" s="13"/>
      <c r="X10" s="14"/>
      <c r="Y10" s="12"/>
      <c r="Z10" s="13"/>
    </row>
    <row r="11" spans="1:26">
      <c r="A11" s="20" t="s">
        <v>40</v>
      </c>
      <c r="B11" s="10" t="s">
        <v>20</v>
      </c>
      <c r="C11" s="10" t="s">
        <v>21</v>
      </c>
      <c r="D11" s="42" t="s">
        <v>22</v>
      </c>
      <c r="E11" s="41" t="s">
        <v>22</v>
      </c>
      <c r="F11" s="11">
        <v>1759016</v>
      </c>
      <c r="G11" s="62">
        <v>2</v>
      </c>
      <c r="H11" s="45">
        <v>3.0999999999999999E-3</v>
      </c>
      <c r="I11" s="10" t="s">
        <v>23</v>
      </c>
      <c r="J11" s="31">
        <f t="shared" ref="J11" si="4">1+LEN(A11)-LEN(SUBSTITUTE(A11,",",""))</f>
        <v>5</v>
      </c>
      <c r="K11" s="45">
        <f t="shared" ref="K11" si="5">H11*J11</f>
        <v>1.55E-2</v>
      </c>
      <c r="L11" s="14" t="s">
        <v>24</v>
      </c>
      <c r="M11" s="71">
        <v>9.9999999999999995E-8</v>
      </c>
      <c r="N11" s="72"/>
      <c r="O11" s="14" t="s">
        <v>25</v>
      </c>
      <c r="P11" s="12">
        <v>6.3</v>
      </c>
      <c r="Q11" s="18"/>
      <c r="R11" s="14" t="s">
        <v>26</v>
      </c>
      <c r="S11" s="16" t="s">
        <v>27</v>
      </c>
      <c r="T11" s="52"/>
      <c r="U11" s="14"/>
      <c r="V11" s="12"/>
      <c r="W11" s="13"/>
      <c r="X11" s="14"/>
      <c r="Y11" s="12"/>
      <c r="Z11" s="13"/>
    </row>
    <row r="12" spans="1:26">
      <c r="A12" s="20" t="s">
        <v>41</v>
      </c>
      <c r="B12" s="10" t="s">
        <v>20</v>
      </c>
      <c r="C12" s="10" t="s">
        <v>21</v>
      </c>
      <c r="D12" s="42" t="s">
        <v>22</v>
      </c>
      <c r="E12" s="41" t="s">
        <v>22</v>
      </c>
      <c r="F12" s="11">
        <v>1759093</v>
      </c>
      <c r="G12" s="62">
        <v>2</v>
      </c>
      <c r="H12" s="45">
        <v>5.4000000000000003E-3</v>
      </c>
      <c r="I12" s="10" t="s">
        <v>23</v>
      </c>
      <c r="J12" s="31">
        <f t="shared" ref="J12" si="6">1+LEN(A12)-LEN(SUBSTITUTE(A12,",",""))</f>
        <v>1</v>
      </c>
      <c r="K12" s="45">
        <f t="shared" ref="K12:K21" si="7">H12*J12</f>
        <v>5.4000000000000003E-3</v>
      </c>
      <c r="L12" s="14" t="s">
        <v>24</v>
      </c>
      <c r="M12" s="71">
        <v>2.1999999999999998E-9</v>
      </c>
      <c r="N12" s="72"/>
      <c r="O12" s="14" t="s">
        <v>25</v>
      </c>
      <c r="P12" s="12">
        <v>6.3</v>
      </c>
      <c r="Q12" s="18"/>
      <c r="R12" s="14" t="s">
        <v>26</v>
      </c>
      <c r="S12" s="16" t="s">
        <v>27</v>
      </c>
      <c r="T12" s="52"/>
      <c r="U12" s="14"/>
      <c r="V12" s="12"/>
      <c r="W12" s="13"/>
      <c r="X12" s="14"/>
      <c r="Y12" s="12"/>
      <c r="Z12" s="13"/>
    </row>
    <row r="13" spans="1:26">
      <c r="A13" s="20" t="s">
        <v>42</v>
      </c>
      <c r="B13" s="10" t="s">
        <v>20</v>
      </c>
      <c r="C13" s="10" t="s">
        <v>21</v>
      </c>
      <c r="D13" s="42" t="s">
        <v>22</v>
      </c>
      <c r="E13" s="41" t="s">
        <v>22</v>
      </c>
      <c r="F13" s="11">
        <v>1759122</v>
      </c>
      <c r="G13" s="62">
        <v>2</v>
      </c>
      <c r="H13" s="45">
        <v>5.1999999999999998E-3</v>
      </c>
      <c r="I13" s="10" t="s">
        <v>23</v>
      </c>
      <c r="J13" s="31">
        <f t="shared" ref="J13" si="8">1+LEN(A13)-LEN(SUBSTITUTE(A13,",",""))</f>
        <v>1</v>
      </c>
      <c r="K13" s="45">
        <f t="shared" ref="K13" si="9">H13*J13</f>
        <v>5.1999999999999998E-3</v>
      </c>
      <c r="L13" s="14" t="s">
        <v>24</v>
      </c>
      <c r="M13" s="71">
        <v>9.9999999999999995E-8</v>
      </c>
      <c r="N13" s="72"/>
      <c r="O13" s="14" t="s">
        <v>25</v>
      </c>
      <c r="P13" s="12">
        <v>35</v>
      </c>
      <c r="Q13" s="18"/>
      <c r="R13" s="14" t="s">
        <v>26</v>
      </c>
      <c r="S13" s="16" t="s">
        <v>27</v>
      </c>
      <c r="T13" s="52"/>
      <c r="U13" s="14"/>
      <c r="V13" s="12"/>
      <c r="W13" s="13"/>
      <c r="X13" s="14"/>
      <c r="Y13" s="12"/>
      <c r="Z13" s="13"/>
    </row>
    <row r="14" spans="1:26">
      <c r="A14" s="9" t="s">
        <v>43</v>
      </c>
      <c r="B14" s="10" t="s">
        <v>44</v>
      </c>
      <c r="C14" s="11" t="s">
        <v>45</v>
      </c>
      <c r="D14" s="42" t="s">
        <v>46</v>
      </c>
      <c r="E14" s="41" t="s">
        <v>47</v>
      </c>
      <c r="F14" s="10">
        <v>1581194</v>
      </c>
      <c r="G14" s="62">
        <v>1.2</v>
      </c>
      <c r="H14" s="45">
        <v>0.14000000000000001</v>
      </c>
      <c r="I14" s="10" t="s">
        <v>34</v>
      </c>
      <c r="J14" s="30">
        <f>1+LEN(A14)-LEN(SUBSTITUTE(A14,",",""))</f>
        <v>1</v>
      </c>
      <c r="K14" s="45">
        <f t="shared" si="7"/>
        <v>0.14000000000000001</v>
      </c>
      <c r="L14" s="14"/>
      <c r="M14" s="33"/>
      <c r="N14" s="17"/>
      <c r="O14" s="14"/>
      <c r="P14" s="12"/>
      <c r="Q14" s="13"/>
      <c r="R14" s="14"/>
      <c r="S14" s="12"/>
      <c r="T14" s="13"/>
      <c r="U14" s="14"/>
      <c r="V14" s="12"/>
      <c r="W14" s="15"/>
      <c r="X14" s="14"/>
      <c r="Y14" s="12"/>
      <c r="Z14" s="15"/>
    </row>
    <row r="15" spans="1:26">
      <c r="A15" s="9" t="s">
        <v>48</v>
      </c>
      <c r="B15" s="10" t="s">
        <v>49</v>
      </c>
      <c r="C15" s="11" t="s">
        <v>50</v>
      </c>
      <c r="D15" s="41" t="s">
        <v>51</v>
      </c>
      <c r="E15" s="41" t="s">
        <v>52</v>
      </c>
      <c r="F15" s="44">
        <v>9556249</v>
      </c>
      <c r="G15" s="62">
        <v>1.2</v>
      </c>
      <c r="H15" s="45">
        <v>0.16600000000000001</v>
      </c>
      <c r="I15" s="10" t="s">
        <v>23</v>
      </c>
      <c r="J15" s="30">
        <f t="shared" si="0"/>
        <v>1</v>
      </c>
      <c r="K15" s="45">
        <f t="shared" si="7"/>
        <v>0.16600000000000001</v>
      </c>
      <c r="L15" s="14" t="s">
        <v>53</v>
      </c>
      <c r="M15" s="33"/>
      <c r="N15" s="35">
        <v>0.4</v>
      </c>
      <c r="O15" s="14" t="s">
        <v>54</v>
      </c>
      <c r="P15" s="34">
        <v>6</v>
      </c>
      <c r="Q15" s="13"/>
      <c r="R15" s="14" t="s">
        <v>55</v>
      </c>
      <c r="S15" s="12">
        <v>30</v>
      </c>
      <c r="T15" s="54"/>
      <c r="U15" s="14"/>
      <c r="V15" s="12"/>
      <c r="W15" s="13"/>
      <c r="X15" s="14"/>
      <c r="Y15" s="12"/>
      <c r="Z15" s="13"/>
    </row>
    <row r="16" spans="1:26">
      <c r="A16" s="9" t="s">
        <v>56</v>
      </c>
      <c r="B16" s="10" t="s">
        <v>57</v>
      </c>
      <c r="C16" s="10" t="s">
        <v>58</v>
      </c>
      <c r="D16" s="42" t="s">
        <v>59</v>
      </c>
      <c r="E16" s="41" t="s">
        <v>60</v>
      </c>
      <c r="F16" s="10">
        <v>2322476</v>
      </c>
      <c r="G16" s="68" t="s">
        <v>61</v>
      </c>
      <c r="H16" s="45">
        <v>2.46E-2</v>
      </c>
      <c r="I16" s="10" t="s">
        <v>23</v>
      </c>
      <c r="J16" s="30">
        <f t="shared" si="0"/>
        <v>2</v>
      </c>
      <c r="K16" s="45">
        <f t="shared" si="7"/>
        <v>4.9200000000000001E-2</v>
      </c>
      <c r="L16" s="14" t="s">
        <v>62</v>
      </c>
      <c r="M16" s="33">
        <v>0.2</v>
      </c>
      <c r="N16" s="17"/>
      <c r="O16" s="14" t="s">
        <v>63</v>
      </c>
      <c r="P16" s="12">
        <v>30</v>
      </c>
      <c r="Q16" s="13"/>
      <c r="R16" s="14"/>
      <c r="S16" s="12"/>
      <c r="T16" s="13"/>
      <c r="U16" s="14"/>
      <c r="V16" s="12"/>
      <c r="W16" s="15"/>
      <c r="X16" s="14"/>
      <c r="Y16" s="12"/>
      <c r="Z16" s="15"/>
    </row>
    <row r="17" spans="1:26">
      <c r="A17" s="9" t="s">
        <v>64</v>
      </c>
      <c r="B17" s="10" t="s">
        <v>49</v>
      </c>
      <c r="C17" s="11" t="s">
        <v>50</v>
      </c>
      <c r="D17" s="41" t="s">
        <v>65</v>
      </c>
      <c r="E17" s="41" t="s">
        <v>66</v>
      </c>
      <c r="F17" s="11">
        <v>2452050</v>
      </c>
      <c r="G17" s="62">
        <v>1.2</v>
      </c>
      <c r="H17" s="45">
        <v>0.18</v>
      </c>
      <c r="I17" s="11" t="s">
        <v>67</v>
      </c>
      <c r="J17" s="30">
        <f t="shared" si="0"/>
        <v>1</v>
      </c>
      <c r="K17" s="45">
        <f t="shared" si="7"/>
        <v>0.18</v>
      </c>
      <c r="L17" s="14"/>
      <c r="M17" s="33"/>
      <c r="N17" s="17"/>
      <c r="O17" s="14"/>
      <c r="P17" s="12"/>
      <c r="Q17" s="13"/>
      <c r="R17" s="14"/>
      <c r="S17" s="12"/>
      <c r="T17" s="13"/>
      <c r="U17" s="14"/>
      <c r="V17" s="12"/>
      <c r="W17" s="15"/>
      <c r="X17" s="14"/>
      <c r="Y17" s="12"/>
      <c r="Z17" s="15"/>
    </row>
    <row r="18" spans="1:26">
      <c r="A18" s="9" t="s">
        <v>68</v>
      </c>
      <c r="B18" s="10" t="s">
        <v>69</v>
      </c>
      <c r="C18" s="10" t="s">
        <v>58</v>
      </c>
      <c r="D18" s="10" t="s">
        <v>70</v>
      </c>
      <c r="E18" s="41" t="s">
        <v>71</v>
      </c>
      <c r="F18" s="11">
        <v>1467518</v>
      </c>
      <c r="G18" s="68" t="s">
        <v>61</v>
      </c>
      <c r="H18" s="45">
        <v>2.6100000000000002E-2</v>
      </c>
      <c r="I18" s="10" t="s">
        <v>23</v>
      </c>
      <c r="J18" s="30">
        <f t="shared" ref="J18" si="10">1+LEN(A18)-LEN(SUBSTITUTE(A18,",",""))</f>
        <v>2</v>
      </c>
      <c r="K18" s="45">
        <f>H18*J18</f>
        <v>5.2200000000000003E-2</v>
      </c>
      <c r="L18" s="14" t="s">
        <v>62</v>
      </c>
      <c r="M18" s="33">
        <v>0.2</v>
      </c>
      <c r="N18" s="17"/>
      <c r="O18" s="14" t="s">
        <v>63</v>
      </c>
      <c r="P18" s="12">
        <v>30</v>
      </c>
      <c r="Q18" s="13"/>
      <c r="R18" s="14"/>
      <c r="S18" s="12"/>
      <c r="T18" s="13"/>
      <c r="U18" s="14"/>
      <c r="V18" s="12"/>
      <c r="W18" s="15"/>
      <c r="X18" s="14"/>
      <c r="Y18" s="12"/>
      <c r="Z18" s="15"/>
    </row>
    <row r="19" spans="1:26">
      <c r="A19" s="9" t="s">
        <v>72</v>
      </c>
      <c r="B19" s="10" t="s">
        <v>73</v>
      </c>
      <c r="C19" s="11" t="s">
        <v>74</v>
      </c>
      <c r="D19" s="41" t="s">
        <v>75</v>
      </c>
      <c r="E19" s="41" t="s">
        <v>76</v>
      </c>
      <c r="F19" s="11">
        <v>2057925</v>
      </c>
      <c r="G19" s="62">
        <v>1.2</v>
      </c>
      <c r="H19" s="45">
        <v>0.24299999999999999</v>
      </c>
      <c r="I19" s="11" t="s">
        <v>34</v>
      </c>
      <c r="J19" s="30">
        <f t="shared" si="0"/>
        <v>1</v>
      </c>
      <c r="K19" s="45">
        <f t="shared" si="7"/>
        <v>0.24299999999999999</v>
      </c>
      <c r="L19" s="14"/>
      <c r="M19" s="33"/>
      <c r="N19" s="17"/>
      <c r="O19" s="14"/>
      <c r="P19" s="12"/>
      <c r="Q19" s="13"/>
      <c r="R19" s="14"/>
      <c r="S19" s="12"/>
      <c r="T19" s="13"/>
      <c r="U19" s="14"/>
      <c r="V19" s="12"/>
      <c r="W19" s="15"/>
      <c r="X19" s="14"/>
      <c r="Y19" s="12"/>
      <c r="Z19" s="15"/>
    </row>
    <row r="20" spans="1:26">
      <c r="A20" s="9" t="s">
        <v>77</v>
      </c>
      <c r="B20" s="10" t="s">
        <v>78</v>
      </c>
      <c r="C20" s="11" t="s">
        <v>79</v>
      </c>
      <c r="D20" s="41" t="s">
        <v>80</v>
      </c>
      <c r="E20" s="41" t="s">
        <v>81</v>
      </c>
      <c r="F20" s="55" t="s">
        <v>82</v>
      </c>
      <c r="G20" s="62">
        <v>1.2</v>
      </c>
      <c r="H20" s="45">
        <v>1.93</v>
      </c>
      <c r="I20" s="11" t="s">
        <v>34</v>
      </c>
      <c r="J20" s="30">
        <f t="shared" si="0"/>
        <v>1</v>
      </c>
      <c r="K20" s="45">
        <f t="shared" si="7"/>
        <v>1.93</v>
      </c>
      <c r="L20" s="14"/>
      <c r="M20" s="33"/>
      <c r="N20" s="17"/>
      <c r="O20" s="14"/>
      <c r="P20" s="12"/>
      <c r="Q20" s="13"/>
      <c r="R20" s="14"/>
      <c r="S20" s="12"/>
      <c r="T20" s="13"/>
      <c r="U20" s="14"/>
      <c r="V20" s="12"/>
      <c r="W20" s="15"/>
      <c r="X20" s="14"/>
      <c r="Y20" s="12"/>
      <c r="Z20" s="15"/>
    </row>
    <row r="21" spans="1:26">
      <c r="A21" s="9" t="s">
        <v>83</v>
      </c>
      <c r="B21" s="10" t="s">
        <v>84</v>
      </c>
      <c r="C21" s="11" t="s">
        <v>79</v>
      </c>
      <c r="D21" s="41" t="s">
        <v>85</v>
      </c>
      <c r="E21" s="41" t="s">
        <v>86</v>
      </c>
      <c r="F21" s="11">
        <v>1866910</v>
      </c>
      <c r="G21" s="62">
        <v>1.5</v>
      </c>
      <c r="H21" s="45">
        <v>0.58099999999999996</v>
      </c>
      <c r="I21" s="11" t="s">
        <v>34</v>
      </c>
      <c r="J21" s="30">
        <f t="shared" si="0"/>
        <v>1</v>
      </c>
      <c r="K21" s="45">
        <f t="shared" si="7"/>
        <v>0.58099999999999996</v>
      </c>
      <c r="L21" s="14"/>
      <c r="M21" s="33"/>
      <c r="N21" s="17"/>
      <c r="O21" s="14"/>
      <c r="P21" s="12"/>
      <c r="Q21" s="13"/>
      <c r="R21" s="14"/>
      <c r="S21" s="12"/>
      <c r="T21" s="13"/>
      <c r="U21" s="14"/>
      <c r="V21" s="12"/>
      <c r="W21" s="15"/>
      <c r="X21" s="14"/>
      <c r="Y21" s="12"/>
      <c r="Z21" s="15"/>
    </row>
    <row r="22" spans="1:26">
      <c r="A22" s="9" t="s">
        <v>87</v>
      </c>
      <c r="B22" s="10" t="s">
        <v>88</v>
      </c>
      <c r="C22" s="11" t="s">
        <v>79</v>
      </c>
      <c r="D22" s="41" t="s">
        <v>89</v>
      </c>
      <c r="E22" s="41" t="s">
        <v>90</v>
      </c>
      <c r="F22" s="55" t="s">
        <v>82</v>
      </c>
      <c r="G22" s="62">
        <v>1.2</v>
      </c>
      <c r="H22" s="45">
        <v>0.27400999999999998</v>
      </c>
      <c r="I22" s="11" t="s">
        <v>34</v>
      </c>
      <c r="J22" s="30">
        <f t="shared" ref="J22" si="11">1+LEN(A22)-LEN(SUBSTITUTE(A22,",",""))</f>
        <v>1</v>
      </c>
      <c r="K22" s="45">
        <f t="shared" ref="K22:K23" si="12">H22*J22</f>
        <v>0.27400999999999998</v>
      </c>
      <c r="L22" s="14"/>
      <c r="M22" s="33"/>
      <c r="N22" s="17"/>
      <c r="O22" s="14"/>
      <c r="P22" s="12"/>
      <c r="Q22" s="13"/>
      <c r="R22" s="14"/>
      <c r="S22" s="12"/>
      <c r="T22" s="13"/>
      <c r="U22" s="14"/>
      <c r="V22" s="12"/>
      <c r="W22" s="15"/>
      <c r="X22" s="14"/>
      <c r="Y22" s="12"/>
      <c r="Z22" s="15"/>
    </row>
    <row r="23" spans="1:26">
      <c r="A23" s="9" t="s">
        <v>91</v>
      </c>
      <c r="B23" s="10" t="s">
        <v>92</v>
      </c>
      <c r="C23" s="10" t="s">
        <v>79</v>
      </c>
      <c r="D23" s="10" t="s">
        <v>93</v>
      </c>
      <c r="E23" s="41" t="s">
        <v>94</v>
      </c>
      <c r="F23" s="55">
        <v>1135383</v>
      </c>
      <c r="G23" s="68" t="s">
        <v>61</v>
      </c>
      <c r="H23" s="45">
        <v>0.253</v>
      </c>
      <c r="I23" s="11" t="s">
        <v>34</v>
      </c>
      <c r="J23" s="30">
        <v>1</v>
      </c>
      <c r="K23" s="45">
        <f t="shared" si="12"/>
        <v>0.253</v>
      </c>
      <c r="L23" s="14"/>
      <c r="M23" s="33"/>
      <c r="N23" s="17"/>
      <c r="O23" s="14"/>
      <c r="P23" s="12"/>
      <c r="Q23" s="13"/>
      <c r="R23" s="14"/>
      <c r="S23" s="12"/>
      <c r="T23" s="13"/>
      <c r="U23" s="14"/>
      <c r="V23" s="12"/>
      <c r="W23" s="15"/>
      <c r="X23" s="14"/>
      <c r="Y23" s="12"/>
      <c r="Z23" s="15"/>
    </row>
    <row r="24" spans="1:26">
      <c r="A24" s="9" t="s">
        <v>95</v>
      </c>
      <c r="B24" s="10" t="s">
        <v>96</v>
      </c>
      <c r="C24" s="11" t="s">
        <v>45</v>
      </c>
      <c r="D24" s="41" t="s">
        <v>97</v>
      </c>
      <c r="E24" s="41"/>
      <c r="F24" s="11">
        <v>2008008</v>
      </c>
      <c r="G24" s="62">
        <v>1.2</v>
      </c>
      <c r="H24" s="45">
        <v>0.39300000000000002</v>
      </c>
      <c r="I24" s="11" t="s">
        <v>23</v>
      </c>
      <c r="J24" s="30">
        <f t="shared" si="0"/>
        <v>1</v>
      </c>
      <c r="K24" s="45">
        <f t="shared" si="1"/>
        <v>0.39300000000000002</v>
      </c>
      <c r="L24" s="14" t="s">
        <v>98</v>
      </c>
      <c r="M24" s="73">
        <v>6</v>
      </c>
      <c r="N24" s="74"/>
      <c r="O24" s="14" t="s">
        <v>99</v>
      </c>
      <c r="P24" s="12">
        <v>15</v>
      </c>
      <c r="Q24" s="13"/>
      <c r="R24" s="14" t="s">
        <v>100</v>
      </c>
      <c r="S24" s="75" t="s">
        <v>101</v>
      </c>
      <c r="T24" s="76"/>
      <c r="U24" s="14" t="s">
        <v>102</v>
      </c>
      <c r="V24" s="75" t="s">
        <v>103</v>
      </c>
      <c r="W24" s="76"/>
      <c r="X24" s="14"/>
      <c r="Y24" s="12"/>
      <c r="Z24" s="15"/>
    </row>
    <row r="25" spans="1:26">
      <c r="A25" s="9" t="s">
        <v>104</v>
      </c>
      <c r="B25" s="10" t="s">
        <v>105</v>
      </c>
      <c r="C25" s="11" t="s">
        <v>106</v>
      </c>
      <c r="D25" s="41" t="s">
        <v>107</v>
      </c>
      <c r="E25" s="41"/>
      <c r="F25" s="55" t="s">
        <v>106</v>
      </c>
      <c r="G25" s="62">
        <v>2</v>
      </c>
      <c r="H25" s="45">
        <v>0.104</v>
      </c>
      <c r="I25" s="11" t="s">
        <v>34</v>
      </c>
      <c r="J25" s="30">
        <f t="shared" si="0"/>
        <v>1</v>
      </c>
      <c r="K25" s="45">
        <f t="shared" si="1"/>
        <v>0.104</v>
      </c>
      <c r="L25" s="14"/>
      <c r="M25" s="33"/>
      <c r="N25" s="17"/>
      <c r="O25" s="14"/>
      <c r="P25" s="12"/>
      <c r="Q25" s="13"/>
      <c r="R25" s="14"/>
      <c r="S25" s="12"/>
      <c r="T25" s="13"/>
      <c r="U25" s="14"/>
      <c r="V25" s="12"/>
      <c r="W25" s="15"/>
      <c r="X25" s="14"/>
      <c r="Y25" s="12"/>
      <c r="Z25" s="15"/>
    </row>
    <row r="26" spans="1:26">
      <c r="A26" s="9" t="s">
        <v>108</v>
      </c>
      <c r="B26" s="10" t="s">
        <v>109</v>
      </c>
      <c r="C26" s="11" t="s">
        <v>45</v>
      </c>
      <c r="D26" s="41" t="s">
        <v>110</v>
      </c>
      <c r="E26" s="41"/>
      <c r="F26" s="11">
        <v>2007996</v>
      </c>
      <c r="G26" s="62">
        <v>1.2</v>
      </c>
      <c r="H26" s="45">
        <v>0.183</v>
      </c>
      <c r="I26" s="11" t="s">
        <v>23</v>
      </c>
      <c r="J26" s="30">
        <f t="shared" ref="J26" si="13">1+LEN(A26)-LEN(SUBSTITUTE(A26,",",""))</f>
        <v>2</v>
      </c>
      <c r="K26" s="45">
        <f t="shared" ref="K26" si="14">H26*J26</f>
        <v>0.36599999999999999</v>
      </c>
      <c r="L26" s="14" t="s">
        <v>98</v>
      </c>
      <c r="M26" s="73">
        <v>3</v>
      </c>
      <c r="N26" s="74"/>
      <c r="O26" s="14" t="s">
        <v>99</v>
      </c>
      <c r="P26" s="12">
        <v>15</v>
      </c>
      <c r="Q26" s="13"/>
      <c r="R26" s="14" t="s">
        <v>100</v>
      </c>
      <c r="S26" s="75" t="s">
        <v>101</v>
      </c>
      <c r="T26" s="76"/>
      <c r="U26" s="14" t="s">
        <v>102</v>
      </c>
      <c r="V26" s="75" t="s">
        <v>103</v>
      </c>
      <c r="W26" s="76"/>
      <c r="X26" s="14"/>
      <c r="Y26" s="12"/>
      <c r="Z26" s="15"/>
    </row>
    <row r="27" spans="1:26">
      <c r="A27" s="9" t="s">
        <v>111</v>
      </c>
      <c r="B27" s="10" t="s">
        <v>112</v>
      </c>
      <c r="C27" s="10" t="s">
        <v>21</v>
      </c>
      <c r="D27" s="42" t="s">
        <v>113</v>
      </c>
      <c r="E27" s="41" t="s">
        <v>113</v>
      </c>
      <c r="F27" s="10">
        <v>1864449</v>
      </c>
      <c r="G27" s="62">
        <v>1.2</v>
      </c>
      <c r="H27" s="45">
        <v>0.2</v>
      </c>
      <c r="I27" s="10" t="s">
        <v>23</v>
      </c>
      <c r="J27" s="30">
        <f t="shared" si="0"/>
        <v>1</v>
      </c>
      <c r="K27" s="45">
        <f t="shared" si="1"/>
        <v>0.2</v>
      </c>
      <c r="L27" s="14" t="s">
        <v>114</v>
      </c>
      <c r="M27" s="33">
        <v>6.8000000000000001E-6</v>
      </c>
      <c r="N27" s="17"/>
      <c r="O27" s="14" t="s">
        <v>115</v>
      </c>
      <c r="P27" s="12">
        <v>4.5</v>
      </c>
      <c r="Q27" s="13"/>
      <c r="R27" s="14" t="s">
        <v>116</v>
      </c>
      <c r="S27" s="12">
        <v>5</v>
      </c>
      <c r="T27" s="13"/>
      <c r="U27" s="14"/>
      <c r="V27" s="12"/>
      <c r="W27" s="15"/>
      <c r="X27" s="14"/>
      <c r="Y27" s="12"/>
      <c r="Z27" s="15"/>
    </row>
    <row r="28" spans="1:26">
      <c r="A28" s="9" t="s">
        <v>117</v>
      </c>
      <c r="B28" s="10" t="s">
        <v>118</v>
      </c>
      <c r="C28" s="11" t="s">
        <v>119</v>
      </c>
      <c r="D28" s="42" t="s">
        <v>120</v>
      </c>
      <c r="E28" s="41" t="s">
        <v>121</v>
      </c>
      <c r="F28" s="58" t="s">
        <v>82</v>
      </c>
      <c r="G28" s="62">
        <v>1.2</v>
      </c>
      <c r="H28" s="45">
        <v>0.49136999999999997</v>
      </c>
      <c r="I28" s="10" t="s">
        <v>34</v>
      </c>
      <c r="J28" s="30">
        <f t="shared" si="0"/>
        <v>1</v>
      </c>
      <c r="K28" s="45">
        <f t="shared" si="1"/>
        <v>0.49136999999999997</v>
      </c>
      <c r="L28" s="14"/>
      <c r="M28" s="47"/>
      <c r="N28" s="35"/>
      <c r="O28" s="14"/>
      <c r="P28" s="12"/>
      <c r="Q28" s="18"/>
      <c r="R28" s="14"/>
      <c r="S28" s="19"/>
      <c r="T28" s="13"/>
      <c r="U28" s="14"/>
      <c r="V28" s="12"/>
      <c r="W28" s="13"/>
      <c r="X28" s="14"/>
      <c r="Y28" s="12"/>
      <c r="Z28" s="13"/>
    </row>
    <row r="29" spans="1:26">
      <c r="A29" s="9" t="s">
        <v>122</v>
      </c>
      <c r="B29" s="10" t="s">
        <v>123</v>
      </c>
      <c r="C29" s="11" t="s">
        <v>124</v>
      </c>
      <c r="D29" s="41" t="s">
        <v>125</v>
      </c>
      <c r="E29" s="41" t="s">
        <v>71</v>
      </c>
      <c r="F29" s="11">
        <v>1510761</v>
      </c>
      <c r="G29" s="62">
        <v>1.2</v>
      </c>
      <c r="H29" s="45">
        <v>1.9099999999999999E-2</v>
      </c>
      <c r="I29" s="10" t="s">
        <v>34</v>
      </c>
      <c r="J29" s="30">
        <f t="shared" si="0"/>
        <v>2</v>
      </c>
      <c r="K29" s="45">
        <f t="shared" si="1"/>
        <v>3.8199999999999998E-2</v>
      </c>
      <c r="L29" s="14"/>
      <c r="M29" s="47"/>
      <c r="N29" s="35"/>
      <c r="O29" s="14"/>
      <c r="P29" s="12"/>
      <c r="Q29" s="18"/>
      <c r="R29" s="14"/>
      <c r="S29" s="19"/>
      <c r="T29" s="13"/>
      <c r="U29" s="14"/>
      <c r="V29" s="12"/>
      <c r="W29" s="13"/>
      <c r="X29" s="14"/>
      <c r="Y29" s="12"/>
      <c r="Z29" s="13"/>
    </row>
    <row r="30" spans="1:26">
      <c r="A30" s="9" t="s">
        <v>126</v>
      </c>
      <c r="B30" s="10" t="s">
        <v>127</v>
      </c>
      <c r="C30" s="11" t="s">
        <v>50</v>
      </c>
      <c r="D30" s="41" t="s">
        <v>128</v>
      </c>
      <c r="E30" s="41" t="s">
        <v>129</v>
      </c>
      <c r="F30" s="11">
        <v>2317636</v>
      </c>
      <c r="G30" s="62">
        <v>1.2</v>
      </c>
      <c r="H30" s="45">
        <v>2.75E-2</v>
      </c>
      <c r="I30" s="10" t="s">
        <v>34</v>
      </c>
      <c r="J30" s="30">
        <f t="shared" si="0"/>
        <v>2</v>
      </c>
      <c r="K30" s="45">
        <f t="shared" si="1"/>
        <v>5.5E-2</v>
      </c>
      <c r="L30" s="14"/>
      <c r="M30" s="57"/>
      <c r="N30" s="56"/>
      <c r="O30" s="14"/>
      <c r="P30" s="12"/>
      <c r="Q30" s="18"/>
      <c r="R30" s="14"/>
      <c r="S30" s="19"/>
      <c r="T30" s="13"/>
      <c r="U30" s="14"/>
      <c r="V30" s="12"/>
      <c r="W30" s="13"/>
      <c r="X30" s="14"/>
      <c r="Y30" s="12"/>
      <c r="Z30" s="13"/>
    </row>
    <row r="31" spans="1:26">
      <c r="A31" s="9" t="s">
        <v>130</v>
      </c>
      <c r="B31" s="10" t="s">
        <v>131</v>
      </c>
      <c r="C31" s="11" t="s">
        <v>132</v>
      </c>
      <c r="D31" s="41" t="s">
        <v>133</v>
      </c>
      <c r="E31" s="41" t="s">
        <v>121</v>
      </c>
      <c r="F31" s="11">
        <v>2471947</v>
      </c>
      <c r="G31" s="62">
        <v>1.2</v>
      </c>
      <c r="H31" s="45">
        <v>4.1000000000000002E-2</v>
      </c>
      <c r="I31" s="10" t="s">
        <v>67</v>
      </c>
      <c r="J31" s="30">
        <f t="shared" si="0"/>
        <v>1</v>
      </c>
      <c r="K31" s="45">
        <f t="shared" si="1"/>
        <v>4.1000000000000002E-2</v>
      </c>
      <c r="L31" s="14"/>
      <c r="M31" s="57"/>
      <c r="N31" s="56"/>
      <c r="O31" s="14"/>
      <c r="P31" s="12"/>
      <c r="Q31" s="18"/>
      <c r="R31" s="14"/>
      <c r="S31" s="19"/>
      <c r="T31" s="13"/>
      <c r="U31" s="14"/>
      <c r="V31" s="12"/>
      <c r="W31" s="13"/>
      <c r="X31" s="14"/>
      <c r="Y31" s="12"/>
      <c r="Z31" s="13"/>
    </row>
    <row r="32" spans="1:26">
      <c r="A32" s="9" t="s">
        <v>134</v>
      </c>
      <c r="B32" s="10" t="s">
        <v>135</v>
      </c>
      <c r="C32" s="11" t="s">
        <v>21</v>
      </c>
      <c r="D32" s="41" t="s">
        <v>22</v>
      </c>
      <c r="E32" s="41" t="s">
        <v>22</v>
      </c>
      <c r="F32" s="11">
        <v>2059548</v>
      </c>
      <c r="G32" s="62">
        <v>2</v>
      </c>
      <c r="H32" s="45">
        <v>1E-3</v>
      </c>
      <c r="I32" s="10" t="s">
        <v>23</v>
      </c>
      <c r="J32" s="30">
        <f t="shared" ref="J32:J40" si="15">1+LEN(A32)-LEN(SUBSTITUTE(A32,",",""))</f>
        <v>1</v>
      </c>
      <c r="K32" s="45">
        <f t="shared" ref="K32:K40" si="16">H32*J32</f>
        <v>1E-3</v>
      </c>
      <c r="L32" s="14" t="s">
        <v>136</v>
      </c>
      <c r="M32" s="71">
        <v>10</v>
      </c>
      <c r="N32" s="72"/>
      <c r="O32" s="14" t="s">
        <v>137</v>
      </c>
      <c r="P32" s="12"/>
      <c r="Q32" s="13">
        <v>0.05</v>
      </c>
      <c r="R32" s="14"/>
      <c r="S32" s="12"/>
      <c r="T32" s="15"/>
      <c r="U32" s="14"/>
      <c r="V32" s="12"/>
      <c r="W32" s="15"/>
      <c r="X32" s="14"/>
      <c r="Y32" s="12"/>
      <c r="Z32" s="13"/>
    </row>
    <row r="33" spans="1:26">
      <c r="A33" s="9" t="s">
        <v>138</v>
      </c>
      <c r="B33" s="10" t="s">
        <v>135</v>
      </c>
      <c r="C33" s="11" t="s">
        <v>21</v>
      </c>
      <c r="D33" s="41" t="s">
        <v>22</v>
      </c>
      <c r="E33" s="41" t="s">
        <v>22</v>
      </c>
      <c r="F33" s="11">
        <v>9331620</v>
      </c>
      <c r="G33" s="62">
        <v>2</v>
      </c>
      <c r="H33" s="45">
        <v>5.0000000000000001E-3</v>
      </c>
      <c r="I33" s="10" t="s">
        <v>23</v>
      </c>
      <c r="J33" s="30">
        <f t="shared" si="15"/>
        <v>1</v>
      </c>
      <c r="K33" s="45">
        <f t="shared" si="16"/>
        <v>5.0000000000000001E-3</v>
      </c>
      <c r="L33" s="14" t="s">
        <v>136</v>
      </c>
      <c r="M33" s="71">
        <v>91000</v>
      </c>
      <c r="N33" s="72"/>
      <c r="O33" s="14" t="s">
        <v>137</v>
      </c>
      <c r="P33" s="12"/>
      <c r="Q33" s="13">
        <v>0.01</v>
      </c>
      <c r="R33" s="14"/>
      <c r="S33" s="12"/>
      <c r="T33" s="13"/>
      <c r="U33" s="14"/>
      <c r="V33" s="12"/>
      <c r="W33" s="13"/>
      <c r="X33" s="14"/>
      <c r="Y33" s="12"/>
      <c r="Z33" s="13"/>
    </row>
    <row r="34" spans="1:26">
      <c r="A34" s="9" t="s">
        <v>139</v>
      </c>
      <c r="B34" s="10" t="s">
        <v>135</v>
      </c>
      <c r="C34" s="11" t="s">
        <v>21</v>
      </c>
      <c r="D34" s="41" t="s">
        <v>22</v>
      </c>
      <c r="E34" s="41" t="s">
        <v>22</v>
      </c>
      <c r="F34" s="11">
        <v>2332014</v>
      </c>
      <c r="G34" s="62">
        <v>2</v>
      </c>
      <c r="H34" s="45">
        <v>4.4999999999999997E-3</v>
      </c>
      <c r="I34" s="10" t="s">
        <v>23</v>
      </c>
      <c r="J34" s="30">
        <f t="shared" si="15"/>
        <v>1</v>
      </c>
      <c r="K34" s="45">
        <f t="shared" si="16"/>
        <v>4.4999999999999997E-3</v>
      </c>
      <c r="L34" s="14" t="s">
        <v>136</v>
      </c>
      <c r="M34" s="71">
        <v>6800</v>
      </c>
      <c r="N34" s="72"/>
      <c r="O34" s="14" t="s">
        <v>137</v>
      </c>
      <c r="P34" s="12"/>
      <c r="Q34" s="13">
        <v>0.01</v>
      </c>
      <c r="R34" s="14"/>
      <c r="S34" s="12"/>
      <c r="T34" s="13"/>
      <c r="U34" s="14"/>
      <c r="V34" s="12"/>
      <c r="W34" s="13"/>
      <c r="X34" s="14"/>
      <c r="Y34" s="12"/>
      <c r="Z34" s="13"/>
    </row>
    <row r="35" spans="1:26">
      <c r="A35" s="9" t="s">
        <v>140</v>
      </c>
      <c r="B35" s="10" t="s">
        <v>135</v>
      </c>
      <c r="C35" s="10" t="s">
        <v>21</v>
      </c>
      <c r="D35" s="42" t="s">
        <v>22</v>
      </c>
      <c r="E35" s="41" t="s">
        <v>22</v>
      </c>
      <c r="F35" s="10">
        <v>1670209</v>
      </c>
      <c r="G35" s="62">
        <v>2</v>
      </c>
      <c r="H35" s="45">
        <v>3.6900000000000002E-2</v>
      </c>
      <c r="I35" s="10" t="s">
        <v>23</v>
      </c>
      <c r="J35" s="30">
        <f t="shared" si="15"/>
        <v>1</v>
      </c>
      <c r="K35" s="45">
        <f t="shared" si="16"/>
        <v>3.6900000000000002E-2</v>
      </c>
      <c r="L35" s="14" t="s">
        <v>136</v>
      </c>
      <c r="M35" s="71">
        <v>300000</v>
      </c>
      <c r="N35" s="72"/>
      <c r="O35" s="14" t="s">
        <v>137</v>
      </c>
      <c r="P35" s="12"/>
      <c r="Q35" s="13">
        <v>1E-3</v>
      </c>
      <c r="R35" s="14"/>
      <c r="S35" s="12"/>
      <c r="T35" s="13"/>
      <c r="U35" s="14"/>
      <c r="V35" s="12"/>
      <c r="W35" s="13"/>
      <c r="X35" s="14"/>
      <c r="Y35" s="12"/>
      <c r="Z35" s="13"/>
    </row>
    <row r="36" spans="1:26">
      <c r="A36" s="9" t="s">
        <v>141</v>
      </c>
      <c r="B36" s="10" t="s">
        <v>135</v>
      </c>
      <c r="C36" s="10" t="s">
        <v>21</v>
      </c>
      <c r="D36" s="42" t="s">
        <v>142</v>
      </c>
      <c r="E36" s="41" t="s">
        <v>142</v>
      </c>
      <c r="F36" s="10">
        <v>1575985</v>
      </c>
      <c r="G36" s="62">
        <v>2</v>
      </c>
      <c r="H36" s="45">
        <v>3.9E-2</v>
      </c>
      <c r="I36" s="10" t="s">
        <v>23</v>
      </c>
      <c r="J36" s="30">
        <f t="shared" si="15"/>
        <v>1</v>
      </c>
      <c r="K36" s="45">
        <f t="shared" si="16"/>
        <v>3.9E-2</v>
      </c>
      <c r="L36" s="14" t="s">
        <v>136</v>
      </c>
      <c r="M36" s="71">
        <v>53600</v>
      </c>
      <c r="N36" s="72"/>
      <c r="O36" s="14" t="s">
        <v>137</v>
      </c>
      <c r="P36" s="12"/>
      <c r="Q36" s="13">
        <v>1E-3</v>
      </c>
      <c r="R36" s="14"/>
      <c r="S36" s="12"/>
      <c r="T36" s="13"/>
      <c r="U36" s="14"/>
      <c r="V36" s="12"/>
      <c r="W36" s="13"/>
      <c r="X36" s="14"/>
      <c r="Y36" s="12"/>
      <c r="Z36" s="13"/>
    </row>
    <row r="37" spans="1:26">
      <c r="A37" s="9" t="s">
        <v>143</v>
      </c>
      <c r="B37" s="10" t="s">
        <v>135</v>
      </c>
      <c r="C37" s="10" t="s">
        <v>21</v>
      </c>
      <c r="D37" s="42" t="s">
        <v>144</v>
      </c>
      <c r="E37" s="41" t="s">
        <v>33</v>
      </c>
      <c r="F37" s="10">
        <v>2079442</v>
      </c>
      <c r="G37" s="62">
        <v>2</v>
      </c>
      <c r="H37" s="45">
        <v>8.0799999999999997E-2</v>
      </c>
      <c r="I37" s="10" t="s">
        <v>23</v>
      </c>
      <c r="J37" s="30">
        <f t="shared" si="15"/>
        <v>1</v>
      </c>
      <c r="K37" s="45">
        <f t="shared" si="16"/>
        <v>8.0799999999999997E-2</v>
      </c>
      <c r="L37" s="14" t="s">
        <v>136</v>
      </c>
      <c r="M37" s="71">
        <v>0.01</v>
      </c>
      <c r="N37" s="72"/>
      <c r="O37" s="14" t="s">
        <v>137</v>
      </c>
      <c r="P37" s="12"/>
      <c r="Q37" s="13">
        <v>0.01</v>
      </c>
      <c r="R37" s="14" t="s">
        <v>145</v>
      </c>
      <c r="S37" s="34">
        <v>1</v>
      </c>
      <c r="T37" s="17"/>
      <c r="U37" s="14"/>
      <c r="V37" s="12"/>
      <c r="W37" s="13"/>
      <c r="X37" s="14"/>
      <c r="Y37" s="12"/>
      <c r="Z37" s="13"/>
    </row>
    <row r="38" spans="1:26">
      <c r="A38" s="9" t="s">
        <v>146</v>
      </c>
      <c r="B38" s="10" t="s">
        <v>135</v>
      </c>
      <c r="C38" s="10" t="s">
        <v>21</v>
      </c>
      <c r="D38" s="42" t="s">
        <v>22</v>
      </c>
      <c r="E38" s="41" t="s">
        <v>22</v>
      </c>
      <c r="F38" s="10">
        <v>2059441</v>
      </c>
      <c r="G38" s="62">
        <v>2</v>
      </c>
      <c r="H38" s="45">
        <v>2.5000000000000001E-3</v>
      </c>
      <c r="I38" s="10" t="s">
        <v>23</v>
      </c>
      <c r="J38" s="30">
        <f t="shared" si="15"/>
        <v>2</v>
      </c>
      <c r="K38" s="45">
        <f t="shared" si="16"/>
        <v>5.0000000000000001E-3</v>
      </c>
      <c r="L38" s="14" t="s">
        <v>136</v>
      </c>
      <c r="M38" s="71">
        <v>24000</v>
      </c>
      <c r="N38" s="72"/>
      <c r="O38" s="14" t="s">
        <v>137</v>
      </c>
      <c r="P38" s="12"/>
      <c r="Q38" s="13">
        <v>0.01</v>
      </c>
      <c r="R38" s="14"/>
      <c r="S38" s="12"/>
      <c r="T38" s="13"/>
      <c r="U38" s="14"/>
      <c r="V38" s="12"/>
      <c r="W38" s="13"/>
      <c r="X38" s="14"/>
      <c r="Y38" s="12"/>
      <c r="Z38" s="13"/>
    </row>
    <row r="39" spans="1:26">
      <c r="A39" s="9" t="s">
        <v>147</v>
      </c>
      <c r="B39" s="10" t="s">
        <v>135</v>
      </c>
      <c r="C39" s="10" t="s">
        <v>21</v>
      </c>
      <c r="D39" s="42" t="s">
        <v>22</v>
      </c>
      <c r="E39" s="41" t="s">
        <v>22</v>
      </c>
      <c r="F39" s="10">
        <v>2303207</v>
      </c>
      <c r="G39" s="62">
        <v>2</v>
      </c>
      <c r="H39" s="45">
        <v>3.2000000000000002E-3</v>
      </c>
      <c r="I39" s="10" t="s">
        <v>23</v>
      </c>
      <c r="J39" s="30">
        <f t="shared" si="15"/>
        <v>1</v>
      </c>
      <c r="K39" s="45">
        <f t="shared" si="16"/>
        <v>3.2000000000000002E-3</v>
      </c>
      <c r="L39" s="14" t="s">
        <v>136</v>
      </c>
      <c r="M39" s="71">
        <v>36000</v>
      </c>
      <c r="N39" s="72"/>
      <c r="O39" s="14" t="s">
        <v>137</v>
      </c>
      <c r="P39" s="12"/>
      <c r="Q39" s="13">
        <v>0.01</v>
      </c>
      <c r="R39" s="14"/>
      <c r="S39" s="16"/>
      <c r="T39" s="17"/>
      <c r="U39" s="14"/>
      <c r="V39" s="12"/>
      <c r="W39" s="13"/>
      <c r="X39" s="14"/>
      <c r="Y39" s="12"/>
      <c r="Z39" s="13"/>
    </row>
    <row r="40" spans="1:26">
      <c r="A40" s="20" t="s">
        <v>148</v>
      </c>
      <c r="B40" s="10" t="s">
        <v>135</v>
      </c>
      <c r="C40" s="10" t="s">
        <v>21</v>
      </c>
      <c r="D40" s="42" t="s">
        <v>22</v>
      </c>
      <c r="E40" s="41" t="s">
        <v>22</v>
      </c>
      <c r="F40" s="10">
        <v>2447328</v>
      </c>
      <c r="G40" s="62">
        <v>2</v>
      </c>
      <c r="H40" s="45">
        <v>8.0000000000000004E-4</v>
      </c>
      <c r="I40" s="10" t="s">
        <v>23</v>
      </c>
      <c r="J40" s="31">
        <f t="shared" si="15"/>
        <v>1</v>
      </c>
      <c r="K40" s="45">
        <f t="shared" si="16"/>
        <v>8.0000000000000004E-4</v>
      </c>
      <c r="L40" s="14" t="s">
        <v>136</v>
      </c>
      <c r="M40" s="71">
        <v>2.2000000000000002</v>
      </c>
      <c r="N40" s="72"/>
      <c r="O40" s="14" t="s">
        <v>137</v>
      </c>
      <c r="P40" s="12"/>
      <c r="Q40" s="13">
        <v>0.05</v>
      </c>
      <c r="R40" s="14"/>
      <c r="S40" s="12"/>
      <c r="T40" s="13"/>
      <c r="U40" s="14"/>
      <c r="V40" s="12"/>
      <c r="W40" s="13"/>
      <c r="X40" s="14"/>
      <c r="Y40" s="12"/>
      <c r="Z40" s="13"/>
    </row>
    <row r="41" spans="1:26">
      <c r="A41" s="20" t="s">
        <v>149</v>
      </c>
      <c r="B41" s="10" t="s">
        <v>135</v>
      </c>
      <c r="C41" s="10" t="s">
        <v>21</v>
      </c>
      <c r="D41" s="42" t="s">
        <v>150</v>
      </c>
      <c r="E41" s="41" t="s">
        <v>151</v>
      </c>
      <c r="F41" s="10">
        <v>2116014</v>
      </c>
      <c r="G41" s="62">
        <v>2</v>
      </c>
      <c r="H41" s="45">
        <v>0.255</v>
      </c>
      <c r="I41" s="10" t="s">
        <v>23</v>
      </c>
      <c r="J41" s="30">
        <f t="shared" ref="J41" si="17">1+LEN(A41)-LEN(SUBSTITUTE(A41,",",""))</f>
        <v>1</v>
      </c>
      <c r="K41" s="45">
        <f t="shared" ref="K41" si="18">H41*J41</f>
        <v>0.255</v>
      </c>
      <c r="L41" s="14" t="s">
        <v>136</v>
      </c>
      <c r="M41" s="71">
        <v>1.5E-3</v>
      </c>
      <c r="N41" s="72"/>
      <c r="O41" s="14" t="s">
        <v>137</v>
      </c>
      <c r="P41" s="12"/>
      <c r="Q41" s="13">
        <v>0.01</v>
      </c>
      <c r="R41" s="14" t="s">
        <v>145</v>
      </c>
      <c r="S41" s="12">
        <v>0.5</v>
      </c>
      <c r="T41" s="13"/>
      <c r="U41" s="14"/>
      <c r="V41" s="12"/>
      <c r="W41" s="13"/>
      <c r="X41" s="14"/>
      <c r="Y41" s="12"/>
      <c r="Z41" s="13"/>
    </row>
    <row r="42" spans="1:26">
      <c r="A42" s="20" t="s">
        <v>152</v>
      </c>
      <c r="B42" s="10" t="s">
        <v>135</v>
      </c>
      <c r="C42" s="10" t="s">
        <v>21</v>
      </c>
      <c r="D42" s="42" t="s">
        <v>22</v>
      </c>
      <c r="E42" s="41" t="s">
        <v>22</v>
      </c>
      <c r="F42" s="10">
        <v>2309107</v>
      </c>
      <c r="G42" s="62">
        <v>2</v>
      </c>
      <c r="H42" s="45">
        <v>2E-3</v>
      </c>
      <c r="I42" s="10" t="s">
        <v>23</v>
      </c>
      <c r="J42" s="31">
        <f t="shared" ref="J42:J51" si="19">1+LEN(A42)-LEN(SUBSTITUTE(A42,",",""))</f>
        <v>2</v>
      </c>
      <c r="K42" s="45">
        <f t="shared" ref="K42:K51" si="20">H42*J42</f>
        <v>4.0000000000000001E-3</v>
      </c>
      <c r="L42" s="14" t="s">
        <v>136</v>
      </c>
      <c r="M42" s="71">
        <v>100000</v>
      </c>
      <c r="N42" s="72"/>
      <c r="O42" s="14" t="s">
        <v>137</v>
      </c>
      <c r="P42" s="12"/>
      <c r="Q42" s="13">
        <v>0.05</v>
      </c>
      <c r="R42" s="14"/>
      <c r="S42" s="12"/>
      <c r="T42" s="13"/>
      <c r="U42" s="14"/>
      <c r="V42" s="12"/>
      <c r="W42" s="13"/>
      <c r="X42" s="14"/>
      <c r="Y42" s="12"/>
      <c r="Z42" s="13"/>
    </row>
    <row r="43" spans="1:26">
      <c r="A43" s="20" t="s">
        <v>153</v>
      </c>
      <c r="B43" s="10" t="s">
        <v>135</v>
      </c>
      <c r="C43" s="10" t="s">
        <v>21</v>
      </c>
      <c r="D43" s="42" t="s">
        <v>22</v>
      </c>
      <c r="E43" s="41" t="s">
        <v>22</v>
      </c>
      <c r="F43" s="10">
        <v>2138612</v>
      </c>
      <c r="G43" s="62">
        <v>2</v>
      </c>
      <c r="H43" s="45">
        <v>3.3999999999999998E-3</v>
      </c>
      <c r="I43" s="10" t="s">
        <v>23</v>
      </c>
      <c r="J43" s="31">
        <f t="shared" si="19"/>
        <v>1</v>
      </c>
      <c r="K43" s="45">
        <f t="shared" si="20"/>
        <v>3.3999999999999998E-3</v>
      </c>
      <c r="L43" s="14" t="s">
        <v>136</v>
      </c>
      <c r="M43" s="71">
        <v>1100000</v>
      </c>
      <c r="N43" s="72"/>
      <c r="O43" s="14" t="s">
        <v>137</v>
      </c>
      <c r="P43" s="12"/>
      <c r="Q43" s="13">
        <v>0.01</v>
      </c>
      <c r="R43" s="14"/>
      <c r="S43" s="12"/>
      <c r="T43" s="13"/>
      <c r="U43" s="14"/>
      <c r="V43" s="12"/>
      <c r="W43" s="13"/>
      <c r="X43" s="14"/>
      <c r="Y43" s="12"/>
      <c r="Z43" s="13"/>
    </row>
    <row r="44" spans="1:26">
      <c r="A44" s="20" t="s">
        <v>154</v>
      </c>
      <c r="B44" s="10" t="s">
        <v>135</v>
      </c>
      <c r="C44" s="11" t="s">
        <v>21</v>
      </c>
      <c r="D44" s="41" t="s">
        <v>22</v>
      </c>
      <c r="E44" s="41" t="s">
        <v>22</v>
      </c>
      <c r="F44" s="11">
        <v>9238689</v>
      </c>
      <c r="G44" s="62">
        <v>2</v>
      </c>
      <c r="H44" s="45">
        <v>4.3E-3</v>
      </c>
      <c r="I44" s="10" t="s">
        <v>23</v>
      </c>
      <c r="J44" s="30">
        <f t="shared" si="19"/>
        <v>1</v>
      </c>
      <c r="K44" s="45">
        <f t="shared" si="20"/>
        <v>4.3E-3</v>
      </c>
      <c r="L44" s="14" t="s">
        <v>136</v>
      </c>
      <c r="M44" s="71">
        <v>47000</v>
      </c>
      <c r="N44" s="72"/>
      <c r="O44" s="14" t="s">
        <v>137</v>
      </c>
      <c r="P44" s="12"/>
      <c r="Q44" s="13">
        <v>0.01</v>
      </c>
      <c r="R44" s="14"/>
      <c r="S44" s="12"/>
      <c r="T44" s="13"/>
      <c r="U44" s="14"/>
      <c r="V44" s="12"/>
      <c r="W44" s="13"/>
      <c r="X44" s="14"/>
      <c r="Y44" s="12"/>
      <c r="Z44" s="13"/>
    </row>
    <row r="45" spans="1:26">
      <c r="A45" s="20" t="s">
        <v>155</v>
      </c>
      <c r="B45" s="10" t="s">
        <v>135</v>
      </c>
      <c r="C45" s="11" t="s">
        <v>21</v>
      </c>
      <c r="D45" s="41" t="s">
        <v>22</v>
      </c>
      <c r="E45" s="41" t="s">
        <v>22</v>
      </c>
      <c r="F45" s="10">
        <v>2502462</v>
      </c>
      <c r="G45" s="62">
        <v>2</v>
      </c>
      <c r="H45" s="45">
        <v>1.1000000000000001E-3</v>
      </c>
      <c r="I45" s="10" t="s">
        <v>23</v>
      </c>
      <c r="J45" s="31">
        <f t="shared" si="19"/>
        <v>1</v>
      </c>
      <c r="K45" s="45">
        <f t="shared" si="20"/>
        <v>1.1000000000000001E-3</v>
      </c>
      <c r="L45" s="14" t="s">
        <v>136</v>
      </c>
      <c r="M45" s="71">
        <v>470</v>
      </c>
      <c r="N45" s="72"/>
      <c r="O45" s="14" t="s">
        <v>137</v>
      </c>
      <c r="P45" s="12"/>
      <c r="Q45" s="13">
        <v>0.05</v>
      </c>
      <c r="R45" s="14"/>
      <c r="S45" s="12"/>
      <c r="T45" s="13"/>
      <c r="U45" s="14"/>
      <c r="V45" s="12"/>
      <c r="W45" s="13"/>
      <c r="X45" s="14"/>
      <c r="Y45" s="12"/>
      <c r="Z45" s="13"/>
    </row>
    <row r="46" spans="1:26">
      <c r="A46" s="20" t="s">
        <v>156</v>
      </c>
      <c r="B46" s="10" t="s">
        <v>135</v>
      </c>
      <c r="C46" s="11" t="s">
        <v>21</v>
      </c>
      <c r="D46" s="41" t="s">
        <v>22</v>
      </c>
      <c r="E46" s="41" t="s">
        <v>22</v>
      </c>
      <c r="F46" s="10">
        <v>2502463</v>
      </c>
      <c r="G46" s="62">
        <v>2</v>
      </c>
      <c r="H46" s="45">
        <v>1.2999999999999999E-3</v>
      </c>
      <c r="I46" s="10" t="s">
        <v>23</v>
      </c>
      <c r="J46" s="31">
        <f t="shared" si="19"/>
        <v>3</v>
      </c>
      <c r="K46" s="45">
        <f t="shared" si="20"/>
        <v>3.8999999999999998E-3</v>
      </c>
      <c r="L46" s="14" t="s">
        <v>136</v>
      </c>
      <c r="M46" s="71">
        <v>4700</v>
      </c>
      <c r="N46" s="72"/>
      <c r="O46" s="14" t="s">
        <v>137</v>
      </c>
      <c r="P46" s="12"/>
      <c r="Q46" s="13">
        <v>0.05</v>
      </c>
      <c r="R46" s="14"/>
      <c r="S46" s="12"/>
      <c r="T46" s="13"/>
      <c r="U46" s="14"/>
      <c r="V46" s="12"/>
      <c r="W46" s="13"/>
      <c r="X46" s="14"/>
      <c r="Y46" s="12"/>
      <c r="Z46" s="13"/>
    </row>
    <row r="47" spans="1:26">
      <c r="A47" s="20" t="s">
        <v>157</v>
      </c>
      <c r="B47" s="10" t="s">
        <v>135</v>
      </c>
      <c r="C47" s="11" t="s">
        <v>21</v>
      </c>
      <c r="D47" s="41" t="s">
        <v>22</v>
      </c>
      <c r="E47" s="41" t="s">
        <v>22</v>
      </c>
      <c r="F47" s="10">
        <v>2502453</v>
      </c>
      <c r="G47" s="62">
        <v>2</v>
      </c>
      <c r="H47" s="45">
        <v>1.2999999999999999E-3</v>
      </c>
      <c r="I47" s="10" t="s">
        <v>23</v>
      </c>
      <c r="J47" s="31">
        <f t="shared" si="19"/>
        <v>1</v>
      </c>
      <c r="K47" s="45">
        <f t="shared" si="20"/>
        <v>1.2999999999999999E-3</v>
      </c>
      <c r="L47" s="14" t="s">
        <v>136</v>
      </c>
      <c r="M47" s="71">
        <v>3600</v>
      </c>
      <c r="N47" s="72"/>
      <c r="O47" s="14" t="s">
        <v>137</v>
      </c>
      <c r="P47" s="12"/>
      <c r="Q47" s="13">
        <v>0.01</v>
      </c>
      <c r="R47" s="14"/>
      <c r="S47" s="12"/>
      <c r="T47" s="13"/>
      <c r="U47" s="14"/>
      <c r="V47" s="12"/>
      <c r="W47" s="13"/>
      <c r="X47" s="14"/>
      <c r="Y47" s="12"/>
      <c r="Z47" s="13"/>
    </row>
    <row r="48" spans="1:26">
      <c r="A48" s="20" t="s">
        <v>158</v>
      </c>
      <c r="B48" s="10" t="s">
        <v>135</v>
      </c>
      <c r="C48" s="11" t="s">
        <v>21</v>
      </c>
      <c r="D48" s="41" t="s">
        <v>22</v>
      </c>
      <c r="E48" s="41" t="s">
        <v>22</v>
      </c>
      <c r="F48" s="10">
        <v>2502431</v>
      </c>
      <c r="G48" s="62">
        <v>2</v>
      </c>
      <c r="H48" s="45">
        <v>1.2999999999999999E-3</v>
      </c>
      <c r="I48" s="10" t="s">
        <v>23</v>
      </c>
      <c r="J48" s="31">
        <f t="shared" si="19"/>
        <v>1</v>
      </c>
      <c r="K48" s="45">
        <f t="shared" si="20"/>
        <v>1.2999999999999999E-3</v>
      </c>
      <c r="L48" s="14" t="s">
        <v>136</v>
      </c>
      <c r="M48" s="71">
        <v>2200</v>
      </c>
      <c r="N48" s="72"/>
      <c r="O48" s="14" t="s">
        <v>137</v>
      </c>
      <c r="P48" s="12"/>
      <c r="Q48" s="13">
        <v>0.01</v>
      </c>
      <c r="R48" s="14"/>
      <c r="S48" s="12"/>
      <c r="T48" s="13"/>
      <c r="U48" s="14"/>
      <c r="V48" s="12"/>
      <c r="W48" s="13"/>
      <c r="X48" s="14"/>
      <c r="Y48" s="12"/>
      <c r="Z48" s="13"/>
    </row>
    <row r="49" spans="1:26">
      <c r="A49" s="20" t="s">
        <v>159</v>
      </c>
      <c r="B49" s="10" t="s">
        <v>135</v>
      </c>
      <c r="C49" s="11" t="s">
        <v>21</v>
      </c>
      <c r="D49" s="42" t="s">
        <v>22</v>
      </c>
      <c r="E49" s="41" t="s">
        <v>22</v>
      </c>
      <c r="F49" s="10">
        <v>2502414</v>
      </c>
      <c r="G49" s="62">
        <v>2</v>
      </c>
      <c r="H49" s="45">
        <v>1.2999999999999999E-3</v>
      </c>
      <c r="I49" s="10" t="s">
        <v>23</v>
      </c>
      <c r="J49" s="31">
        <f t="shared" si="19"/>
        <v>1</v>
      </c>
      <c r="K49" s="45">
        <f t="shared" si="20"/>
        <v>1.2999999999999999E-3</v>
      </c>
      <c r="L49" s="14" t="s">
        <v>136</v>
      </c>
      <c r="M49" s="71">
        <v>15000</v>
      </c>
      <c r="N49" s="72"/>
      <c r="O49" s="14" t="s">
        <v>137</v>
      </c>
      <c r="P49" s="12"/>
      <c r="Q49" s="13">
        <v>0.01</v>
      </c>
      <c r="R49" s="14"/>
      <c r="S49" s="12"/>
      <c r="T49" s="13"/>
      <c r="U49" s="14"/>
      <c r="V49" s="12"/>
      <c r="W49" s="13"/>
      <c r="X49" s="14"/>
      <c r="Y49" s="12"/>
      <c r="Z49" s="13"/>
    </row>
    <row r="50" spans="1:26">
      <c r="A50" s="20" t="s">
        <v>160</v>
      </c>
      <c r="B50" s="10" t="s">
        <v>135</v>
      </c>
      <c r="C50" s="11" t="s">
        <v>21</v>
      </c>
      <c r="D50" s="41" t="s">
        <v>22</v>
      </c>
      <c r="E50" s="41" t="s">
        <v>22</v>
      </c>
      <c r="F50" s="10">
        <v>2309107</v>
      </c>
      <c r="G50" s="62">
        <v>2</v>
      </c>
      <c r="H50" s="45">
        <v>2E-3</v>
      </c>
      <c r="I50" s="10" t="s">
        <v>23</v>
      </c>
      <c r="J50" s="31">
        <f>1+LEN(A50)-LEN(SUBSTITUTE(A50,",",""))</f>
        <v>2</v>
      </c>
      <c r="K50" s="45">
        <f t="shared" ref="K50" si="21">H50*J50</f>
        <v>4.0000000000000001E-3</v>
      </c>
      <c r="L50" s="14" t="s">
        <v>136</v>
      </c>
      <c r="M50" s="71">
        <v>100000</v>
      </c>
      <c r="N50" s="72"/>
      <c r="O50" s="14" t="s">
        <v>137</v>
      </c>
      <c r="P50" s="12"/>
      <c r="Q50" s="13">
        <v>0.01</v>
      </c>
      <c r="R50" s="14"/>
      <c r="S50" s="12"/>
      <c r="T50" s="13"/>
      <c r="U50" s="14"/>
      <c r="V50" s="12"/>
      <c r="W50" s="13"/>
      <c r="X50" s="14"/>
      <c r="Y50" s="12"/>
      <c r="Z50" s="13"/>
    </row>
    <row r="51" spans="1:26">
      <c r="A51" s="20" t="s">
        <v>161</v>
      </c>
      <c r="B51" s="10" t="s">
        <v>135</v>
      </c>
      <c r="C51" s="11" t="s">
        <v>21</v>
      </c>
      <c r="D51" s="42" t="s">
        <v>22</v>
      </c>
      <c r="E51" s="41" t="s">
        <v>22</v>
      </c>
      <c r="F51" s="10">
        <v>2303192</v>
      </c>
      <c r="G51" s="62">
        <v>2</v>
      </c>
      <c r="H51" s="45">
        <v>3.2000000000000002E-3</v>
      </c>
      <c r="I51" s="10" t="s">
        <v>23</v>
      </c>
      <c r="J51" s="31">
        <f t="shared" si="19"/>
        <v>3</v>
      </c>
      <c r="K51" s="45">
        <f t="shared" si="20"/>
        <v>9.6000000000000009E-3</v>
      </c>
      <c r="L51" s="14" t="s">
        <v>136</v>
      </c>
      <c r="M51" s="71">
        <v>10000</v>
      </c>
      <c r="N51" s="72"/>
      <c r="O51" s="14" t="s">
        <v>137</v>
      </c>
      <c r="P51" s="12"/>
      <c r="Q51" s="13">
        <v>0.01</v>
      </c>
      <c r="R51" s="14"/>
      <c r="S51" s="12"/>
      <c r="T51" s="13"/>
      <c r="U51" s="14"/>
      <c r="V51" s="12"/>
      <c r="W51" s="13"/>
      <c r="X51" s="14"/>
      <c r="Y51" s="12"/>
      <c r="Z51" s="13"/>
    </row>
    <row r="52" spans="1:26">
      <c r="A52" s="20" t="s">
        <v>162</v>
      </c>
      <c r="B52" s="10" t="s">
        <v>135</v>
      </c>
      <c r="C52" s="11" t="s">
        <v>21</v>
      </c>
      <c r="D52" s="41" t="s">
        <v>22</v>
      </c>
      <c r="E52" s="41" t="s">
        <v>22</v>
      </c>
      <c r="F52" s="10">
        <v>2303145</v>
      </c>
      <c r="G52" s="62">
        <v>2</v>
      </c>
      <c r="H52" s="45">
        <v>3.2000000000000002E-3</v>
      </c>
      <c r="I52" s="10" t="s">
        <v>23</v>
      </c>
      <c r="J52" s="31">
        <f t="shared" ref="J52" si="22">1+LEN(A52)-LEN(SUBSTITUTE(A52,",",""))</f>
        <v>1</v>
      </c>
      <c r="K52" s="45">
        <f t="shared" ref="K52" si="23">H52*J52</f>
        <v>3.2000000000000002E-3</v>
      </c>
      <c r="L52" s="14" t="s">
        <v>136</v>
      </c>
      <c r="M52" s="71">
        <v>1000</v>
      </c>
      <c r="N52" s="72"/>
      <c r="O52" s="14" t="s">
        <v>137</v>
      </c>
      <c r="P52" s="12"/>
      <c r="Q52" s="13">
        <v>0.01</v>
      </c>
      <c r="R52" s="14"/>
      <c r="S52" s="12"/>
      <c r="T52" s="13"/>
      <c r="U52" s="14"/>
      <c r="V52" s="12"/>
      <c r="W52" s="13"/>
      <c r="X52" s="14"/>
      <c r="Y52" s="12"/>
      <c r="Z52" s="13"/>
    </row>
    <row r="53" spans="1:26">
      <c r="A53" s="20" t="s">
        <v>163</v>
      </c>
      <c r="B53" s="10" t="s">
        <v>135</v>
      </c>
      <c r="C53" s="11" t="s">
        <v>21</v>
      </c>
      <c r="D53" s="41" t="s">
        <v>142</v>
      </c>
      <c r="E53" s="41" t="s">
        <v>142</v>
      </c>
      <c r="F53" s="10">
        <v>1653287</v>
      </c>
      <c r="G53" s="62">
        <v>2</v>
      </c>
      <c r="H53" s="45">
        <v>5.7099999999999998E-2</v>
      </c>
      <c r="I53" s="10" t="s">
        <v>23</v>
      </c>
      <c r="J53" s="31">
        <f t="shared" ref="J53:J54" si="24">1+LEN(A53)-LEN(SUBSTITUTE(A53,",",""))</f>
        <v>1</v>
      </c>
      <c r="K53" s="45">
        <f t="shared" ref="K53:K54" si="25">H53*J53</f>
        <v>5.7099999999999998E-2</v>
      </c>
      <c r="L53" s="14" t="s">
        <v>136</v>
      </c>
      <c r="M53" s="71">
        <v>1000000</v>
      </c>
      <c r="N53" s="72"/>
      <c r="O53" s="14" t="s">
        <v>137</v>
      </c>
      <c r="P53" s="12"/>
      <c r="Q53" s="13">
        <v>1E-3</v>
      </c>
      <c r="R53" s="14"/>
      <c r="S53" s="12"/>
      <c r="T53" s="13"/>
      <c r="U53" s="14"/>
      <c r="V53" s="12"/>
      <c r="W53" s="13"/>
      <c r="X53" s="14"/>
      <c r="Y53" s="12"/>
      <c r="Z53" s="13"/>
    </row>
    <row r="54" spans="1:26">
      <c r="A54" s="20" t="s">
        <v>164</v>
      </c>
      <c r="B54" s="10" t="s">
        <v>135</v>
      </c>
      <c r="C54" s="11" t="s">
        <v>21</v>
      </c>
      <c r="D54" s="41" t="s">
        <v>22</v>
      </c>
      <c r="E54" s="41" t="s">
        <v>22</v>
      </c>
      <c r="F54" s="10">
        <v>1653254</v>
      </c>
      <c r="G54" s="62">
        <v>2</v>
      </c>
      <c r="H54" s="45">
        <v>5.7099999999999998E-2</v>
      </c>
      <c r="I54" s="10" t="s">
        <v>23</v>
      </c>
      <c r="J54" s="31">
        <f t="shared" si="24"/>
        <v>1</v>
      </c>
      <c r="K54" s="45">
        <f t="shared" si="25"/>
        <v>5.7099999999999998E-2</v>
      </c>
      <c r="L54" s="14" t="s">
        <v>136</v>
      </c>
      <c r="M54" s="71">
        <v>100000</v>
      </c>
      <c r="N54" s="72"/>
      <c r="O54" s="14" t="s">
        <v>137</v>
      </c>
      <c r="P54" s="12"/>
      <c r="Q54" s="13">
        <v>1E-3</v>
      </c>
      <c r="R54" s="14"/>
      <c r="S54" s="12"/>
      <c r="T54" s="13"/>
      <c r="U54" s="14"/>
      <c r="V54" s="12"/>
      <c r="W54" s="13"/>
      <c r="X54" s="14"/>
      <c r="Y54" s="12"/>
      <c r="Z54" s="13"/>
    </row>
    <row r="55" spans="1:26">
      <c r="A55" s="20" t="s">
        <v>165</v>
      </c>
      <c r="B55" s="10" t="s">
        <v>131</v>
      </c>
      <c r="C55" s="11" t="s">
        <v>119</v>
      </c>
      <c r="D55" s="41" t="s">
        <v>166</v>
      </c>
      <c r="E55" s="41"/>
      <c r="F55" s="58" t="s">
        <v>82</v>
      </c>
      <c r="G55" s="62">
        <v>1</v>
      </c>
      <c r="H55" s="45">
        <v>0.24</v>
      </c>
      <c r="I55" s="10" t="s">
        <v>67</v>
      </c>
      <c r="J55" s="31">
        <v>1</v>
      </c>
      <c r="K55" s="45"/>
      <c r="L55" s="14"/>
      <c r="M55" s="69"/>
      <c r="N55" s="70"/>
      <c r="O55" s="14"/>
      <c r="P55" s="12"/>
      <c r="Q55" s="13"/>
      <c r="R55" s="14"/>
      <c r="S55" s="12"/>
      <c r="T55" s="13"/>
      <c r="U55" s="14"/>
      <c r="V55" s="12"/>
      <c r="W55" s="13"/>
      <c r="X55" s="14"/>
      <c r="Y55" s="12"/>
      <c r="Z55" s="13"/>
    </row>
    <row r="56" spans="1:26">
      <c r="A56" s="20" t="s">
        <v>165</v>
      </c>
      <c r="B56" s="10" t="s">
        <v>131</v>
      </c>
      <c r="C56" s="11" t="s">
        <v>167</v>
      </c>
      <c r="D56" s="41" t="s">
        <v>168</v>
      </c>
      <c r="E56" s="41"/>
      <c r="F56" s="58" t="s">
        <v>82</v>
      </c>
      <c r="G56" s="62">
        <v>1</v>
      </c>
      <c r="H56" s="45">
        <v>0.16</v>
      </c>
      <c r="I56" s="10" t="s">
        <v>67</v>
      </c>
      <c r="J56" s="31">
        <v>1</v>
      </c>
      <c r="K56" s="45"/>
      <c r="L56" s="14"/>
      <c r="M56" s="69"/>
      <c r="N56" s="70"/>
      <c r="O56" s="14"/>
      <c r="P56" s="12"/>
      <c r="Q56" s="13"/>
      <c r="R56" s="14"/>
      <c r="S56" s="12"/>
      <c r="T56" s="13"/>
      <c r="U56" s="14"/>
      <c r="V56" s="12"/>
      <c r="W56" s="13"/>
      <c r="X56" s="14"/>
      <c r="Y56" s="12"/>
      <c r="Z56" s="13"/>
    </row>
    <row r="57" spans="1:26">
      <c r="A57" s="20" t="s">
        <v>165</v>
      </c>
      <c r="B57" s="10" t="s">
        <v>131</v>
      </c>
      <c r="C57" s="11" t="s">
        <v>119</v>
      </c>
      <c r="D57" s="41" t="s">
        <v>169</v>
      </c>
      <c r="E57" s="41"/>
      <c r="F57" s="58" t="s">
        <v>82</v>
      </c>
      <c r="G57" s="62">
        <v>1</v>
      </c>
      <c r="H57" s="45">
        <v>0.24</v>
      </c>
      <c r="I57" s="10" t="s">
        <v>67</v>
      </c>
      <c r="J57" s="31">
        <v>1</v>
      </c>
      <c r="K57" s="45"/>
      <c r="L57" s="14"/>
      <c r="M57" s="69"/>
      <c r="N57" s="70"/>
      <c r="O57" s="14"/>
      <c r="P57" s="12"/>
      <c r="Q57" s="13"/>
      <c r="R57" s="14"/>
      <c r="S57" s="12"/>
      <c r="T57" s="13"/>
      <c r="U57" s="14"/>
      <c r="V57" s="12"/>
      <c r="W57" s="13"/>
      <c r="X57" s="14"/>
      <c r="Y57" s="12"/>
      <c r="Z57" s="13"/>
    </row>
    <row r="58" spans="1:26">
      <c r="A58" s="20" t="s">
        <v>165</v>
      </c>
      <c r="B58" s="10" t="s">
        <v>131</v>
      </c>
      <c r="C58" s="11" t="s">
        <v>170</v>
      </c>
      <c r="D58" s="41" t="s">
        <v>171</v>
      </c>
      <c r="E58" s="41"/>
      <c r="F58" s="11">
        <v>1831074</v>
      </c>
      <c r="G58" s="62">
        <v>1</v>
      </c>
      <c r="H58" s="45">
        <v>0.48699999999999999</v>
      </c>
      <c r="I58" s="10" t="s">
        <v>67</v>
      </c>
      <c r="J58" s="30">
        <v>1</v>
      </c>
      <c r="K58" s="45"/>
      <c r="L58" s="14"/>
      <c r="M58" s="69"/>
      <c r="N58" s="70"/>
      <c r="O58" s="14"/>
      <c r="P58" s="12"/>
      <c r="Q58" s="13"/>
      <c r="R58" s="14"/>
      <c r="S58" s="12"/>
      <c r="T58" s="13"/>
      <c r="U58" s="14"/>
      <c r="V58" s="12"/>
      <c r="W58" s="13"/>
      <c r="X58" s="14"/>
      <c r="Y58" s="12"/>
      <c r="Z58" s="13"/>
    </row>
    <row r="59" spans="1:26">
      <c r="A59" s="20"/>
      <c r="B59" s="10" t="s">
        <v>172</v>
      </c>
      <c r="C59" s="10"/>
      <c r="D59" s="42"/>
      <c r="E59" s="41"/>
      <c r="F59" s="58">
        <v>1259469</v>
      </c>
      <c r="G59" s="62">
        <v>1</v>
      </c>
      <c r="H59" s="45"/>
      <c r="I59" s="10"/>
      <c r="J59" s="31">
        <v>2</v>
      </c>
      <c r="K59" s="45"/>
      <c r="L59" s="14"/>
      <c r="M59" s="48"/>
      <c r="N59" s="51"/>
      <c r="O59" s="50"/>
      <c r="P59" s="12"/>
      <c r="Q59" s="13"/>
      <c r="R59" s="14"/>
      <c r="S59" s="12"/>
      <c r="T59" s="13"/>
      <c r="U59" s="14"/>
      <c r="V59" s="12"/>
      <c r="W59" s="13"/>
      <c r="X59" s="14"/>
      <c r="Y59" s="12"/>
      <c r="Z59" s="13"/>
    </row>
    <row r="60" spans="1:26">
      <c r="A60" s="20"/>
      <c r="B60" s="10" t="s">
        <v>173</v>
      </c>
      <c r="C60" s="10"/>
      <c r="D60" s="42"/>
      <c r="E60" s="41"/>
      <c r="F60" s="58">
        <v>7047526</v>
      </c>
      <c r="G60" s="62">
        <v>1</v>
      </c>
      <c r="H60" s="45"/>
      <c r="I60" s="10"/>
      <c r="J60" s="31">
        <v>1</v>
      </c>
      <c r="K60" s="45"/>
      <c r="L60" s="14"/>
      <c r="M60" s="48"/>
      <c r="N60" s="51"/>
      <c r="O60" s="50"/>
      <c r="P60" s="12"/>
      <c r="Q60" s="13"/>
      <c r="R60" s="14"/>
      <c r="S60" s="12"/>
      <c r="T60" s="13"/>
      <c r="U60" s="14"/>
      <c r="V60" s="12"/>
      <c r="W60" s="13"/>
      <c r="X60" s="14"/>
      <c r="Y60" s="12"/>
      <c r="Z60" s="13"/>
    </row>
    <row r="61" spans="1:26">
      <c r="A61" s="20"/>
      <c r="B61" s="10" t="s">
        <v>174</v>
      </c>
      <c r="C61" s="10"/>
      <c r="D61" s="42"/>
      <c r="E61" s="41"/>
      <c r="F61" s="58">
        <v>2336358</v>
      </c>
      <c r="G61" s="62">
        <v>1</v>
      </c>
      <c r="H61" s="45"/>
      <c r="I61" s="10"/>
      <c r="J61" s="31">
        <v>1</v>
      </c>
      <c r="K61" s="45"/>
      <c r="L61" s="14"/>
      <c r="M61" s="48"/>
      <c r="N61" s="51"/>
      <c r="O61" s="50"/>
      <c r="P61" s="12"/>
      <c r="Q61" s="13"/>
      <c r="R61" s="14"/>
      <c r="S61" s="12"/>
      <c r="T61" s="13"/>
      <c r="U61" s="14"/>
      <c r="V61" s="12"/>
      <c r="W61" s="13"/>
      <c r="X61" s="14"/>
      <c r="Y61" s="12"/>
      <c r="Z61" s="13"/>
    </row>
    <row r="62" spans="1:26">
      <c r="A62" s="20"/>
      <c r="B62" s="10" t="s">
        <v>175</v>
      </c>
      <c r="C62" s="10"/>
      <c r="D62" s="42"/>
      <c r="E62" s="41"/>
      <c r="F62" s="58" t="s">
        <v>82</v>
      </c>
      <c r="G62" s="62">
        <v>1</v>
      </c>
      <c r="H62" s="45"/>
      <c r="I62" s="10"/>
      <c r="J62" s="31">
        <v>1</v>
      </c>
      <c r="K62" s="45"/>
      <c r="L62" s="14"/>
      <c r="M62" s="48"/>
      <c r="N62" s="51"/>
      <c r="O62" s="50"/>
      <c r="P62" s="12"/>
      <c r="Q62" s="13"/>
      <c r="R62" s="14"/>
      <c r="S62" s="12"/>
      <c r="T62" s="13"/>
      <c r="U62" s="14"/>
      <c r="V62" s="12"/>
      <c r="W62" s="13"/>
      <c r="X62" s="14"/>
      <c r="Y62" s="12"/>
      <c r="Z62" s="13"/>
    </row>
    <row r="63" spans="1:26">
      <c r="A63" s="20"/>
      <c r="B63" s="10" t="s">
        <v>176</v>
      </c>
      <c r="C63" s="10"/>
      <c r="D63" s="42"/>
      <c r="E63" s="41"/>
      <c r="F63" s="58">
        <v>7167131</v>
      </c>
      <c r="G63" s="62">
        <v>1</v>
      </c>
      <c r="H63" s="45"/>
      <c r="I63" s="10"/>
      <c r="J63" s="31">
        <v>1</v>
      </c>
      <c r="K63" s="45"/>
      <c r="L63" s="14"/>
      <c r="M63" s="48"/>
      <c r="N63" s="51"/>
      <c r="O63" s="50"/>
      <c r="P63" s="12"/>
      <c r="Q63" s="13"/>
      <c r="R63" s="14"/>
      <c r="S63" s="12"/>
      <c r="T63" s="13"/>
      <c r="U63" s="14"/>
      <c r="V63" s="12"/>
      <c r="W63" s="13"/>
      <c r="X63" s="14"/>
      <c r="Y63" s="12"/>
      <c r="Z63" s="13"/>
    </row>
    <row r="64" spans="1:26">
      <c r="A64" s="20"/>
      <c r="B64" s="10" t="s">
        <v>177</v>
      </c>
      <c r="C64" s="10"/>
      <c r="D64" s="42"/>
      <c r="E64" s="41"/>
      <c r="F64" s="58">
        <v>1702971</v>
      </c>
      <c r="G64" s="62">
        <v>1</v>
      </c>
      <c r="H64" s="45"/>
      <c r="I64" s="10"/>
      <c r="J64" s="31">
        <v>1</v>
      </c>
      <c r="K64" s="45"/>
      <c r="L64" s="14"/>
      <c r="M64" s="48"/>
      <c r="N64" s="51"/>
      <c r="O64" s="50"/>
      <c r="P64" s="12"/>
      <c r="Q64" s="13"/>
      <c r="R64" s="14"/>
      <c r="S64" s="12"/>
      <c r="T64" s="13"/>
      <c r="U64" s="14"/>
      <c r="V64" s="12"/>
      <c r="W64" s="13"/>
      <c r="X64" s="14"/>
      <c r="Y64" s="12"/>
      <c r="Z64" s="13"/>
    </row>
    <row r="65" spans="1:26">
      <c r="A65" s="20"/>
      <c r="B65" s="10" t="s">
        <v>178</v>
      </c>
      <c r="C65" s="10"/>
      <c r="D65" s="42"/>
      <c r="E65" s="41"/>
      <c r="F65" s="58">
        <v>1836064</v>
      </c>
      <c r="G65" s="62">
        <v>1</v>
      </c>
      <c r="H65" s="45"/>
      <c r="I65" s="10"/>
      <c r="J65" s="31">
        <v>1</v>
      </c>
      <c r="K65" s="45"/>
      <c r="L65" s="14"/>
      <c r="M65" s="48"/>
      <c r="N65" s="51"/>
      <c r="O65" s="50"/>
      <c r="P65" s="12"/>
      <c r="Q65" s="13"/>
      <c r="R65" s="14"/>
      <c r="S65" s="12"/>
      <c r="T65" s="13"/>
      <c r="U65" s="14"/>
      <c r="V65" s="12"/>
      <c r="W65" s="13"/>
      <c r="X65" s="14"/>
      <c r="Y65" s="12"/>
      <c r="Z65" s="13"/>
    </row>
    <row r="66" spans="1:26">
      <c r="A66" s="20"/>
      <c r="B66" s="10" t="s">
        <v>179</v>
      </c>
      <c r="C66" s="10"/>
      <c r="D66" s="42"/>
      <c r="E66" s="41"/>
      <c r="F66" s="58">
        <v>1438760</v>
      </c>
      <c r="G66" s="62">
        <v>1</v>
      </c>
      <c r="H66" s="45"/>
      <c r="I66" s="10"/>
      <c r="J66" s="31">
        <v>4</v>
      </c>
      <c r="K66" s="45"/>
      <c r="L66" s="14"/>
      <c r="M66" s="48"/>
      <c r="N66" s="51"/>
      <c r="O66" s="50"/>
      <c r="P66" s="12"/>
      <c r="Q66" s="13"/>
      <c r="R66" s="14"/>
      <c r="S66" s="12"/>
      <c r="T66" s="13"/>
      <c r="U66" s="14"/>
      <c r="V66" s="12"/>
      <c r="W66" s="13"/>
      <c r="X66" s="14"/>
      <c r="Y66" s="12"/>
      <c r="Z66" s="13"/>
    </row>
    <row r="67" spans="1:26">
      <c r="A67" s="20"/>
      <c r="B67" s="10" t="s">
        <v>180</v>
      </c>
      <c r="C67" s="10"/>
      <c r="D67" s="42"/>
      <c r="E67" s="41"/>
      <c r="F67" s="58">
        <v>1206535</v>
      </c>
      <c r="G67" s="62">
        <v>1</v>
      </c>
      <c r="H67" s="45"/>
      <c r="I67" s="10"/>
      <c r="J67" s="31">
        <v>1</v>
      </c>
      <c r="K67" s="45"/>
      <c r="L67" s="14"/>
      <c r="M67" s="48"/>
      <c r="N67" s="51"/>
      <c r="O67" s="50"/>
      <c r="P67" s="12"/>
      <c r="Q67" s="13"/>
      <c r="R67" s="14"/>
      <c r="S67" s="12"/>
      <c r="T67" s="13"/>
      <c r="U67" s="14"/>
      <c r="V67" s="12"/>
      <c r="W67" s="13"/>
      <c r="X67" s="14"/>
      <c r="Y67" s="12"/>
      <c r="Z67" s="13"/>
    </row>
    <row r="68" spans="1:26">
      <c r="A68" s="20"/>
      <c r="B68" s="10" t="s">
        <v>181</v>
      </c>
      <c r="C68" s="10"/>
      <c r="D68" s="42"/>
      <c r="E68" s="41"/>
      <c r="F68" s="58">
        <v>1521281</v>
      </c>
      <c r="G68" s="62">
        <v>1</v>
      </c>
      <c r="H68" s="45"/>
      <c r="I68" s="10"/>
      <c r="J68" s="31">
        <v>1</v>
      </c>
      <c r="K68" s="45"/>
      <c r="L68" s="14"/>
      <c r="M68" s="48"/>
      <c r="N68" s="51"/>
      <c r="O68" s="50"/>
      <c r="P68" s="12"/>
      <c r="Q68" s="13"/>
      <c r="R68" s="14"/>
      <c r="S68" s="12"/>
      <c r="T68" s="13"/>
      <c r="U68" s="14"/>
      <c r="V68" s="12"/>
      <c r="W68" s="13"/>
      <c r="X68" s="14"/>
      <c r="Y68" s="12"/>
      <c r="Z68" s="13"/>
    </row>
    <row r="69" spans="1:26">
      <c r="A69" s="20"/>
      <c r="B69" s="10" t="s">
        <v>182</v>
      </c>
      <c r="C69" s="10"/>
      <c r="D69" s="42"/>
      <c r="E69" s="41"/>
      <c r="F69" s="58">
        <v>1687854</v>
      </c>
      <c r="G69" s="62">
        <v>1</v>
      </c>
      <c r="H69" s="45"/>
      <c r="I69" s="10"/>
      <c r="J69" s="31">
        <v>1</v>
      </c>
      <c r="K69" s="45"/>
      <c r="L69" s="14"/>
      <c r="M69" s="33"/>
      <c r="N69" s="35"/>
      <c r="O69" s="50"/>
      <c r="P69" s="12"/>
      <c r="Q69" s="13"/>
      <c r="R69" s="14"/>
      <c r="S69" s="12"/>
      <c r="T69" s="13"/>
      <c r="U69" s="14"/>
      <c r="V69" s="12"/>
      <c r="W69" s="13"/>
      <c r="X69" s="14"/>
      <c r="Y69" s="12"/>
      <c r="Z69" s="13"/>
    </row>
    <row r="70" spans="1:26">
      <c r="A70" s="20"/>
      <c r="B70" s="10" t="s">
        <v>183</v>
      </c>
      <c r="C70" s="10"/>
      <c r="D70" s="42"/>
      <c r="E70" s="41"/>
      <c r="F70" s="58">
        <v>2132071</v>
      </c>
      <c r="G70" s="62">
        <v>1</v>
      </c>
      <c r="H70" s="45"/>
      <c r="I70" s="10"/>
      <c r="J70" s="31">
        <v>1</v>
      </c>
      <c r="K70" s="45"/>
      <c r="L70" s="14"/>
      <c r="M70" s="33"/>
      <c r="N70" s="35"/>
      <c r="O70" s="50"/>
      <c r="P70" s="12"/>
      <c r="Q70" s="13"/>
      <c r="R70" s="14"/>
      <c r="S70" s="12"/>
      <c r="T70" s="13"/>
      <c r="U70" s="14"/>
      <c r="V70" s="12"/>
      <c r="W70" s="13"/>
      <c r="X70" s="14"/>
      <c r="Y70" s="12"/>
      <c r="Z70" s="13"/>
    </row>
    <row r="71" spans="1:26">
      <c r="A71" s="20"/>
      <c r="B71" s="10" t="s">
        <v>184</v>
      </c>
      <c r="C71" s="10"/>
      <c r="D71" s="42"/>
      <c r="E71" s="41"/>
      <c r="F71" s="10">
        <v>1358645</v>
      </c>
      <c r="G71" s="62">
        <v>1</v>
      </c>
      <c r="H71" s="45"/>
      <c r="I71" s="10"/>
      <c r="J71" s="31">
        <v>1</v>
      </c>
      <c r="K71" s="45"/>
      <c r="L71" s="14"/>
      <c r="M71" s="33"/>
      <c r="N71" s="35"/>
      <c r="O71" s="50"/>
      <c r="P71" s="12"/>
      <c r="Q71" s="13"/>
      <c r="R71" s="14"/>
      <c r="S71" s="12"/>
      <c r="T71" s="13"/>
      <c r="U71" s="14"/>
      <c r="V71" s="12"/>
      <c r="W71" s="13"/>
      <c r="X71" s="14"/>
      <c r="Y71" s="12"/>
      <c r="Z71" s="13"/>
    </row>
    <row r="72" spans="1:26" ht="15" thickBot="1">
      <c r="A72" s="21"/>
      <c r="B72" s="22"/>
      <c r="C72" s="22"/>
      <c r="D72" s="43"/>
      <c r="E72" s="67"/>
      <c r="F72" s="36"/>
      <c r="G72" s="63"/>
      <c r="H72" s="46"/>
      <c r="I72" s="23"/>
      <c r="J72" s="32"/>
      <c r="K72" s="46"/>
      <c r="L72" s="24"/>
      <c r="M72" s="28"/>
      <c r="N72" s="29"/>
      <c r="O72" s="49"/>
      <c r="P72" s="25"/>
      <c r="Q72" s="26"/>
      <c r="R72" s="24"/>
      <c r="S72" s="25"/>
      <c r="T72" s="27"/>
      <c r="U72" s="24"/>
      <c r="V72" s="25"/>
      <c r="W72" s="27"/>
      <c r="X72" s="24"/>
      <c r="Y72" s="25"/>
      <c r="Z72" s="27"/>
    </row>
  </sheetData>
  <mergeCells count="40">
    <mergeCell ref="S24:T24"/>
    <mergeCell ref="V24:W24"/>
    <mergeCell ref="S26:T26"/>
    <mergeCell ref="V26:W26"/>
    <mergeCell ref="M41:N41"/>
    <mergeCell ref="M33:N33"/>
    <mergeCell ref="M3:N3"/>
    <mergeCell ref="M8:N8"/>
    <mergeCell ref="M40:N40"/>
    <mergeCell ref="M9:N9"/>
    <mergeCell ref="M34:N34"/>
    <mergeCell ref="M35:N35"/>
    <mergeCell ref="M36:N36"/>
    <mergeCell ref="M37:N37"/>
    <mergeCell ref="M38:N38"/>
    <mergeCell ref="M39:N39"/>
    <mergeCell ref="M24:N24"/>
    <mergeCell ref="M26:N26"/>
    <mergeCell ref="M4:N4"/>
    <mergeCell ref="M32:N32"/>
    <mergeCell ref="M6:N6"/>
    <mergeCell ref="M7:N7"/>
    <mergeCell ref="M5:N5"/>
    <mergeCell ref="M10:N10"/>
    <mergeCell ref="M11:N11"/>
    <mergeCell ref="M50:N50"/>
    <mergeCell ref="M52:N52"/>
    <mergeCell ref="M53:N53"/>
    <mergeCell ref="M54:N54"/>
    <mergeCell ref="M12:N12"/>
    <mergeCell ref="M44:N44"/>
    <mergeCell ref="M45:N45"/>
    <mergeCell ref="M46:N46"/>
    <mergeCell ref="M13:N13"/>
    <mergeCell ref="M42:N42"/>
    <mergeCell ref="M43:N43"/>
    <mergeCell ref="M47:N47"/>
    <mergeCell ref="M48:N48"/>
    <mergeCell ref="M49:N49"/>
    <mergeCell ref="M51:N51"/>
  </mergeCells>
  <conditionalFormatting sqref="I59:I1048576 I1:I40 I50:I54">
    <cfRule type="cellIs" dxfId="25" priority="17" operator="equal">
      <formula>"No"</formula>
    </cfRule>
    <cfRule type="cellIs" dxfId="24" priority="18" operator="equal">
      <formula>"Yes"</formula>
    </cfRule>
  </conditionalFormatting>
  <conditionalFormatting sqref="I42:I43">
    <cfRule type="cellIs" dxfId="23" priority="13" operator="equal">
      <formula>"No"</formula>
    </cfRule>
    <cfRule type="cellIs" dxfId="22" priority="14" operator="equal">
      <formula>"Yes"</formula>
    </cfRule>
  </conditionalFormatting>
  <conditionalFormatting sqref="I44:I49">
    <cfRule type="cellIs" dxfId="21" priority="11" operator="equal">
      <formula>"No"</formula>
    </cfRule>
    <cfRule type="cellIs" dxfId="20" priority="12" operator="equal">
      <formula>"Yes"</formula>
    </cfRule>
  </conditionalFormatting>
  <conditionalFormatting sqref="I41">
    <cfRule type="cellIs" dxfId="19" priority="9" operator="equal">
      <formula>"No"</formula>
    </cfRule>
    <cfRule type="cellIs" dxfId="18" priority="10" operator="equal">
      <formula>"Yes"</formula>
    </cfRule>
  </conditionalFormatting>
  <conditionalFormatting sqref="I55:I58">
    <cfRule type="cellIs" dxfId="17" priority="5" operator="equal">
      <formula>"No"</formula>
    </cfRule>
    <cfRule type="cellIs" dxfId="16" priority="6" operator="equal">
      <formula>"Yes"</formula>
    </cfRule>
  </conditionalFormatting>
  <pageMargins left="0.7" right="0.7" top="0.75" bottom="0.75" header="0.3" footer="0.3"/>
  <pageSetup paperSize="9" scale="2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  <pageSetUpPr fitToPage="1"/>
  </sheetPr>
  <dimension ref="A1:Y62"/>
  <sheetViews>
    <sheetView showGridLines="0" topLeftCell="A28" zoomScale="70" zoomScaleNormal="70" workbookViewId="0" xr3:uid="{958C4451-9541-5A59-BF78-D2F731DF1C81}">
      <selection activeCell="A54" sqref="A54:XFD54"/>
    </sheetView>
  </sheetViews>
  <sheetFormatPr defaultColWidth="8.85546875" defaultRowHeight="14.45"/>
  <cols>
    <col min="1" max="1" width="14.42578125" style="2" customWidth="1"/>
    <col min="2" max="2" width="37.28515625" style="2" bestFit="1" customWidth="1"/>
    <col min="3" max="3" width="14.5703125" style="2" bestFit="1" customWidth="1"/>
    <col min="4" max="4" width="27.42578125" style="39" customWidth="1"/>
    <col min="5" max="5" width="9.7109375" style="2" bestFit="1" customWidth="1"/>
    <col min="6" max="6" width="9.7109375" style="2" customWidth="1"/>
    <col min="7" max="7" width="15" style="37" bestFit="1" customWidth="1"/>
    <col min="8" max="8" width="13.42578125" style="2" bestFit="1" customWidth="1"/>
    <col min="9" max="9" width="6.85546875" style="3" customWidth="1"/>
    <col min="10" max="10" width="14.7109375" style="3" customWidth="1"/>
    <col min="11" max="11" width="20.7109375" style="4" customWidth="1"/>
    <col min="12" max="13" width="9.5703125" style="4" customWidth="1"/>
    <col min="14" max="14" width="20.7109375" style="4" customWidth="1"/>
    <col min="15" max="16" width="9.5703125" style="4" customWidth="1"/>
    <col min="17" max="17" width="20.7109375" style="4" customWidth="1"/>
    <col min="18" max="19" width="9.5703125" style="4" customWidth="1"/>
    <col min="20" max="20" width="20.7109375" style="4" customWidth="1"/>
    <col min="21" max="22" width="9.5703125" style="4" customWidth="1"/>
    <col min="23" max="23" width="20.7109375" style="4" customWidth="1"/>
    <col min="24" max="25" width="8.85546875" style="4" customWidth="1"/>
    <col min="26" max="16384" width="8.85546875" style="2"/>
  </cols>
  <sheetData>
    <row r="1" spans="1:25" ht="34.15" thickBot="1">
      <c r="A1" s="1" t="str">
        <f>BOM_spec!A1</f>
        <v>BOM Specification</v>
      </c>
    </row>
    <row r="2" spans="1:25" s="8" customFormat="1" ht="29.45" thickBot="1">
      <c r="A2" s="5" t="str">
        <f>BOM_spec!A2</f>
        <v>Part ID</v>
      </c>
      <c r="B2" s="6" t="str">
        <f>BOM_spec!B2</f>
        <v>Part description</v>
      </c>
      <c r="C2" s="6" t="str">
        <f>BOM_spec!C2</f>
        <v>Manufacturer</v>
      </c>
      <c r="D2" s="40" t="str">
        <f>BOM_spec!D2</f>
        <v>Part number</v>
      </c>
      <c r="E2" s="6" t="str">
        <f>BOM_spec!F2</f>
        <v>Proto OC</v>
      </c>
      <c r="F2" s="6" t="s">
        <v>7</v>
      </c>
      <c r="G2" s="38" t="str">
        <f>BOM_spec!H2</f>
        <v>Est. unit cost (1000 units)</v>
      </c>
      <c r="H2" s="6" t="str">
        <f>BOM_spec!I2</f>
        <v>Replacable?</v>
      </c>
      <c r="I2" s="6" t="str">
        <f>BOM_spec!J2</f>
        <v>PCS</v>
      </c>
      <c r="J2" s="38" t="str">
        <f>BOM_spec!K2</f>
        <v>Est. total cost (1000 units)</v>
      </c>
      <c r="K2" s="6" t="str">
        <f>BOM_spec!L2</f>
        <v>Spec 1</v>
      </c>
      <c r="L2" s="7" t="str">
        <f>BOM_spec!M2</f>
        <v>Value (min)</v>
      </c>
      <c r="M2" s="5" t="str">
        <f>BOM_spec!N2</f>
        <v>Value (max)</v>
      </c>
      <c r="N2" s="6" t="str">
        <f>BOM_spec!O2</f>
        <v>Spec 2</v>
      </c>
      <c r="O2" s="7" t="str">
        <f>BOM_spec!P2</f>
        <v>Value (min)</v>
      </c>
      <c r="P2" s="5" t="str">
        <f>BOM_spec!Q2</f>
        <v>Value (max)</v>
      </c>
      <c r="Q2" s="6" t="str">
        <f>BOM_spec!R2</f>
        <v>Spec 3</v>
      </c>
      <c r="R2" s="7" t="str">
        <f>BOM_spec!S2</f>
        <v>Value (min)</v>
      </c>
      <c r="S2" s="5" t="str">
        <f>BOM_spec!T2</f>
        <v>Value (max)</v>
      </c>
      <c r="T2" s="6" t="str">
        <f>BOM_spec!U2</f>
        <v>Spec 4</v>
      </c>
      <c r="U2" s="7" t="str">
        <f>BOM_spec!V2</f>
        <v>Value (min)</v>
      </c>
      <c r="V2" s="5" t="str">
        <f>BOM_spec!W2</f>
        <v>Value (max)</v>
      </c>
      <c r="W2" s="6" t="str">
        <f>BOM_spec!X2</f>
        <v>Spec 5</v>
      </c>
      <c r="X2" s="7" t="str">
        <f>BOM_spec!Y2</f>
        <v>Value (min)</v>
      </c>
      <c r="Y2" s="5" t="str">
        <f>BOM_spec!Z2</f>
        <v>Value (max)</v>
      </c>
    </row>
    <row r="3" spans="1:25">
      <c r="A3" s="9" t="str">
        <f>BOM_spec!A3</f>
        <v>C1,13,14,19</v>
      </c>
      <c r="B3" s="10" t="str">
        <f>BOM_spec!B3</f>
        <v>Capacitor (MLCC)</v>
      </c>
      <c r="C3" s="11" t="str">
        <f>BOM_spec!C3</f>
        <v>Any</v>
      </c>
      <c r="D3" s="41" t="str">
        <f>BOM_spec!D3</f>
        <v>0603</v>
      </c>
      <c r="E3" s="11">
        <f>BOM_spec!F3</f>
        <v>2211179</v>
      </c>
      <c r="F3" s="62">
        <f>VLOOKUP(E3,BOM_spec!F3:G71,2,FALSE)</f>
        <v>2</v>
      </c>
      <c r="G3" s="45">
        <f>BOM_spec!H3</f>
        <v>2.6700000000000002E-2</v>
      </c>
      <c r="H3" s="10" t="str">
        <f>BOM_spec!I3</f>
        <v>Yes</v>
      </c>
      <c r="I3" s="30">
        <f>BOM_spec!J3</f>
        <v>4</v>
      </c>
      <c r="J3" s="45">
        <f>BOM_spec!K3</f>
        <v>0.10680000000000001</v>
      </c>
      <c r="K3" s="14" t="str">
        <f>BOM_spec!L3</f>
        <v>Capacitance (F)</v>
      </c>
      <c r="L3" s="71">
        <f>BOM_spec!M3</f>
        <v>9.9999999999999995E-7</v>
      </c>
      <c r="M3" s="72"/>
      <c r="N3" s="14" t="str">
        <f>BOM_spec!O3</f>
        <v>V_max</v>
      </c>
      <c r="O3" s="12">
        <f>BOM_spec!P3</f>
        <v>35</v>
      </c>
      <c r="P3" s="13">
        <f>BOM_spec!Q3</f>
        <v>0</v>
      </c>
      <c r="Q3" s="14" t="str">
        <f>BOM_spec!R3</f>
        <v>Dielectric</v>
      </c>
      <c r="R3" s="16" t="str">
        <f>BOM_spec!S3</f>
        <v>X5R</v>
      </c>
      <c r="S3" s="52">
        <f>BOM_spec!T3</f>
        <v>0</v>
      </c>
      <c r="T3" s="14">
        <f>BOM_spec!U3</f>
        <v>0</v>
      </c>
      <c r="U3" s="12">
        <f>BOM_spec!V3</f>
        <v>0</v>
      </c>
      <c r="V3" s="15">
        <f>BOM_spec!W3</f>
        <v>0</v>
      </c>
      <c r="W3" s="14">
        <f>BOM_spec!X3</f>
        <v>0</v>
      </c>
      <c r="X3" s="12">
        <f>BOM_spec!Y3</f>
        <v>0</v>
      </c>
      <c r="Y3" s="13">
        <f>BOM_spec!Z3</f>
        <v>0</v>
      </c>
    </row>
    <row r="4" spans="1:25">
      <c r="A4" s="9" t="str">
        <f>BOM_spec!A4</f>
        <v>C2,10</v>
      </c>
      <c r="B4" s="10" t="str">
        <f>BOM_spec!B4</f>
        <v>Capacitor (MLCC)</v>
      </c>
      <c r="C4" s="11" t="str">
        <f>BOM_spec!C4</f>
        <v>Any</v>
      </c>
      <c r="D4" s="41" t="str">
        <f>BOM_spec!D4</f>
        <v>0603</v>
      </c>
      <c r="E4" s="11">
        <f>BOM_spec!F4</f>
        <v>2211179</v>
      </c>
      <c r="F4" s="62">
        <f>VLOOKUP(E4,BOM_spec!F4:G72,2,FALSE)</f>
        <v>2</v>
      </c>
      <c r="G4" s="45">
        <f>BOM_spec!H4</f>
        <v>6.6E-3</v>
      </c>
      <c r="H4" s="10" t="str">
        <f>BOM_spec!I4</f>
        <v>Yes</v>
      </c>
      <c r="I4" s="30">
        <f>BOM_spec!J4</f>
        <v>2</v>
      </c>
      <c r="J4" s="45">
        <f>BOM_spec!K4</f>
        <v>1.32E-2</v>
      </c>
      <c r="K4" s="14" t="str">
        <f>BOM_spec!L4</f>
        <v>Capacitance (F)</v>
      </c>
      <c r="L4" s="71">
        <f>BOM_spec!M4</f>
        <v>9.9999999999999995E-7</v>
      </c>
      <c r="M4" s="72"/>
      <c r="N4" s="14" t="str">
        <f>BOM_spec!O4</f>
        <v>V_max</v>
      </c>
      <c r="O4" s="12">
        <f>BOM_spec!P4</f>
        <v>15</v>
      </c>
      <c r="P4" s="13">
        <f>BOM_spec!Q4</f>
        <v>0</v>
      </c>
      <c r="Q4" s="14" t="str">
        <f>BOM_spec!R4</f>
        <v>Dielectric</v>
      </c>
      <c r="R4" s="16" t="str">
        <f>BOM_spec!S4</f>
        <v>X5R</v>
      </c>
      <c r="S4" s="53">
        <f>BOM_spec!T4</f>
        <v>0</v>
      </c>
      <c r="T4" s="14">
        <f>BOM_spec!U4</f>
        <v>0</v>
      </c>
      <c r="U4" s="12">
        <f>BOM_spec!V4</f>
        <v>0</v>
      </c>
      <c r="V4" s="15">
        <f>BOM_spec!W4</f>
        <v>0</v>
      </c>
      <c r="W4" s="14">
        <f>BOM_spec!X4</f>
        <v>0</v>
      </c>
      <c r="X4" s="12">
        <f>BOM_spec!Y4</f>
        <v>0</v>
      </c>
      <c r="Y4" s="13">
        <f>BOM_spec!Z4</f>
        <v>0</v>
      </c>
    </row>
    <row r="5" spans="1:25">
      <c r="A5" s="9" t="str">
        <f>BOM_spec!A5</f>
        <v>C3,12</v>
      </c>
      <c r="B5" s="10" t="str">
        <f>BOM_spec!B5</f>
        <v>Capacitor (MLCC)</v>
      </c>
      <c r="C5" s="10" t="str">
        <f>BOM_spec!C5</f>
        <v>Any</v>
      </c>
      <c r="D5" s="42" t="str">
        <f>BOM_spec!D5</f>
        <v>0603</v>
      </c>
      <c r="E5" s="10">
        <f>BOM_spec!F5</f>
        <v>2309012</v>
      </c>
      <c r="F5" s="62">
        <f>VLOOKUP(E5,BOM_spec!F5:G73,2,FALSE)</f>
        <v>2</v>
      </c>
      <c r="G5" s="45">
        <f>BOM_spec!H5</f>
        <v>3.5000000000000001E-3</v>
      </c>
      <c r="H5" s="10" t="str">
        <f>BOM_spec!I5</f>
        <v>Yes</v>
      </c>
      <c r="I5" s="30">
        <f>BOM_spec!J5</f>
        <v>2</v>
      </c>
      <c r="J5" s="45">
        <f>BOM_spec!K5</f>
        <v>7.0000000000000001E-3</v>
      </c>
      <c r="K5" s="14" t="str">
        <f>BOM_spec!L5</f>
        <v>Capacitance (F)</v>
      </c>
      <c r="L5" s="71">
        <f>BOM_spec!M5</f>
        <v>2.2000000000000002E-11</v>
      </c>
      <c r="M5" s="72"/>
      <c r="N5" s="14" t="str">
        <f>BOM_spec!O5</f>
        <v>V_max</v>
      </c>
      <c r="O5" s="12">
        <f>BOM_spec!P5</f>
        <v>35</v>
      </c>
      <c r="P5" s="17">
        <f>BOM_spec!Q5</f>
        <v>0</v>
      </c>
      <c r="Q5" s="14" t="str">
        <f>BOM_spec!R5</f>
        <v>Dielectric</v>
      </c>
      <c r="R5" s="16" t="str">
        <f>BOM_spec!S5</f>
        <v>X5R</v>
      </c>
      <c r="S5" s="54">
        <f>BOM_spec!T5</f>
        <v>0</v>
      </c>
      <c r="T5" s="14">
        <f>BOM_spec!U5</f>
        <v>0</v>
      </c>
      <c r="U5" s="12">
        <f>BOM_spec!V5</f>
        <v>0</v>
      </c>
      <c r="V5" s="13">
        <f>BOM_spec!W5</f>
        <v>0</v>
      </c>
      <c r="W5" s="14">
        <f>BOM_spec!X5</f>
        <v>0</v>
      </c>
      <c r="X5" s="12">
        <f>BOM_spec!Y5</f>
        <v>0</v>
      </c>
      <c r="Y5" s="13">
        <f>BOM_spec!Z5</f>
        <v>0</v>
      </c>
    </row>
    <row r="6" spans="1:25">
      <c r="A6" s="9" t="str">
        <f>BOM_spec!A6</f>
        <v>C4,5</v>
      </c>
      <c r="B6" s="10" t="str">
        <f>BOM_spec!B6</f>
        <v>Capacitor (MLCC)</v>
      </c>
      <c r="C6" s="10" t="str">
        <f>BOM_spec!C6</f>
        <v>Murata</v>
      </c>
      <c r="D6" s="42" t="str">
        <f>BOM_spec!D6</f>
        <v>GRM31CR6YA106KA12L</v>
      </c>
      <c r="E6" s="10">
        <f>BOM_spec!F6</f>
        <v>1797011</v>
      </c>
      <c r="F6" s="62">
        <f>VLOOKUP(E6,BOM_spec!F6:G74,2,FALSE)</f>
        <v>2</v>
      </c>
      <c r="G6" s="45">
        <f>BOM_spec!H6</f>
        <v>0.125</v>
      </c>
      <c r="H6" s="10" t="str">
        <f>BOM_spec!I6</f>
        <v>No</v>
      </c>
      <c r="I6" s="30">
        <f>BOM_spec!J6</f>
        <v>2</v>
      </c>
      <c r="J6" s="45">
        <f>BOM_spec!K6</f>
        <v>0.25</v>
      </c>
      <c r="K6" s="14" t="str">
        <f>BOM_spec!L6</f>
        <v>Capacitance (F)</v>
      </c>
      <c r="L6" s="71">
        <f>BOM_spec!M6</f>
        <v>1.0000000000000001E-5</v>
      </c>
      <c r="M6" s="72"/>
      <c r="N6" s="14" t="str">
        <f>BOM_spec!O6</f>
        <v>V_max</v>
      </c>
      <c r="O6" s="12">
        <f>BOM_spec!P6</f>
        <v>35</v>
      </c>
      <c r="P6" s="17">
        <f>BOM_spec!Q6</f>
        <v>0</v>
      </c>
      <c r="Q6" s="14" t="str">
        <f>BOM_spec!R6</f>
        <v>Dielectric</v>
      </c>
      <c r="R6" s="16" t="str">
        <f>BOM_spec!S6</f>
        <v>X5R</v>
      </c>
      <c r="S6" s="52">
        <f>BOM_spec!T6</f>
        <v>0</v>
      </c>
      <c r="T6" s="14" t="str">
        <f>BOM_spec!U6</f>
        <v>I_rms_max (@600kHz) (A)</v>
      </c>
      <c r="U6" s="19">
        <f>BOM_spec!V6</f>
        <v>0.26666666666666666</v>
      </c>
      <c r="V6" s="13">
        <f>BOM_spec!W6</f>
        <v>0</v>
      </c>
      <c r="W6" s="14">
        <f>BOM_spec!X6</f>
        <v>0</v>
      </c>
      <c r="X6" s="12">
        <f>BOM_spec!Y6</f>
        <v>0</v>
      </c>
      <c r="Y6" s="13">
        <f>BOM_spec!Z6</f>
        <v>0</v>
      </c>
    </row>
    <row r="7" spans="1:25">
      <c r="A7" s="9" t="str">
        <f>BOM_spec!A7</f>
        <v>C6,7</v>
      </c>
      <c r="B7" s="10" t="str">
        <f>BOM_spec!B7</f>
        <v>Capacitor (MLCC)</v>
      </c>
      <c r="C7" s="10" t="str">
        <f>BOM_spec!C7</f>
        <v>Murata</v>
      </c>
      <c r="D7" s="42" t="str">
        <f>BOM_spec!D7</f>
        <v>GRM31CR6YA106KA12L</v>
      </c>
      <c r="E7" s="10">
        <f>BOM_spec!F7</f>
        <v>1797011</v>
      </c>
      <c r="F7" s="62">
        <f>VLOOKUP(E7,BOM_spec!F7:G75,2,FALSE)</f>
        <v>2</v>
      </c>
      <c r="G7" s="45">
        <f>BOM_spec!H7</f>
        <v>0.125</v>
      </c>
      <c r="H7" s="10" t="str">
        <f>BOM_spec!I7</f>
        <v>No</v>
      </c>
      <c r="I7" s="30">
        <f>BOM_spec!J7</f>
        <v>2</v>
      </c>
      <c r="J7" s="45">
        <f>BOM_spec!K7</f>
        <v>0.25</v>
      </c>
      <c r="K7" s="14" t="str">
        <f>BOM_spec!L7</f>
        <v>Capacitance (F)</v>
      </c>
      <c r="L7" s="71">
        <f>BOM_spec!M7</f>
        <v>1.0000000000000001E-5</v>
      </c>
      <c r="M7" s="72"/>
      <c r="N7" s="14" t="str">
        <f>BOM_spec!O7</f>
        <v>V_max</v>
      </c>
      <c r="O7" s="12">
        <f>BOM_spec!P7</f>
        <v>35</v>
      </c>
      <c r="P7" s="17">
        <f>BOM_spec!Q7</f>
        <v>0</v>
      </c>
      <c r="Q7" s="14" t="str">
        <f>BOM_spec!R7</f>
        <v>Dielectric</v>
      </c>
      <c r="R7" s="16" t="str">
        <f>BOM_spec!S7</f>
        <v>X5R</v>
      </c>
      <c r="S7" s="52">
        <f>BOM_spec!T7</f>
        <v>0</v>
      </c>
      <c r="T7" s="14" t="str">
        <f>BOM_spec!U7</f>
        <v>I_rms_max (@600kHz) (A)</v>
      </c>
      <c r="U7" s="19">
        <f>BOM_spec!V7</f>
        <v>1.6666666666666667</v>
      </c>
      <c r="V7" s="13">
        <f>BOM_spec!W7</f>
        <v>0</v>
      </c>
      <c r="W7" s="14">
        <f>BOM_spec!X7</f>
        <v>0</v>
      </c>
      <c r="X7" s="12">
        <f>BOM_spec!Y7</f>
        <v>0</v>
      </c>
      <c r="Y7" s="13">
        <f>BOM_spec!Z7</f>
        <v>0</v>
      </c>
    </row>
    <row r="8" spans="1:25">
      <c r="A8" s="9" t="str">
        <f>BOM_spec!A8</f>
        <v>C8,9,00</v>
      </c>
      <c r="B8" s="10" t="str">
        <f>BOM_spec!B8</f>
        <v>Capacitor (MLCC)</v>
      </c>
      <c r="C8" s="10" t="str">
        <f>BOM_spec!C8</f>
        <v>Any</v>
      </c>
      <c r="D8" s="42" t="str">
        <f>BOM_spec!D8</f>
        <v>0603</v>
      </c>
      <c r="E8" s="10">
        <f>BOM_spec!F8</f>
        <v>1759037</v>
      </c>
      <c r="F8" s="62">
        <f>VLOOKUP(E8,BOM_spec!F8:G76,2,FALSE)</f>
        <v>2</v>
      </c>
      <c r="G8" s="45">
        <f>BOM_spec!H8</f>
        <v>3.0999999999999999E-3</v>
      </c>
      <c r="H8" s="10" t="str">
        <f>BOM_spec!I8</f>
        <v>Yes</v>
      </c>
      <c r="I8" s="30">
        <f>BOM_spec!J8</f>
        <v>3</v>
      </c>
      <c r="J8" s="45">
        <f>BOM_spec!K8</f>
        <v>9.2999999999999992E-3</v>
      </c>
      <c r="K8" s="14" t="str">
        <f>BOM_spec!L8</f>
        <v>Capacitance (F)</v>
      </c>
      <c r="L8" s="71">
        <f>BOM_spec!M8</f>
        <v>9.9999999999999995E-8</v>
      </c>
      <c r="M8" s="72"/>
      <c r="N8" s="14" t="str">
        <f>BOM_spec!O8</f>
        <v>V_max</v>
      </c>
      <c r="O8" s="12">
        <f>BOM_spec!P8</f>
        <v>15</v>
      </c>
      <c r="P8" s="18">
        <f>BOM_spec!Q8</f>
        <v>0</v>
      </c>
      <c r="Q8" s="14" t="str">
        <f>BOM_spec!R8</f>
        <v>Dielectric</v>
      </c>
      <c r="R8" s="16" t="str">
        <f>BOM_spec!S8</f>
        <v>X5R</v>
      </c>
      <c r="S8" s="54">
        <f>BOM_spec!T8</f>
        <v>0</v>
      </c>
      <c r="T8" s="14">
        <f>BOM_spec!U8</f>
        <v>0</v>
      </c>
      <c r="U8" s="12">
        <f>BOM_spec!V8</f>
        <v>0</v>
      </c>
      <c r="V8" s="13">
        <f>BOM_spec!W8</f>
        <v>0</v>
      </c>
      <c r="W8" s="14">
        <f>BOM_spec!X8</f>
        <v>0</v>
      </c>
      <c r="X8" s="12">
        <f>BOM_spec!Y8</f>
        <v>0</v>
      </c>
      <c r="Y8" s="13">
        <f>BOM_spec!Z8</f>
        <v>0</v>
      </c>
    </row>
    <row r="9" spans="1:25">
      <c r="A9" s="20" t="str">
        <f>BOM_spec!A9</f>
        <v>C11</v>
      </c>
      <c r="B9" s="10" t="str">
        <f>BOM_spec!B9</f>
        <v>Capacitor (MLCC)</v>
      </c>
      <c r="C9" s="10" t="str">
        <f>BOM_spec!C9</f>
        <v>Any</v>
      </c>
      <c r="D9" s="42" t="str">
        <f>BOM_spec!D9</f>
        <v>0603</v>
      </c>
      <c r="E9" s="10">
        <f>BOM_spec!F9</f>
        <v>2211185</v>
      </c>
      <c r="F9" s="62">
        <f>VLOOKUP(E9,BOM_spec!F9:G77,2,FALSE)</f>
        <v>2</v>
      </c>
      <c r="G9" s="45">
        <f>BOM_spec!H9</f>
        <v>3.6299999999999999E-2</v>
      </c>
      <c r="H9" s="10" t="str">
        <f>BOM_spec!I9</f>
        <v>Yes</v>
      </c>
      <c r="I9" s="31">
        <f>BOM_spec!J9</f>
        <v>1</v>
      </c>
      <c r="J9" s="45">
        <f>BOM_spec!K9</f>
        <v>3.6299999999999999E-2</v>
      </c>
      <c r="K9" s="14" t="str">
        <f>BOM_spec!L9</f>
        <v>Capacitance (F)</v>
      </c>
      <c r="L9" s="71">
        <f>BOM_spec!M9</f>
        <v>2.2000000000000001E-6</v>
      </c>
      <c r="M9" s="72"/>
      <c r="N9" s="14" t="str">
        <f>BOM_spec!O9</f>
        <v>V_max</v>
      </c>
      <c r="O9" s="12">
        <f>BOM_spec!P9</f>
        <v>35</v>
      </c>
      <c r="P9" s="18">
        <f>BOM_spec!Q9</f>
        <v>0</v>
      </c>
      <c r="Q9" s="14" t="str">
        <f>BOM_spec!R9</f>
        <v>Dielectric</v>
      </c>
      <c r="R9" s="16" t="str">
        <f>BOM_spec!S9</f>
        <v>X5R</v>
      </c>
      <c r="S9" s="52">
        <f>BOM_spec!T9</f>
        <v>0</v>
      </c>
      <c r="T9" s="14">
        <f>BOM_spec!U9</f>
        <v>0</v>
      </c>
      <c r="U9" s="12">
        <f>BOM_spec!V9</f>
        <v>0</v>
      </c>
      <c r="V9" s="13">
        <f>BOM_spec!W9</f>
        <v>0</v>
      </c>
      <c r="W9" s="14">
        <f>BOM_spec!X9</f>
        <v>0</v>
      </c>
      <c r="X9" s="12">
        <f>BOM_spec!Y9</f>
        <v>0</v>
      </c>
      <c r="Y9" s="13">
        <f>BOM_spec!Z9</f>
        <v>0</v>
      </c>
    </row>
    <row r="10" spans="1:25">
      <c r="A10" s="20" t="str">
        <f>BOM_spec!A10</f>
        <v>C15</v>
      </c>
      <c r="B10" s="10" t="str">
        <f>BOM_spec!B10</f>
        <v>Capacitor (MLCC)</v>
      </c>
      <c r="C10" s="10" t="str">
        <f>BOM_spec!C10</f>
        <v>Any</v>
      </c>
      <c r="D10" s="42" t="str">
        <f>BOM_spec!D10</f>
        <v>0603</v>
      </c>
      <c r="E10" s="11">
        <f>BOM_spec!F10</f>
        <v>2320814</v>
      </c>
      <c r="F10" s="62">
        <f>VLOOKUP(E10,BOM_spec!F10:G78,2,FALSE)</f>
        <v>2</v>
      </c>
      <c r="G10" s="45">
        <f>BOM_spec!H10</f>
        <v>1.7999999999999999E-2</v>
      </c>
      <c r="H10" s="10" t="str">
        <f>BOM_spec!I10</f>
        <v>Yes</v>
      </c>
      <c r="I10" s="31">
        <f>BOM_spec!J10</f>
        <v>1</v>
      </c>
      <c r="J10" s="45">
        <f>BOM_spec!K10</f>
        <v>1.7999999999999999E-2</v>
      </c>
      <c r="K10" s="14" t="str">
        <f>BOM_spec!L10</f>
        <v>Capacitance (F)</v>
      </c>
      <c r="L10" s="71">
        <f>BOM_spec!M10</f>
        <v>9.9999999999999995E-7</v>
      </c>
      <c r="M10" s="72"/>
      <c r="N10" s="14" t="str">
        <f>BOM_spec!O10</f>
        <v>V_max</v>
      </c>
      <c r="O10" s="12">
        <f>BOM_spec!P10</f>
        <v>6.3</v>
      </c>
      <c r="P10" s="18">
        <f>BOM_spec!Q10</f>
        <v>0</v>
      </c>
      <c r="Q10" s="14" t="str">
        <f>BOM_spec!R10</f>
        <v>Dielectric</v>
      </c>
      <c r="R10" s="16" t="str">
        <f>BOM_spec!S10</f>
        <v>X5R</v>
      </c>
      <c r="S10" s="52">
        <f>BOM_spec!T10</f>
        <v>0</v>
      </c>
      <c r="T10" s="14">
        <f>BOM_spec!U10</f>
        <v>0</v>
      </c>
      <c r="U10" s="12">
        <f>BOM_spec!V10</f>
        <v>0</v>
      </c>
      <c r="V10" s="13">
        <f>BOM_spec!W10</f>
        <v>0</v>
      </c>
      <c r="W10" s="14">
        <f>BOM_spec!X10</f>
        <v>0</v>
      </c>
      <c r="X10" s="12">
        <f>BOM_spec!Y10</f>
        <v>0</v>
      </c>
      <c r="Y10" s="13">
        <f>BOM_spec!Z10</f>
        <v>0</v>
      </c>
    </row>
    <row r="11" spans="1:25">
      <c r="A11" s="20" t="str">
        <f>BOM_spec!A11</f>
        <v>C16,18,20,21,22</v>
      </c>
      <c r="B11" s="10" t="str">
        <f>BOM_spec!B11</f>
        <v>Capacitor (MLCC)</v>
      </c>
      <c r="C11" s="10" t="str">
        <f>BOM_spec!C11</f>
        <v>Any</v>
      </c>
      <c r="D11" s="42" t="str">
        <f>BOM_spec!D11</f>
        <v>0603</v>
      </c>
      <c r="E11" s="11">
        <f>BOM_spec!F11</f>
        <v>1759016</v>
      </c>
      <c r="F11" s="62">
        <f>VLOOKUP(E11,BOM_spec!F11:G79,2,FALSE)</f>
        <v>2</v>
      </c>
      <c r="G11" s="45">
        <f>BOM_spec!H11</f>
        <v>3.0999999999999999E-3</v>
      </c>
      <c r="H11" s="10" t="str">
        <f>BOM_spec!I11</f>
        <v>Yes</v>
      </c>
      <c r="I11" s="31">
        <f>BOM_spec!J11</f>
        <v>5</v>
      </c>
      <c r="J11" s="45">
        <f>BOM_spec!K11</f>
        <v>1.55E-2</v>
      </c>
      <c r="K11" s="14" t="str">
        <f>BOM_spec!L11</f>
        <v>Capacitance (F)</v>
      </c>
      <c r="L11" s="71">
        <f>BOM_spec!M11</f>
        <v>9.9999999999999995E-8</v>
      </c>
      <c r="M11" s="72"/>
      <c r="N11" s="14" t="str">
        <f>BOM_spec!O11</f>
        <v>V_max</v>
      </c>
      <c r="O11" s="12">
        <f>BOM_spec!P11</f>
        <v>6.3</v>
      </c>
      <c r="P11" s="18">
        <f>BOM_spec!Q11</f>
        <v>0</v>
      </c>
      <c r="Q11" s="14" t="str">
        <f>BOM_spec!R11</f>
        <v>Dielectric</v>
      </c>
      <c r="R11" s="16" t="str">
        <f>BOM_spec!S11</f>
        <v>X5R</v>
      </c>
      <c r="S11" s="52">
        <f>BOM_spec!T11</f>
        <v>0</v>
      </c>
      <c r="T11" s="14">
        <f>BOM_spec!U11</f>
        <v>0</v>
      </c>
      <c r="U11" s="12">
        <f>BOM_spec!V11</f>
        <v>0</v>
      </c>
      <c r="V11" s="13">
        <f>BOM_spec!W11</f>
        <v>0</v>
      </c>
      <c r="W11" s="14">
        <f>BOM_spec!X11</f>
        <v>0</v>
      </c>
      <c r="X11" s="12">
        <f>BOM_spec!Y11</f>
        <v>0</v>
      </c>
      <c r="Y11" s="13">
        <f>BOM_spec!Z11</f>
        <v>0</v>
      </c>
    </row>
    <row r="12" spans="1:25">
      <c r="A12" s="20" t="str">
        <f>BOM_spec!A12</f>
        <v>C17</v>
      </c>
      <c r="B12" s="10" t="str">
        <f>BOM_spec!B12</f>
        <v>Capacitor (MLCC)</v>
      </c>
      <c r="C12" s="10" t="str">
        <f>BOM_spec!C12</f>
        <v>Any</v>
      </c>
      <c r="D12" s="42" t="str">
        <f>BOM_spec!D12</f>
        <v>0603</v>
      </c>
      <c r="E12" s="11">
        <f>BOM_spec!F12</f>
        <v>1759093</v>
      </c>
      <c r="F12" s="62">
        <f>VLOOKUP(E12,BOM_spec!F12:G80,2,FALSE)</f>
        <v>2</v>
      </c>
      <c r="G12" s="45">
        <f>BOM_spec!H12</f>
        <v>5.4000000000000003E-3</v>
      </c>
      <c r="H12" s="10" t="str">
        <f>BOM_spec!I12</f>
        <v>Yes</v>
      </c>
      <c r="I12" s="31">
        <f>BOM_spec!J12</f>
        <v>1</v>
      </c>
      <c r="J12" s="45">
        <f>BOM_spec!K12</f>
        <v>5.4000000000000003E-3</v>
      </c>
      <c r="K12" s="14" t="str">
        <f>BOM_spec!L12</f>
        <v>Capacitance (F)</v>
      </c>
      <c r="L12" s="71">
        <f>BOM_spec!M12</f>
        <v>2.1999999999999998E-9</v>
      </c>
      <c r="M12" s="72"/>
      <c r="N12" s="14" t="str">
        <f>BOM_spec!O12</f>
        <v>V_max</v>
      </c>
      <c r="O12" s="12">
        <f>BOM_spec!P12</f>
        <v>6.3</v>
      </c>
      <c r="P12" s="18">
        <f>BOM_spec!Q12</f>
        <v>0</v>
      </c>
      <c r="Q12" s="14" t="str">
        <f>BOM_spec!R12</f>
        <v>Dielectric</v>
      </c>
      <c r="R12" s="16" t="str">
        <f>BOM_spec!S12</f>
        <v>X5R</v>
      </c>
      <c r="S12" s="52">
        <f>BOM_spec!T12</f>
        <v>0</v>
      </c>
      <c r="T12" s="14">
        <f>BOM_spec!U12</f>
        <v>0</v>
      </c>
      <c r="U12" s="12">
        <f>BOM_spec!V12</f>
        <v>0</v>
      </c>
      <c r="V12" s="13">
        <f>BOM_spec!W12</f>
        <v>0</v>
      </c>
      <c r="W12" s="14">
        <f>BOM_spec!X12</f>
        <v>0</v>
      </c>
      <c r="X12" s="12">
        <f>BOM_spec!Y12</f>
        <v>0</v>
      </c>
      <c r="Y12" s="13">
        <f>BOM_spec!Z12</f>
        <v>0</v>
      </c>
    </row>
    <row r="13" spans="1:25">
      <c r="A13" s="20" t="str">
        <f>BOM_spec!A13</f>
        <v>C23</v>
      </c>
      <c r="B13" s="10" t="str">
        <f>BOM_spec!B13</f>
        <v>Capacitor (MLCC)</v>
      </c>
      <c r="C13" s="10" t="str">
        <f>BOM_spec!C13</f>
        <v>Any</v>
      </c>
      <c r="D13" s="42" t="str">
        <f>BOM_spec!D13</f>
        <v>0603</v>
      </c>
      <c r="E13" s="11">
        <f>BOM_spec!F13</f>
        <v>1759122</v>
      </c>
      <c r="F13" s="62">
        <f>VLOOKUP(E13,BOM_spec!F13:G81,2,FALSE)</f>
        <v>2</v>
      </c>
      <c r="G13" s="45">
        <f>BOM_spec!H13</f>
        <v>5.1999999999999998E-3</v>
      </c>
      <c r="H13" s="10" t="str">
        <f>BOM_spec!I13</f>
        <v>Yes</v>
      </c>
      <c r="I13" s="31">
        <f>BOM_spec!J13</f>
        <v>1</v>
      </c>
      <c r="J13" s="45">
        <f>BOM_spec!K13</f>
        <v>5.1999999999999998E-3</v>
      </c>
      <c r="K13" s="14" t="str">
        <f>BOM_spec!L13</f>
        <v>Capacitance (F)</v>
      </c>
      <c r="L13" s="71">
        <f>BOM_spec!M13</f>
        <v>9.9999999999999995E-8</v>
      </c>
      <c r="M13" s="72"/>
      <c r="N13" s="14" t="str">
        <f>BOM_spec!O13</f>
        <v>V_max</v>
      </c>
      <c r="O13" s="12">
        <f>BOM_spec!P13</f>
        <v>35</v>
      </c>
      <c r="P13" s="18">
        <f>BOM_spec!Q13</f>
        <v>0</v>
      </c>
      <c r="Q13" s="14" t="str">
        <f>BOM_spec!R13</f>
        <v>Dielectric</v>
      </c>
      <c r="R13" s="16" t="str">
        <f>BOM_spec!S13</f>
        <v>X5R</v>
      </c>
      <c r="S13" s="52">
        <f>BOM_spec!T13</f>
        <v>0</v>
      </c>
      <c r="T13" s="14">
        <f>BOM_spec!U13</f>
        <v>0</v>
      </c>
      <c r="U13" s="12">
        <f>BOM_spec!V13</f>
        <v>0</v>
      </c>
      <c r="V13" s="13">
        <f>BOM_spec!W13</f>
        <v>0</v>
      </c>
      <c r="W13" s="14">
        <f>BOM_spec!X13</f>
        <v>0</v>
      </c>
      <c r="X13" s="12">
        <f>BOM_spec!Y13</f>
        <v>0</v>
      </c>
      <c r="Y13" s="13">
        <f>BOM_spec!Z13</f>
        <v>0</v>
      </c>
    </row>
    <row r="14" spans="1:25">
      <c r="A14" s="9" t="str">
        <f>BOM_spec!A14</f>
        <v>LED1</v>
      </c>
      <c r="B14" s="10" t="str">
        <f>BOM_spec!B14</f>
        <v>Red/Green LED, common cathode</v>
      </c>
      <c r="C14" s="11" t="str">
        <f>BOM_spec!C14</f>
        <v>Multicomp</v>
      </c>
      <c r="D14" s="42" t="str">
        <f>BOM_spec!D14</f>
        <v>MCL039PURGW</v>
      </c>
      <c r="E14" s="10">
        <f>BOM_spec!F14</f>
        <v>1581194</v>
      </c>
      <c r="F14" s="62">
        <f>VLOOKUP(E14,BOM_spec!F14:G82,2,FALSE)</f>
        <v>1.2</v>
      </c>
      <c r="G14" s="45">
        <f>BOM_spec!H14</f>
        <v>0.14000000000000001</v>
      </c>
      <c r="H14" s="10" t="str">
        <f>BOM_spec!I14</f>
        <v>No</v>
      </c>
      <c r="I14" s="30">
        <f>BOM_spec!J14</f>
        <v>1</v>
      </c>
      <c r="J14" s="45">
        <f>BOM_spec!K14</f>
        <v>0.14000000000000001</v>
      </c>
      <c r="K14" s="14">
        <f>BOM_spec!L14</f>
        <v>0</v>
      </c>
      <c r="L14" s="33">
        <f>BOM_spec!M14</f>
        <v>0</v>
      </c>
      <c r="M14" s="17">
        <f>BOM_spec!N14</f>
        <v>0</v>
      </c>
      <c r="N14" s="14">
        <f>BOM_spec!O14</f>
        <v>0</v>
      </c>
      <c r="O14" s="12">
        <f>BOM_spec!P14</f>
        <v>0</v>
      </c>
      <c r="P14" s="13">
        <f>BOM_spec!Q14</f>
        <v>0</v>
      </c>
      <c r="Q14" s="14">
        <f>BOM_spec!R14</f>
        <v>0</v>
      </c>
      <c r="R14" s="12">
        <f>BOM_spec!S14</f>
        <v>0</v>
      </c>
      <c r="S14" s="13">
        <f>BOM_spec!T14</f>
        <v>0</v>
      </c>
      <c r="T14" s="14">
        <f>BOM_spec!U14</f>
        <v>0</v>
      </c>
      <c r="U14" s="12">
        <f>BOM_spec!V14</f>
        <v>0</v>
      </c>
      <c r="V14" s="15">
        <f>BOM_spec!W14</f>
        <v>0</v>
      </c>
      <c r="W14" s="14">
        <f>BOM_spec!X14</f>
        <v>0</v>
      </c>
      <c r="X14" s="12">
        <f>BOM_spec!Y14</f>
        <v>0</v>
      </c>
      <c r="Y14" s="15">
        <f>BOM_spec!Z14</f>
        <v>0</v>
      </c>
    </row>
    <row r="15" spans="1:25">
      <c r="A15" s="9" t="str">
        <f>BOM_spec!A15</f>
        <v>D1</v>
      </c>
      <c r="B15" s="10" t="str">
        <f>BOM_spec!B15</f>
        <v>Power schottky diode</v>
      </c>
      <c r="C15" s="11" t="str">
        <f>BOM_spec!C15</f>
        <v>On Semi</v>
      </c>
      <c r="D15" s="41" t="str">
        <f>BOM_spec!D15</f>
        <v>MBRD835LG</v>
      </c>
      <c r="E15" s="44">
        <f>BOM_spec!F15</f>
        <v>9556249</v>
      </c>
      <c r="F15" s="62">
        <f>VLOOKUP(E15,BOM_spec!F15:G83,2,FALSE)</f>
        <v>1.2</v>
      </c>
      <c r="G15" s="45">
        <f>BOM_spec!H15</f>
        <v>0.16600000000000001</v>
      </c>
      <c r="H15" s="10" t="str">
        <f>BOM_spec!I15</f>
        <v>Yes</v>
      </c>
      <c r="I15" s="30">
        <f>BOM_spec!J15</f>
        <v>1</v>
      </c>
      <c r="J15" s="45">
        <f>BOM_spec!K15</f>
        <v>0.16600000000000001</v>
      </c>
      <c r="K15" s="14" t="str">
        <f>BOM_spec!L15</f>
        <v>V_f @ 0.2A, 85C (V)</v>
      </c>
      <c r="L15" s="33">
        <f>BOM_spec!M15</f>
        <v>0</v>
      </c>
      <c r="M15" s="35">
        <f>BOM_spec!N15</f>
        <v>0.4</v>
      </c>
      <c r="N15" s="14" t="str">
        <f>BOM_spec!O15</f>
        <v>I_fmax (av.) (A)</v>
      </c>
      <c r="O15" s="34">
        <f>BOM_spec!P15</f>
        <v>6</v>
      </c>
      <c r="P15" s="13">
        <f>BOM_spec!Q15</f>
        <v>0</v>
      </c>
      <c r="Q15" s="14" t="str">
        <f>BOM_spec!R15</f>
        <v>Vr_max (V)</v>
      </c>
      <c r="R15" s="12">
        <f>BOM_spec!S15</f>
        <v>30</v>
      </c>
      <c r="S15" s="54">
        <f>BOM_spec!T15</f>
        <v>0</v>
      </c>
      <c r="T15" s="14">
        <f>BOM_spec!U15</f>
        <v>0</v>
      </c>
      <c r="U15" s="12">
        <f>BOM_spec!V15</f>
        <v>0</v>
      </c>
      <c r="V15" s="13">
        <f>BOM_spec!W15</f>
        <v>0</v>
      </c>
      <c r="W15" s="14">
        <f>BOM_spec!X15</f>
        <v>0</v>
      </c>
      <c r="X15" s="12">
        <f>BOM_spec!Y15</f>
        <v>0</v>
      </c>
      <c r="Y15" s="13">
        <f>BOM_spec!Z15</f>
        <v>0</v>
      </c>
    </row>
    <row r="16" spans="1:25">
      <c r="A16" s="9" t="str">
        <f>BOM_spec!A16</f>
        <v>D3,5</v>
      </c>
      <c r="B16" s="10" t="str">
        <f>BOM_spec!B16</f>
        <v>Small-signal schottky diode</v>
      </c>
      <c r="C16" s="10" t="str">
        <f>BOM_spec!C16</f>
        <v>Fairchild</v>
      </c>
      <c r="D16" s="42" t="str">
        <f>BOM_spec!D16</f>
        <v>BAT54XV2</v>
      </c>
      <c r="E16" s="10">
        <f>BOM_spec!F16</f>
        <v>2322476</v>
      </c>
      <c r="F16" s="62" t="str">
        <f>VLOOKUP(E16,BOM_spec!F16:G84,2,FALSE)</f>
        <v>added 09/02/2013</v>
      </c>
      <c r="G16" s="45">
        <f>BOM_spec!H16</f>
        <v>2.46E-2</v>
      </c>
      <c r="H16" s="10" t="str">
        <f>BOM_spec!I16</f>
        <v>Yes</v>
      </c>
      <c r="I16" s="30">
        <f>BOM_spec!J16</f>
        <v>2</v>
      </c>
      <c r="J16" s="45">
        <f>BOM_spec!K16</f>
        <v>4.9200000000000001E-2</v>
      </c>
      <c r="K16" s="14" t="str">
        <f>BOM_spec!L16</f>
        <v>I_f_max (A)</v>
      </c>
      <c r="L16" s="33">
        <f>BOM_spec!M16</f>
        <v>0.2</v>
      </c>
      <c r="M16" s="17">
        <f>BOM_spec!N16</f>
        <v>0</v>
      </c>
      <c r="N16" s="14" t="str">
        <f>BOM_spec!O16</f>
        <v>V_r_repetitive (V)</v>
      </c>
      <c r="O16" s="12">
        <f>BOM_spec!P16</f>
        <v>30</v>
      </c>
      <c r="P16" s="13">
        <f>BOM_spec!Q16</f>
        <v>0</v>
      </c>
      <c r="Q16" s="14">
        <f>BOM_spec!R16</f>
        <v>0</v>
      </c>
      <c r="R16" s="12">
        <f>BOM_spec!S16</f>
        <v>0</v>
      </c>
      <c r="S16" s="13">
        <f>BOM_spec!T16</f>
        <v>0</v>
      </c>
      <c r="T16" s="14">
        <f>BOM_spec!U16</f>
        <v>0</v>
      </c>
      <c r="U16" s="12">
        <f>BOM_spec!V16</f>
        <v>0</v>
      </c>
      <c r="V16" s="15">
        <f>BOM_spec!W16</f>
        <v>0</v>
      </c>
      <c r="W16" s="14">
        <f>BOM_spec!X16</f>
        <v>0</v>
      </c>
      <c r="X16" s="12">
        <f>BOM_spec!Y16</f>
        <v>0</v>
      </c>
      <c r="Y16" s="15">
        <f>BOM_spec!Z16</f>
        <v>0</v>
      </c>
    </row>
    <row r="17" spans="1:25">
      <c r="A17" s="9" t="str">
        <f>BOM_spec!A17</f>
        <v>D4</v>
      </c>
      <c r="B17" s="10" t="str">
        <f>BOM_spec!B17</f>
        <v>Power schottky diode</v>
      </c>
      <c r="C17" s="11" t="str">
        <f>BOM_spec!C17</f>
        <v>On Semi</v>
      </c>
      <c r="D17" s="41" t="str">
        <f>BOM_spec!D17</f>
        <v>NTS1545MFST</v>
      </c>
      <c r="E17" s="11">
        <f>BOM_spec!F17</f>
        <v>2452050</v>
      </c>
      <c r="F17" s="62">
        <f>VLOOKUP(E17,BOM_spec!F17:G85,2,FALSE)</f>
        <v>1.2</v>
      </c>
      <c r="G17" s="45">
        <f>BOM_spec!H17</f>
        <v>0.18</v>
      </c>
      <c r="H17" s="11" t="str">
        <f>BOM_spec!I17</f>
        <v>Maybe</v>
      </c>
      <c r="I17" s="30">
        <f>BOM_spec!J17</f>
        <v>1</v>
      </c>
      <c r="J17" s="45">
        <f>BOM_spec!K17</f>
        <v>0.18</v>
      </c>
      <c r="K17" s="14">
        <f>BOM_spec!L17</f>
        <v>0</v>
      </c>
      <c r="L17" s="33">
        <f>BOM_spec!M17</f>
        <v>0</v>
      </c>
      <c r="M17" s="17">
        <f>BOM_spec!N17</f>
        <v>0</v>
      </c>
      <c r="N17" s="14">
        <f>BOM_spec!O17</f>
        <v>0</v>
      </c>
      <c r="O17" s="12">
        <f>BOM_spec!P17</f>
        <v>0</v>
      </c>
      <c r="P17" s="13">
        <f>BOM_spec!Q17</f>
        <v>0</v>
      </c>
      <c r="Q17" s="14">
        <f>BOM_spec!R17</f>
        <v>0</v>
      </c>
      <c r="R17" s="12">
        <f>BOM_spec!S17</f>
        <v>0</v>
      </c>
      <c r="S17" s="13">
        <f>BOM_spec!T17</f>
        <v>0</v>
      </c>
      <c r="T17" s="14">
        <f>BOM_spec!U17</f>
        <v>0</v>
      </c>
      <c r="U17" s="12">
        <f>BOM_spec!V17</f>
        <v>0</v>
      </c>
      <c r="V17" s="15">
        <f>BOM_spec!W17</f>
        <v>0</v>
      </c>
      <c r="W17" s="14">
        <f>BOM_spec!X17</f>
        <v>0</v>
      </c>
      <c r="X17" s="12">
        <f>BOM_spec!Y17</f>
        <v>0</v>
      </c>
      <c r="Y17" s="15">
        <f>BOM_spec!Z17</f>
        <v>0</v>
      </c>
    </row>
    <row r="18" spans="1:25">
      <c r="A18" s="9" t="str">
        <f>BOM_spec!A19</f>
        <v>F1</v>
      </c>
      <c r="B18" s="10" t="str">
        <f>BOM_spec!B19</f>
        <v>PTC resettable fuse</v>
      </c>
      <c r="C18" s="11" t="str">
        <f>BOM_spec!C19</f>
        <v>Bourns</v>
      </c>
      <c r="D18" s="41" t="str">
        <f>BOM_spec!D19</f>
        <v>MF-LSMF300/24X-2</v>
      </c>
      <c r="E18" s="11">
        <f>BOM_spec!F19</f>
        <v>2057925</v>
      </c>
      <c r="F18" s="62">
        <f>VLOOKUP(E18,BOM_spec!F19:G86,2,FALSE)</f>
        <v>1.2</v>
      </c>
      <c r="G18" s="45">
        <f>BOM_spec!H19</f>
        <v>0.24299999999999999</v>
      </c>
      <c r="H18" s="11" t="str">
        <f>BOM_spec!I19</f>
        <v>No</v>
      </c>
      <c r="I18" s="30">
        <f>BOM_spec!J19</f>
        <v>1</v>
      </c>
      <c r="J18" s="45">
        <f>BOM_spec!K19</f>
        <v>0.24299999999999999</v>
      </c>
      <c r="K18" s="14">
        <f>BOM_spec!L19</f>
        <v>0</v>
      </c>
      <c r="L18" s="33">
        <f>BOM_spec!M19</f>
        <v>0</v>
      </c>
      <c r="M18" s="17">
        <f>BOM_spec!N19</f>
        <v>0</v>
      </c>
      <c r="N18" s="14">
        <f>BOM_spec!O19</f>
        <v>0</v>
      </c>
      <c r="O18" s="12">
        <f>BOM_spec!P19</f>
        <v>0</v>
      </c>
      <c r="P18" s="13">
        <f>BOM_spec!Q19</f>
        <v>0</v>
      </c>
      <c r="Q18" s="14">
        <f>BOM_spec!R19</f>
        <v>0</v>
      </c>
      <c r="R18" s="12">
        <f>BOM_spec!S19</f>
        <v>0</v>
      </c>
      <c r="S18" s="13">
        <f>BOM_spec!T19</f>
        <v>0</v>
      </c>
      <c r="T18" s="14">
        <f>BOM_spec!U19</f>
        <v>0</v>
      </c>
      <c r="U18" s="12">
        <f>BOM_spec!V19</f>
        <v>0</v>
      </c>
      <c r="V18" s="15">
        <f>BOM_spec!W19</f>
        <v>0</v>
      </c>
      <c r="W18" s="14">
        <f>BOM_spec!X19</f>
        <v>0</v>
      </c>
      <c r="X18" s="12">
        <f>BOM_spec!Y19</f>
        <v>0</v>
      </c>
      <c r="Y18" s="15">
        <f>BOM_spec!Z19</f>
        <v>0</v>
      </c>
    </row>
    <row r="19" spans="1:25">
      <c r="A19" s="9" t="str">
        <f>BOM_spec!A21</f>
        <v>IC2</v>
      </c>
      <c r="B19" s="10" t="str">
        <f>BOM_spec!B21</f>
        <v>16bit - MCU</v>
      </c>
      <c r="C19" s="11" t="str">
        <f>BOM_spec!C21</f>
        <v>TI</v>
      </c>
      <c r="D19" s="41" t="str">
        <f>BOM_spec!D21</f>
        <v>MSP430G2432IPW20</v>
      </c>
      <c r="E19" s="11">
        <f>BOM_spec!F21</f>
        <v>1866910</v>
      </c>
      <c r="F19" s="62">
        <f>VLOOKUP(E19,BOM_spec!F20:G87,2,FALSE)</f>
        <v>1.5</v>
      </c>
      <c r="G19" s="45">
        <f>BOM_spec!H21</f>
        <v>0.58099999999999996</v>
      </c>
      <c r="H19" s="11" t="str">
        <f>BOM_spec!I21</f>
        <v>No</v>
      </c>
      <c r="I19" s="30">
        <f>BOM_spec!J21</f>
        <v>1</v>
      </c>
      <c r="J19" s="45">
        <f>BOM_spec!K21</f>
        <v>0.58099999999999996</v>
      </c>
      <c r="K19" s="14">
        <f>BOM_spec!L21</f>
        <v>0</v>
      </c>
      <c r="L19" s="33">
        <f>BOM_spec!M21</f>
        <v>0</v>
      </c>
      <c r="M19" s="17">
        <f>BOM_spec!N21</f>
        <v>0</v>
      </c>
      <c r="N19" s="14">
        <f>BOM_spec!O21</f>
        <v>0</v>
      </c>
      <c r="O19" s="12">
        <f>BOM_spec!P21</f>
        <v>0</v>
      </c>
      <c r="P19" s="13">
        <f>BOM_spec!Q21</f>
        <v>0</v>
      </c>
      <c r="Q19" s="14">
        <f>BOM_spec!R21</f>
        <v>0</v>
      </c>
      <c r="R19" s="12">
        <f>BOM_spec!S21</f>
        <v>0</v>
      </c>
      <c r="S19" s="13">
        <f>BOM_spec!T21</f>
        <v>0</v>
      </c>
      <c r="T19" s="14">
        <f>BOM_spec!U21</f>
        <v>0</v>
      </c>
      <c r="U19" s="12">
        <f>BOM_spec!V21</f>
        <v>0</v>
      </c>
      <c r="V19" s="15">
        <f>BOM_spec!W21</f>
        <v>0</v>
      </c>
      <c r="W19" s="14">
        <f>BOM_spec!X21</f>
        <v>0</v>
      </c>
      <c r="X19" s="12">
        <f>BOM_spec!Y21</f>
        <v>0</v>
      </c>
      <c r="Y19" s="15">
        <f>BOM_spec!Z21</f>
        <v>0</v>
      </c>
    </row>
    <row r="20" spans="1:25">
      <c r="A20" s="9" t="str">
        <f>BOM_spec!A24</f>
        <v>J1</v>
      </c>
      <c r="B20" s="10" t="str">
        <f>BOM_spec!B24</f>
        <v>6-pos terminal block, screw</v>
      </c>
      <c r="C20" s="11" t="str">
        <f>BOM_spec!C24</f>
        <v>Multicomp</v>
      </c>
      <c r="D20" s="41" t="str">
        <f>BOM_spec!D24</f>
        <v>MC000038</v>
      </c>
      <c r="E20" s="11">
        <f>BOM_spec!F24</f>
        <v>2008008</v>
      </c>
      <c r="F20" s="62">
        <f>VLOOKUP(E20,BOM_spec!F21:G88,2,FALSE)</f>
        <v>1.2</v>
      </c>
      <c r="G20" s="45">
        <f>BOM_spec!H24</f>
        <v>0.39300000000000002</v>
      </c>
      <c r="H20" s="11" t="str">
        <f>BOM_spec!I24</f>
        <v>Yes</v>
      </c>
      <c r="I20" s="30">
        <f>BOM_spec!J24</f>
        <v>1</v>
      </c>
      <c r="J20" s="45">
        <f>BOM_spec!K24</f>
        <v>0.39300000000000002</v>
      </c>
      <c r="K20" s="14" t="str">
        <f>BOM_spec!L24</f>
        <v>Contacts</v>
      </c>
      <c r="L20" s="73">
        <f>BOM_spec!M24</f>
        <v>6</v>
      </c>
      <c r="M20" s="74"/>
      <c r="N20" s="14" t="str">
        <f>BOM_spec!O24</f>
        <v>Current_max (A)</v>
      </c>
      <c r="O20" s="12">
        <f>BOM_spec!P24</f>
        <v>15</v>
      </c>
      <c r="P20" s="13">
        <f>BOM_spec!Q24</f>
        <v>0</v>
      </c>
      <c r="Q20" s="14" t="str">
        <f>BOM_spec!R24</f>
        <v>Min. wire size</v>
      </c>
      <c r="R20" s="75" t="str">
        <f>BOM_spec!S24</f>
        <v>26AWG or thinner</v>
      </c>
      <c r="S20" s="76"/>
      <c r="T20" s="14" t="str">
        <f>BOM_spec!U24</f>
        <v>Max. wire size</v>
      </c>
      <c r="U20" s="75" t="str">
        <f>BOM_spec!V24</f>
        <v>12AWG or fatter</v>
      </c>
      <c r="V20" s="76"/>
      <c r="W20" s="14">
        <f>BOM_spec!X24</f>
        <v>0</v>
      </c>
      <c r="X20" s="12">
        <f>BOM_spec!Y24</f>
        <v>0</v>
      </c>
      <c r="Y20" s="15">
        <f>BOM_spec!Z24</f>
        <v>0</v>
      </c>
    </row>
    <row r="21" spans="1:25">
      <c r="A21" s="9" t="str">
        <f>BOM_spec!A26</f>
        <v>J3,4</v>
      </c>
      <c r="B21" s="10" t="str">
        <f>BOM_spec!B26</f>
        <v>3-pos terminal block, screw</v>
      </c>
      <c r="C21" s="11" t="str">
        <f>BOM_spec!C26</f>
        <v>Multicomp</v>
      </c>
      <c r="D21" s="41" t="str">
        <f>BOM_spec!D26</f>
        <v>MC000027</v>
      </c>
      <c r="E21" s="11">
        <f>BOM_spec!F26</f>
        <v>2007996</v>
      </c>
      <c r="F21" s="62">
        <f>VLOOKUP(E21,BOM_spec!F22:G89,2,FALSE)</f>
        <v>1.2</v>
      </c>
      <c r="G21" s="45">
        <f>BOM_spec!H26</f>
        <v>0.183</v>
      </c>
      <c r="H21" s="11" t="str">
        <f>BOM_spec!I26</f>
        <v>Yes</v>
      </c>
      <c r="I21" s="30">
        <f>BOM_spec!J26</f>
        <v>2</v>
      </c>
      <c r="J21" s="45">
        <f>BOM_spec!K26</f>
        <v>0.36599999999999999</v>
      </c>
      <c r="K21" s="14" t="str">
        <f>BOM_spec!L26</f>
        <v>Contacts</v>
      </c>
      <c r="L21" s="73">
        <f>BOM_spec!M26</f>
        <v>3</v>
      </c>
      <c r="M21" s="74"/>
      <c r="N21" s="14" t="str">
        <f>BOM_spec!O26</f>
        <v>Current_max (A)</v>
      </c>
      <c r="O21" s="12">
        <f>BOM_spec!P26</f>
        <v>15</v>
      </c>
      <c r="P21" s="13">
        <f>BOM_spec!Q26</f>
        <v>0</v>
      </c>
      <c r="Q21" s="14" t="str">
        <f>BOM_spec!R26</f>
        <v>Min. wire size</v>
      </c>
      <c r="R21" s="75" t="str">
        <f>BOM_spec!S26</f>
        <v>26AWG or thinner</v>
      </c>
      <c r="S21" s="76"/>
      <c r="T21" s="14" t="str">
        <f>BOM_spec!U26</f>
        <v>Max. wire size</v>
      </c>
      <c r="U21" s="75" t="str">
        <f>BOM_spec!V26</f>
        <v>12AWG or fatter</v>
      </c>
      <c r="V21" s="76"/>
      <c r="W21" s="14">
        <f>BOM_spec!X26</f>
        <v>0</v>
      </c>
      <c r="X21" s="12">
        <f>BOM_spec!Y26</f>
        <v>0</v>
      </c>
      <c r="Y21" s="15">
        <f>BOM_spec!Z26</f>
        <v>0</v>
      </c>
    </row>
    <row r="22" spans="1:25">
      <c r="A22" s="9" t="str">
        <f>BOM_spec!A27</f>
        <v>L1</v>
      </c>
      <c r="B22" s="10" t="str">
        <f>BOM_spec!B27</f>
        <v>Inductor</v>
      </c>
      <c r="C22" s="10" t="str">
        <f>BOM_spec!C27</f>
        <v>Any</v>
      </c>
      <c r="D22" s="42" t="str">
        <f>BOM_spec!D27</f>
        <v>12.5mm x 12.5mm x 6.0mm</v>
      </c>
      <c r="E22" s="10">
        <f>BOM_spec!F27</f>
        <v>1864449</v>
      </c>
      <c r="F22" s="62">
        <f>VLOOKUP(E22,BOM_spec!F24:G90,2,FALSE)</f>
        <v>1.2</v>
      </c>
      <c r="G22" s="45">
        <f>BOM_spec!H27</f>
        <v>0.2</v>
      </c>
      <c r="H22" s="10" t="str">
        <f>BOM_spec!I27</f>
        <v>Yes</v>
      </c>
      <c r="I22" s="30">
        <f>BOM_spec!J27</f>
        <v>1</v>
      </c>
      <c r="J22" s="45">
        <f>BOM_spec!K27</f>
        <v>0.2</v>
      </c>
      <c r="K22" s="14" t="str">
        <f>BOM_spec!L27</f>
        <v>Inductance (H)</v>
      </c>
      <c r="L22" s="33">
        <f>BOM_spec!M27</f>
        <v>6.8000000000000001E-6</v>
      </c>
      <c r="M22" s="17">
        <f>BOM_spec!N27</f>
        <v>0</v>
      </c>
      <c r="N22" s="14" t="str">
        <f>BOM_spec!O27</f>
        <v>I_rms_max (A)</v>
      </c>
      <c r="O22" s="12">
        <f>BOM_spec!P27</f>
        <v>4.5</v>
      </c>
      <c r="P22" s="13">
        <f>BOM_spec!Q27</f>
        <v>0</v>
      </c>
      <c r="Q22" s="14" t="str">
        <f>BOM_spec!R27</f>
        <v>I_sat (A)</v>
      </c>
      <c r="R22" s="12">
        <f>BOM_spec!S27</f>
        <v>5</v>
      </c>
      <c r="S22" s="13">
        <f>BOM_spec!T27</f>
        <v>0</v>
      </c>
      <c r="T22" s="14">
        <f>BOM_spec!U27</f>
        <v>0</v>
      </c>
      <c r="U22" s="12">
        <f>BOM_spec!V27</f>
        <v>0</v>
      </c>
      <c r="V22" s="15">
        <f>BOM_spec!W27</f>
        <v>0</v>
      </c>
      <c r="W22" s="14">
        <f>BOM_spec!X27</f>
        <v>0</v>
      </c>
      <c r="X22" s="12">
        <f>BOM_spec!Y27</f>
        <v>0</v>
      </c>
      <c r="Y22" s="15">
        <f>BOM_spec!Z27</f>
        <v>0</v>
      </c>
    </row>
    <row r="23" spans="1:25">
      <c r="A23" s="9" t="str">
        <f>BOM_spec!A29</f>
        <v>Q2,3</v>
      </c>
      <c r="B23" s="10" t="str">
        <f>BOM_spec!B29</f>
        <v>Small-signal MOSFET</v>
      </c>
      <c r="C23" s="11" t="str">
        <f>BOM_spec!C29</f>
        <v>NXP</v>
      </c>
      <c r="D23" s="41" t="str">
        <f>BOM_spec!D29</f>
        <v>2N7002</v>
      </c>
      <c r="E23" s="11">
        <f>BOM_spec!F29</f>
        <v>1510761</v>
      </c>
      <c r="F23" s="62">
        <f>VLOOKUP(E23,BOM_spec!F25:G91,2,FALSE)</f>
        <v>1.2</v>
      </c>
      <c r="G23" s="45">
        <f>BOM_spec!H29</f>
        <v>1.9099999999999999E-2</v>
      </c>
      <c r="H23" s="10" t="str">
        <f>BOM_spec!I29</f>
        <v>No</v>
      </c>
      <c r="I23" s="30">
        <f>BOM_spec!J29</f>
        <v>2</v>
      </c>
      <c r="J23" s="45">
        <f>BOM_spec!K29</f>
        <v>3.8199999999999998E-2</v>
      </c>
      <c r="K23" s="14">
        <f>BOM_spec!L29</f>
        <v>0</v>
      </c>
      <c r="L23" s="47">
        <f>BOM_spec!M29</f>
        <v>0</v>
      </c>
      <c r="M23" s="35">
        <f>BOM_spec!N29</f>
        <v>0</v>
      </c>
      <c r="N23" s="14">
        <f>BOM_spec!O29</f>
        <v>0</v>
      </c>
      <c r="O23" s="12">
        <f>BOM_spec!P29</f>
        <v>0</v>
      </c>
      <c r="P23" s="18">
        <f>BOM_spec!Q29</f>
        <v>0</v>
      </c>
      <c r="Q23" s="14">
        <f>BOM_spec!R29</f>
        <v>0</v>
      </c>
      <c r="R23" s="19">
        <f>BOM_spec!S29</f>
        <v>0</v>
      </c>
      <c r="S23" s="13">
        <f>BOM_spec!T29</f>
        <v>0</v>
      </c>
      <c r="T23" s="14">
        <f>BOM_spec!U29</f>
        <v>0</v>
      </c>
      <c r="U23" s="12">
        <f>BOM_spec!V29</f>
        <v>0</v>
      </c>
      <c r="V23" s="13">
        <f>BOM_spec!W29</f>
        <v>0</v>
      </c>
      <c r="W23" s="14">
        <f>BOM_spec!X29</f>
        <v>0</v>
      </c>
      <c r="X23" s="12">
        <f>BOM_spec!Y29</f>
        <v>0</v>
      </c>
      <c r="Y23" s="13">
        <f>BOM_spec!Z29</f>
        <v>0</v>
      </c>
    </row>
    <row r="24" spans="1:25">
      <c r="A24" s="9" t="str">
        <f>BOM_spec!A30</f>
        <v>Q4(A/B),5(A/B)</v>
      </c>
      <c r="B24" s="10" t="str">
        <f>BOM_spec!B30</f>
        <v>Dual NPN transistor</v>
      </c>
      <c r="C24" s="11" t="str">
        <f>BOM_spec!C30</f>
        <v>On Semi</v>
      </c>
      <c r="D24" s="41" t="str">
        <f>BOM_spec!D30</f>
        <v>BC846BDW1T1G</v>
      </c>
      <c r="E24" s="11">
        <f>BOM_spec!F30</f>
        <v>2317636</v>
      </c>
      <c r="F24" s="62">
        <f>VLOOKUP(E24,BOM_spec!F26:G92,2,FALSE)</f>
        <v>1.2</v>
      </c>
      <c r="G24" s="45">
        <f>BOM_spec!H30</f>
        <v>2.75E-2</v>
      </c>
      <c r="H24" s="10" t="str">
        <f>BOM_spec!I30</f>
        <v>No</v>
      </c>
      <c r="I24" s="30">
        <f>BOM_spec!J30</f>
        <v>2</v>
      </c>
      <c r="J24" s="45">
        <f>BOM_spec!K30</f>
        <v>5.5E-2</v>
      </c>
      <c r="K24" s="14">
        <f>BOM_spec!L30</f>
        <v>0</v>
      </c>
      <c r="L24" s="57">
        <f>BOM_spec!M30</f>
        <v>0</v>
      </c>
      <c r="M24" s="56">
        <f>BOM_spec!N30</f>
        <v>0</v>
      </c>
      <c r="N24" s="14">
        <f>BOM_spec!O30</f>
        <v>0</v>
      </c>
      <c r="O24" s="12">
        <f>BOM_spec!P30</f>
        <v>0</v>
      </c>
      <c r="P24" s="18">
        <f>BOM_spec!Q30</f>
        <v>0</v>
      </c>
      <c r="Q24" s="14">
        <f>BOM_spec!R30</f>
        <v>0</v>
      </c>
      <c r="R24" s="19">
        <f>BOM_spec!S30</f>
        <v>0</v>
      </c>
      <c r="S24" s="13">
        <f>BOM_spec!T30</f>
        <v>0</v>
      </c>
      <c r="T24" s="14">
        <f>BOM_spec!U30</f>
        <v>0</v>
      </c>
      <c r="U24" s="12">
        <f>BOM_spec!V30</f>
        <v>0</v>
      </c>
      <c r="V24" s="13">
        <f>BOM_spec!W30</f>
        <v>0</v>
      </c>
      <c r="W24" s="14">
        <f>BOM_spec!X30</f>
        <v>0</v>
      </c>
      <c r="X24" s="12">
        <f>BOM_spec!Y30</f>
        <v>0</v>
      </c>
      <c r="Y24" s="13">
        <f>BOM_spec!Z30</f>
        <v>0</v>
      </c>
    </row>
    <row r="25" spans="1:25">
      <c r="A25" s="9" t="str">
        <f>BOM_spec!A31</f>
        <v>Q6</v>
      </c>
      <c r="B25" s="10" t="str">
        <f>BOM_spec!B31</f>
        <v>P-channel Power MOSFET</v>
      </c>
      <c r="C25" s="11" t="str">
        <f>BOM_spec!C31</f>
        <v>Vishay</v>
      </c>
      <c r="D25" s="41" t="str">
        <f>BOM_spec!D31</f>
        <v>SI7157DP-T1-GE3</v>
      </c>
      <c r="E25" s="11">
        <f>BOM_spec!F31</f>
        <v>2471947</v>
      </c>
      <c r="F25" s="62">
        <f>VLOOKUP(E25,BOM_spec!F27:G93,2,FALSE)</f>
        <v>1.2</v>
      </c>
      <c r="G25" s="45">
        <f>BOM_spec!H31</f>
        <v>4.1000000000000002E-2</v>
      </c>
      <c r="H25" s="10" t="str">
        <f>BOM_spec!I31</f>
        <v>Maybe</v>
      </c>
      <c r="I25" s="30">
        <f>BOM_spec!J31</f>
        <v>1</v>
      </c>
      <c r="J25" s="45">
        <f>BOM_spec!K31</f>
        <v>4.1000000000000002E-2</v>
      </c>
      <c r="K25" s="14">
        <f>BOM_spec!L31</f>
        <v>0</v>
      </c>
      <c r="L25" s="57">
        <f>BOM_spec!M31</f>
        <v>0</v>
      </c>
      <c r="M25" s="56">
        <f>BOM_spec!N31</f>
        <v>0</v>
      </c>
      <c r="N25" s="14">
        <f>BOM_spec!O31</f>
        <v>0</v>
      </c>
      <c r="O25" s="12">
        <f>BOM_spec!P31</f>
        <v>0</v>
      </c>
      <c r="P25" s="18">
        <f>BOM_spec!Q31</f>
        <v>0</v>
      </c>
      <c r="Q25" s="14">
        <f>BOM_spec!R31</f>
        <v>0</v>
      </c>
      <c r="R25" s="19">
        <f>BOM_spec!S31</f>
        <v>0</v>
      </c>
      <c r="S25" s="13">
        <f>BOM_spec!T31</f>
        <v>0</v>
      </c>
      <c r="T25" s="14">
        <f>BOM_spec!U31</f>
        <v>0</v>
      </c>
      <c r="U25" s="12">
        <f>BOM_spec!V31</f>
        <v>0</v>
      </c>
      <c r="V25" s="13">
        <f>BOM_spec!W31</f>
        <v>0</v>
      </c>
      <c r="W25" s="14">
        <f>BOM_spec!X31</f>
        <v>0</v>
      </c>
      <c r="X25" s="12">
        <f>BOM_spec!Y31</f>
        <v>0</v>
      </c>
      <c r="Y25" s="13">
        <f>BOM_spec!Z31</f>
        <v>0</v>
      </c>
    </row>
    <row r="26" spans="1:25">
      <c r="A26" s="9" t="str">
        <f>BOM_spec!A32</f>
        <v>R1</v>
      </c>
      <c r="B26" s="10" t="str">
        <f>BOM_spec!B32</f>
        <v>Resistor</v>
      </c>
      <c r="C26" s="11" t="str">
        <f>BOM_spec!C32</f>
        <v>Any</v>
      </c>
      <c r="D26" s="41" t="str">
        <f>BOM_spec!D32</f>
        <v>0603</v>
      </c>
      <c r="E26" s="11">
        <f>BOM_spec!F32</f>
        <v>2059548</v>
      </c>
      <c r="F26" s="62">
        <f>VLOOKUP(E26,BOM_spec!F28:G94,2,FALSE)</f>
        <v>2</v>
      </c>
      <c r="G26" s="45">
        <f>BOM_spec!H32</f>
        <v>1E-3</v>
      </c>
      <c r="H26" s="10" t="str">
        <f>BOM_spec!I32</f>
        <v>Yes</v>
      </c>
      <c r="I26" s="30">
        <f>BOM_spec!J32</f>
        <v>1</v>
      </c>
      <c r="J26" s="45">
        <f>BOM_spec!K32</f>
        <v>1E-3</v>
      </c>
      <c r="K26" s="14" t="str">
        <f>BOM_spec!L32</f>
        <v>Resistance (Ω)</v>
      </c>
      <c r="L26" s="71">
        <f>BOM_spec!M32</f>
        <v>10</v>
      </c>
      <c r="M26" s="72"/>
      <c r="N26" s="14" t="str">
        <f>BOM_spec!O32</f>
        <v>Tolerance</v>
      </c>
      <c r="O26" s="12">
        <f>BOM_spec!P32</f>
        <v>0</v>
      </c>
      <c r="P26" s="13">
        <f>BOM_spec!Q32</f>
        <v>0.05</v>
      </c>
      <c r="Q26" s="14">
        <f>BOM_spec!R32</f>
        <v>0</v>
      </c>
      <c r="R26" s="12">
        <f>BOM_spec!S32</f>
        <v>0</v>
      </c>
      <c r="S26" s="15">
        <f>BOM_spec!T32</f>
        <v>0</v>
      </c>
      <c r="T26" s="14">
        <f>BOM_spec!U32</f>
        <v>0</v>
      </c>
      <c r="U26" s="12">
        <f>BOM_spec!V32</f>
        <v>0</v>
      </c>
      <c r="V26" s="15">
        <f>BOM_spec!W32</f>
        <v>0</v>
      </c>
      <c r="W26" s="14">
        <f>BOM_spec!X32</f>
        <v>0</v>
      </c>
      <c r="X26" s="12">
        <f>BOM_spec!Y32</f>
        <v>0</v>
      </c>
      <c r="Y26" s="13">
        <f>BOM_spec!Z32</f>
        <v>0</v>
      </c>
    </row>
    <row r="27" spans="1:25">
      <c r="A27" s="9" t="str">
        <f>BOM_spec!A33</f>
        <v>R2</v>
      </c>
      <c r="B27" s="10" t="str">
        <f>BOM_spec!B33</f>
        <v>Resistor</v>
      </c>
      <c r="C27" s="11" t="str">
        <f>BOM_spec!C33</f>
        <v>Any</v>
      </c>
      <c r="D27" s="41" t="str">
        <f>BOM_spec!D33</f>
        <v>0603</v>
      </c>
      <c r="E27" s="11">
        <f>BOM_spec!F33</f>
        <v>9331620</v>
      </c>
      <c r="F27" s="62">
        <f>VLOOKUP(E27,BOM_spec!F29:G95,2,FALSE)</f>
        <v>2</v>
      </c>
      <c r="G27" s="45">
        <f>BOM_spec!H33</f>
        <v>5.0000000000000001E-3</v>
      </c>
      <c r="H27" s="10" t="str">
        <f>BOM_spec!I33</f>
        <v>Yes</v>
      </c>
      <c r="I27" s="30">
        <f>BOM_spec!J33</f>
        <v>1</v>
      </c>
      <c r="J27" s="45">
        <f>BOM_spec!K33</f>
        <v>5.0000000000000001E-3</v>
      </c>
      <c r="K27" s="14" t="str">
        <f>BOM_spec!L33</f>
        <v>Resistance (Ω)</v>
      </c>
      <c r="L27" s="71">
        <f>BOM_spec!M33</f>
        <v>91000</v>
      </c>
      <c r="M27" s="72"/>
      <c r="N27" s="14" t="str">
        <f>BOM_spec!O33</f>
        <v>Tolerance</v>
      </c>
      <c r="O27" s="12">
        <f>BOM_spec!P33</f>
        <v>0</v>
      </c>
      <c r="P27" s="13">
        <f>BOM_spec!Q33</f>
        <v>0.01</v>
      </c>
      <c r="Q27" s="14">
        <f>BOM_spec!R33</f>
        <v>0</v>
      </c>
      <c r="R27" s="12">
        <f>BOM_spec!S33</f>
        <v>0</v>
      </c>
      <c r="S27" s="13">
        <f>BOM_spec!T33</f>
        <v>0</v>
      </c>
      <c r="T27" s="14">
        <f>BOM_spec!U33</f>
        <v>0</v>
      </c>
      <c r="U27" s="12">
        <f>BOM_spec!V33</f>
        <v>0</v>
      </c>
      <c r="V27" s="13">
        <f>BOM_spec!W33</f>
        <v>0</v>
      </c>
      <c r="W27" s="14">
        <f>BOM_spec!X33</f>
        <v>0</v>
      </c>
      <c r="X27" s="12">
        <f>BOM_spec!Y33</f>
        <v>0</v>
      </c>
      <c r="Y27" s="13">
        <f>BOM_spec!Z33</f>
        <v>0</v>
      </c>
    </row>
    <row r="28" spans="1:25">
      <c r="A28" s="9" t="str">
        <f>BOM_spec!A34</f>
        <v>R3</v>
      </c>
      <c r="B28" s="10" t="str">
        <f>BOM_spec!B34</f>
        <v>Resistor</v>
      </c>
      <c r="C28" s="11" t="str">
        <f>BOM_spec!C34</f>
        <v>Any</v>
      </c>
      <c r="D28" s="41" t="str">
        <f>BOM_spec!D34</f>
        <v>0603</v>
      </c>
      <c r="E28" s="11">
        <f>BOM_spec!F34</f>
        <v>2332014</v>
      </c>
      <c r="F28" s="62">
        <f>VLOOKUP(E28,BOM_spec!F30:G96,2,FALSE)</f>
        <v>2</v>
      </c>
      <c r="G28" s="45">
        <f>BOM_spec!H34</f>
        <v>4.4999999999999997E-3</v>
      </c>
      <c r="H28" s="10" t="str">
        <f>BOM_spec!I34</f>
        <v>Yes</v>
      </c>
      <c r="I28" s="30">
        <f>BOM_spec!J34</f>
        <v>1</v>
      </c>
      <c r="J28" s="45">
        <f>BOM_spec!K34</f>
        <v>4.4999999999999997E-3</v>
      </c>
      <c r="K28" s="14" t="str">
        <f>BOM_spec!L34</f>
        <v>Resistance (Ω)</v>
      </c>
      <c r="L28" s="71">
        <f>BOM_spec!M34</f>
        <v>6800</v>
      </c>
      <c r="M28" s="72"/>
      <c r="N28" s="14" t="str">
        <f>BOM_spec!O34</f>
        <v>Tolerance</v>
      </c>
      <c r="O28" s="12">
        <f>BOM_spec!P34</f>
        <v>0</v>
      </c>
      <c r="P28" s="13">
        <f>BOM_spec!Q34</f>
        <v>0.01</v>
      </c>
      <c r="Q28" s="14">
        <f>BOM_spec!R34</f>
        <v>0</v>
      </c>
      <c r="R28" s="12">
        <f>BOM_spec!S34</f>
        <v>0</v>
      </c>
      <c r="S28" s="13">
        <f>BOM_spec!T34</f>
        <v>0</v>
      </c>
      <c r="T28" s="14">
        <f>BOM_spec!U34</f>
        <v>0</v>
      </c>
      <c r="U28" s="12">
        <f>BOM_spec!V34</f>
        <v>0</v>
      </c>
      <c r="V28" s="13">
        <f>BOM_spec!W34</f>
        <v>0</v>
      </c>
      <c r="W28" s="14">
        <f>BOM_spec!X34</f>
        <v>0</v>
      </c>
      <c r="X28" s="12">
        <f>BOM_spec!Y34</f>
        <v>0</v>
      </c>
      <c r="Y28" s="13">
        <f>BOM_spec!Z34</f>
        <v>0</v>
      </c>
    </row>
    <row r="29" spans="1:25">
      <c r="A29" s="9" t="str">
        <f>BOM_spec!A35</f>
        <v>R4</v>
      </c>
      <c r="B29" s="10" t="str">
        <f>BOM_spec!B35</f>
        <v>Resistor</v>
      </c>
      <c r="C29" s="10" t="str">
        <f>BOM_spec!C35</f>
        <v>Any</v>
      </c>
      <c r="D29" s="42" t="str">
        <f>BOM_spec!D35</f>
        <v>0603</v>
      </c>
      <c r="E29" s="10">
        <f>BOM_spec!F35</f>
        <v>1670209</v>
      </c>
      <c r="F29" s="62">
        <f>VLOOKUP(E29,BOM_spec!F31:G97,2,FALSE)</f>
        <v>2</v>
      </c>
      <c r="G29" s="45">
        <f>BOM_spec!H35</f>
        <v>3.6900000000000002E-2</v>
      </c>
      <c r="H29" s="10" t="str">
        <f>BOM_spec!I35</f>
        <v>Yes</v>
      </c>
      <c r="I29" s="30">
        <f>BOM_spec!J35</f>
        <v>1</v>
      </c>
      <c r="J29" s="45">
        <f>BOM_spec!K35</f>
        <v>3.6900000000000002E-2</v>
      </c>
      <c r="K29" s="14" t="str">
        <f>BOM_spec!L35</f>
        <v>Resistance (Ω)</v>
      </c>
      <c r="L29" s="71">
        <f>BOM_spec!M35</f>
        <v>300000</v>
      </c>
      <c r="M29" s="72"/>
      <c r="N29" s="14" t="str">
        <f>BOM_spec!O35</f>
        <v>Tolerance</v>
      </c>
      <c r="O29" s="12">
        <f>BOM_spec!P35</f>
        <v>0</v>
      </c>
      <c r="P29" s="13">
        <f>BOM_spec!Q35</f>
        <v>1E-3</v>
      </c>
      <c r="Q29" s="14">
        <f>BOM_spec!R35</f>
        <v>0</v>
      </c>
      <c r="R29" s="12">
        <f>BOM_spec!S35</f>
        <v>0</v>
      </c>
      <c r="S29" s="13">
        <f>BOM_spec!T35</f>
        <v>0</v>
      </c>
      <c r="T29" s="14">
        <f>BOM_spec!U35</f>
        <v>0</v>
      </c>
      <c r="U29" s="12">
        <f>BOM_spec!V35</f>
        <v>0</v>
      </c>
      <c r="V29" s="13">
        <f>BOM_spec!W35</f>
        <v>0</v>
      </c>
      <c r="W29" s="14">
        <f>BOM_spec!X35</f>
        <v>0</v>
      </c>
      <c r="X29" s="12">
        <f>BOM_spec!Y35</f>
        <v>0</v>
      </c>
      <c r="Y29" s="13">
        <f>BOM_spec!Z35</f>
        <v>0</v>
      </c>
    </row>
    <row r="30" spans="1:25">
      <c r="A30" s="9" t="str">
        <f>BOM_spec!A36</f>
        <v>R5</v>
      </c>
      <c r="B30" s="10" t="str">
        <f>BOM_spec!B36</f>
        <v>Resistor</v>
      </c>
      <c r="C30" s="10" t="str">
        <f>BOM_spec!C36</f>
        <v>Any</v>
      </c>
      <c r="D30" s="42" t="str">
        <f>BOM_spec!D36</f>
        <v>0805</v>
      </c>
      <c r="E30" s="10">
        <f>BOM_spec!F36</f>
        <v>1575985</v>
      </c>
      <c r="F30" s="62">
        <f>VLOOKUP(E30,BOM_spec!F32:G98,2,FALSE)</f>
        <v>2</v>
      </c>
      <c r="G30" s="45">
        <f>BOM_spec!H36</f>
        <v>3.9E-2</v>
      </c>
      <c r="H30" s="10" t="str">
        <f>BOM_spec!I36</f>
        <v>Yes</v>
      </c>
      <c r="I30" s="30">
        <f>BOM_spec!J36</f>
        <v>1</v>
      </c>
      <c r="J30" s="45">
        <f>BOM_spec!K36</f>
        <v>3.9E-2</v>
      </c>
      <c r="K30" s="14" t="str">
        <f>BOM_spec!L36</f>
        <v>Resistance (Ω)</v>
      </c>
      <c r="L30" s="71">
        <f>BOM_spec!M36</f>
        <v>53600</v>
      </c>
      <c r="M30" s="72"/>
      <c r="N30" s="14" t="str">
        <f>BOM_spec!O36</f>
        <v>Tolerance</v>
      </c>
      <c r="O30" s="12">
        <f>BOM_spec!P36</f>
        <v>0</v>
      </c>
      <c r="P30" s="13">
        <f>BOM_spec!Q36</f>
        <v>1E-3</v>
      </c>
      <c r="Q30" s="14">
        <f>BOM_spec!R36</f>
        <v>0</v>
      </c>
      <c r="R30" s="12">
        <f>BOM_spec!S36</f>
        <v>0</v>
      </c>
      <c r="S30" s="13">
        <f>BOM_spec!T36</f>
        <v>0</v>
      </c>
      <c r="T30" s="14">
        <f>BOM_spec!U36</f>
        <v>0</v>
      </c>
      <c r="U30" s="12">
        <f>BOM_spec!V36</f>
        <v>0</v>
      </c>
      <c r="V30" s="13">
        <f>BOM_spec!W36</f>
        <v>0</v>
      </c>
      <c r="W30" s="14">
        <f>BOM_spec!X36</f>
        <v>0</v>
      </c>
      <c r="X30" s="12">
        <f>BOM_spec!Y36</f>
        <v>0</v>
      </c>
      <c r="Y30" s="13">
        <f>BOM_spec!Z36</f>
        <v>0</v>
      </c>
    </row>
    <row r="31" spans="1:25">
      <c r="A31" s="9" t="str">
        <f>BOM_spec!A37</f>
        <v>R6</v>
      </c>
      <c r="B31" s="10" t="str">
        <f>BOM_spec!B37</f>
        <v>Resistor</v>
      </c>
      <c r="C31" s="10" t="str">
        <f>BOM_spec!C37</f>
        <v>Any</v>
      </c>
      <c r="D31" s="42" t="str">
        <f>BOM_spec!D37</f>
        <v>LRMAM1206-R01FT5</v>
      </c>
      <c r="E31" s="10">
        <f>BOM_spec!F37</f>
        <v>2079442</v>
      </c>
      <c r="F31" s="62">
        <f>VLOOKUP(E31,BOM_spec!F33:G99,2,FALSE)</f>
        <v>2</v>
      </c>
      <c r="G31" s="45">
        <f>BOM_spec!H37</f>
        <v>8.0799999999999997E-2</v>
      </c>
      <c r="H31" s="10" t="str">
        <f>BOM_spec!I37</f>
        <v>Yes</v>
      </c>
      <c r="I31" s="30">
        <f>BOM_spec!J37</f>
        <v>1</v>
      </c>
      <c r="J31" s="45">
        <f>BOM_spec!K37</f>
        <v>8.0799999999999997E-2</v>
      </c>
      <c r="K31" s="14" t="str">
        <f>BOM_spec!L37</f>
        <v>Resistance (Ω)</v>
      </c>
      <c r="L31" s="71">
        <f>BOM_spec!M37</f>
        <v>0.01</v>
      </c>
      <c r="M31" s="72"/>
      <c r="N31" s="14" t="str">
        <f>BOM_spec!O37</f>
        <v>Tolerance</v>
      </c>
      <c r="O31" s="12">
        <f>BOM_spec!P37</f>
        <v>0</v>
      </c>
      <c r="P31" s="13">
        <f>BOM_spec!Q37</f>
        <v>0.01</v>
      </c>
      <c r="Q31" s="14" t="str">
        <f>BOM_spec!R37</f>
        <v>Power (W)</v>
      </c>
      <c r="R31" s="16">
        <f>BOM_spec!S37</f>
        <v>1</v>
      </c>
      <c r="S31" s="17">
        <f>BOM_spec!T37</f>
        <v>0</v>
      </c>
      <c r="T31" s="14">
        <f>BOM_spec!U37</f>
        <v>0</v>
      </c>
      <c r="U31" s="12">
        <f>BOM_spec!V37</f>
        <v>0</v>
      </c>
      <c r="V31" s="13">
        <f>BOM_spec!W37</f>
        <v>0</v>
      </c>
      <c r="W31" s="14">
        <f>BOM_spec!X37</f>
        <v>0</v>
      </c>
      <c r="X31" s="12">
        <f>BOM_spec!Y37</f>
        <v>0</v>
      </c>
      <c r="Y31" s="13">
        <f>BOM_spec!Z37</f>
        <v>0</v>
      </c>
    </row>
    <row r="32" spans="1:25">
      <c r="A32" s="9" t="str">
        <f>BOM_spec!A38</f>
        <v>R7,30</v>
      </c>
      <c r="B32" s="10" t="str">
        <f>BOM_spec!B38</f>
        <v>Resistor</v>
      </c>
      <c r="C32" s="10" t="str">
        <f>BOM_spec!C38</f>
        <v>Any</v>
      </c>
      <c r="D32" s="42" t="str">
        <f>BOM_spec!D38</f>
        <v>0603</v>
      </c>
      <c r="E32" s="10">
        <f>BOM_spec!F38</f>
        <v>2059441</v>
      </c>
      <c r="F32" s="62">
        <f>VLOOKUP(E32,BOM_spec!F34:G100,2,FALSE)</f>
        <v>2</v>
      </c>
      <c r="G32" s="45">
        <f>BOM_spec!H38</f>
        <v>2.5000000000000001E-3</v>
      </c>
      <c r="H32" s="10" t="str">
        <f>BOM_spec!I38</f>
        <v>Yes</v>
      </c>
      <c r="I32" s="30">
        <f>BOM_spec!J38</f>
        <v>2</v>
      </c>
      <c r="J32" s="45">
        <f>BOM_spec!K38</f>
        <v>5.0000000000000001E-3</v>
      </c>
      <c r="K32" s="14" t="str">
        <f>BOM_spec!L38</f>
        <v>Resistance (Ω)</v>
      </c>
      <c r="L32" s="71">
        <f>BOM_spec!M38</f>
        <v>24000</v>
      </c>
      <c r="M32" s="72"/>
      <c r="N32" s="14" t="str">
        <f>BOM_spec!O38</f>
        <v>Tolerance</v>
      </c>
      <c r="O32" s="12">
        <f>BOM_spec!P38</f>
        <v>0</v>
      </c>
      <c r="P32" s="13">
        <f>BOM_spec!Q38</f>
        <v>0.01</v>
      </c>
      <c r="Q32" s="14">
        <f>BOM_spec!R38</f>
        <v>0</v>
      </c>
      <c r="R32" s="12">
        <f>BOM_spec!S38</f>
        <v>0</v>
      </c>
      <c r="S32" s="13">
        <f>BOM_spec!T38</f>
        <v>0</v>
      </c>
      <c r="T32" s="14">
        <f>BOM_spec!U38</f>
        <v>0</v>
      </c>
      <c r="U32" s="12">
        <f>BOM_spec!V38</f>
        <v>0</v>
      </c>
      <c r="V32" s="13">
        <f>BOM_spec!W38</f>
        <v>0</v>
      </c>
      <c r="W32" s="14">
        <f>BOM_spec!X38</f>
        <v>0</v>
      </c>
      <c r="X32" s="12">
        <f>BOM_spec!Y38</f>
        <v>0</v>
      </c>
      <c r="Y32" s="13">
        <f>BOM_spec!Z38</f>
        <v>0</v>
      </c>
    </row>
    <row r="33" spans="1:25">
      <c r="A33" s="9" t="str">
        <f>BOM_spec!A39</f>
        <v>R8</v>
      </c>
      <c r="B33" s="10" t="str">
        <f>BOM_spec!B39</f>
        <v>Resistor</v>
      </c>
      <c r="C33" s="10" t="str">
        <f>BOM_spec!C39</f>
        <v>Any</v>
      </c>
      <c r="D33" s="42" t="str">
        <f>BOM_spec!D39</f>
        <v>0603</v>
      </c>
      <c r="E33" s="10">
        <f>BOM_spec!F39</f>
        <v>2303207</v>
      </c>
      <c r="F33" s="62">
        <f>VLOOKUP(E33,BOM_spec!F35:G101,2,FALSE)</f>
        <v>2</v>
      </c>
      <c r="G33" s="45">
        <f>BOM_spec!H39</f>
        <v>3.2000000000000002E-3</v>
      </c>
      <c r="H33" s="10" t="str">
        <f>BOM_spec!I39</f>
        <v>Yes</v>
      </c>
      <c r="I33" s="30">
        <f>BOM_spec!J39</f>
        <v>1</v>
      </c>
      <c r="J33" s="45">
        <f>BOM_spec!K39</f>
        <v>3.2000000000000002E-3</v>
      </c>
      <c r="K33" s="14" t="str">
        <f>BOM_spec!L39</f>
        <v>Resistance (Ω)</v>
      </c>
      <c r="L33" s="71">
        <f>BOM_spec!M39</f>
        <v>36000</v>
      </c>
      <c r="M33" s="72"/>
      <c r="N33" s="14" t="str">
        <f>BOM_spec!O39</f>
        <v>Tolerance</v>
      </c>
      <c r="O33" s="12">
        <f>BOM_spec!P39</f>
        <v>0</v>
      </c>
      <c r="P33" s="13">
        <f>BOM_spec!Q39</f>
        <v>0.01</v>
      </c>
      <c r="Q33" s="14">
        <f>BOM_spec!R39</f>
        <v>0</v>
      </c>
      <c r="R33" s="16">
        <f>BOM_spec!S39</f>
        <v>0</v>
      </c>
      <c r="S33" s="17">
        <f>BOM_spec!T39</f>
        <v>0</v>
      </c>
      <c r="T33" s="14">
        <f>BOM_spec!U39</f>
        <v>0</v>
      </c>
      <c r="U33" s="12">
        <f>BOM_spec!V39</f>
        <v>0</v>
      </c>
      <c r="V33" s="13">
        <f>BOM_spec!W39</f>
        <v>0</v>
      </c>
      <c r="W33" s="14">
        <f>BOM_spec!X39</f>
        <v>0</v>
      </c>
      <c r="X33" s="12">
        <f>BOM_spec!Y39</f>
        <v>0</v>
      </c>
      <c r="Y33" s="13">
        <f>BOM_spec!Z39</f>
        <v>0</v>
      </c>
    </row>
    <row r="34" spans="1:25">
      <c r="A34" s="20" t="str">
        <f>BOM_spec!A40</f>
        <v>R9</v>
      </c>
      <c r="B34" s="10" t="str">
        <f>BOM_spec!B40</f>
        <v>Resistor</v>
      </c>
      <c r="C34" s="10" t="str">
        <f>BOM_spec!C40</f>
        <v>Any</v>
      </c>
      <c r="D34" s="42" t="str">
        <f>BOM_spec!D40</f>
        <v>0603</v>
      </c>
      <c r="E34" s="10">
        <f>BOM_spec!F40</f>
        <v>2447328</v>
      </c>
      <c r="F34" s="62">
        <f>VLOOKUP(E34,BOM_spec!F36:G102,2,FALSE)</f>
        <v>2</v>
      </c>
      <c r="G34" s="45">
        <f>BOM_spec!H40</f>
        <v>8.0000000000000004E-4</v>
      </c>
      <c r="H34" s="10" t="str">
        <f>BOM_spec!I40</f>
        <v>Yes</v>
      </c>
      <c r="I34" s="31">
        <f>BOM_spec!J40</f>
        <v>1</v>
      </c>
      <c r="J34" s="45">
        <f>BOM_spec!K40</f>
        <v>8.0000000000000004E-4</v>
      </c>
      <c r="K34" s="14" t="str">
        <f>BOM_spec!L40</f>
        <v>Resistance (Ω)</v>
      </c>
      <c r="L34" s="71">
        <f>BOM_spec!M40</f>
        <v>2.2000000000000002</v>
      </c>
      <c r="M34" s="72"/>
      <c r="N34" s="14" t="str">
        <f>BOM_spec!O40</f>
        <v>Tolerance</v>
      </c>
      <c r="O34" s="12">
        <f>BOM_spec!P40</f>
        <v>0</v>
      </c>
      <c r="P34" s="13">
        <f>BOM_spec!Q40</f>
        <v>0.05</v>
      </c>
      <c r="Q34" s="14">
        <f>BOM_spec!R40</f>
        <v>0</v>
      </c>
      <c r="R34" s="12">
        <f>BOM_spec!S40</f>
        <v>0</v>
      </c>
      <c r="S34" s="13">
        <f>BOM_spec!T40</f>
        <v>0</v>
      </c>
      <c r="T34" s="14">
        <f>BOM_spec!U40</f>
        <v>0</v>
      </c>
      <c r="U34" s="12">
        <f>BOM_spec!V40</f>
        <v>0</v>
      </c>
      <c r="V34" s="13">
        <f>BOM_spec!W40</f>
        <v>0</v>
      </c>
      <c r="W34" s="14">
        <f>BOM_spec!X40</f>
        <v>0</v>
      </c>
      <c r="X34" s="12">
        <f>BOM_spec!Y40</f>
        <v>0</v>
      </c>
      <c r="Y34" s="13">
        <f>BOM_spec!Z40</f>
        <v>0</v>
      </c>
    </row>
    <row r="35" spans="1:25">
      <c r="A35" s="20" t="str">
        <f>BOM_spec!A41</f>
        <v>R10</v>
      </c>
      <c r="B35" s="10" t="str">
        <f>BOM_spec!B41</f>
        <v>Resistor</v>
      </c>
      <c r="C35" s="10" t="str">
        <f>BOM_spec!C41</f>
        <v>Any</v>
      </c>
      <c r="D35" s="42" t="str">
        <f>BOM_spec!D41</f>
        <v>TLR3A20DR0015FTDG</v>
      </c>
      <c r="E35" s="10">
        <f>BOM_spec!F41</f>
        <v>2116014</v>
      </c>
      <c r="F35" s="62">
        <f>VLOOKUP(E35,BOM_spec!F37:G103,2,FALSE)</f>
        <v>2</v>
      </c>
      <c r="G35" s="45">
        <f>BOM_spec!H41</f>
        <v>0.255</v>
      </c>
      <c r="H35" s="10" t="str">
        <f>BOM_spec!I41</f>
        <v>Yes</v>
      </c>
      <c r="I35" s="30">
        <f>BOM_spec!J41</f>
        <v>1</v>
      </c>
      <c r="J35" s="45">
        <f>BOM_spec!K41</f>
        <v>0.255</v>
      </c>
      <c r="K35" s="14" t="str">
        <f>BOM_spec!L41</f>
        <v>Resistance (Ω)</v>
      </c>
      <c r="L35" s="71">
        <f>BOM_spec!M41</f>
        <v>1.5E-3</v>
      </c>
      <c r="M35" s="72"/>
      <c r="N35" s="14" t="str">
        <f>BOM_spec!O41</f>
        <v>Tolerance</v>
      </c>
      <c r="O35" s="12">
        <f>BOM_spec!P41</f>
        <v>0</v>
      </c>
      <c r="P35" s="13">
        <f>BOM_spec!Q41</f>
        <v>0.01</v>
      </c>
      <c r="Q35" s="14" t="str">
        <f>BOM_spec!R41</f>
        <v>Power (W)</v>
      </c>
      <c r="R35" s="12">
        <f>BOM_spec!S41</f>
        <v>0.5</v>
      </c>
      <c r="S35" s="13">
        <f>BOM_spec!T41</f>
        <v>0</v>
      </c>
      <c r="T35" s="14">
        <f>BOM_spec!U41</f>
        <v>0</v>
      </c>
      <c r="U35" s="12">
        <f>BOM_spec!V41</f>
        <v>0</v>
      </c>
      <c r="V35" s="13">
        <f>BOM_spec!W41</f>
        <v>0</v>
      </c>
      <c r="W35" s="14">
        <f>BOM_spec!X41</f>
        <v>0</v>
      </c>
      <c r="X35" s="12">
        <f>BOM_spec!Y41</f>
        <v>0</v>
      </c>
      <c r="Y35" s="13">
        <f>BOM_spec!Z41</f>
        <v>0</v>
      </c>
    </row>
    <row r="36" spans="1:25">
      <c r="A36" s="20" t="str">
        <f>BOM_spec!A42</f>
        <v>R11,12</v>
      </c>
      <c r="B36" s="10" t="str">
        <f>BOM_spec!B42</f>
        <v>Resistor</v>
      </c>
      <c r="C36" s="10" t="str">
        <f>BOM_spec!C42</f>
        <v>Any</v>
      </c>
      <c r="D36" s="42" t="str">
        <f>BOM_spec!D42</f>
        <v>0603</v>
      </c>
      <c r="E36" s="10">
        <f>BOM_spec!F42</f>
        <v>2309107</v>
      </c>
      <c r="F36" s="62">
        <f>VLOOKUP(E36,BOM_spec!F38:G104,2,FALSE)</f>
        <v>2</v>
      </c>
      <c r="G36" s="45">
        <f>BOM_spec!H42</f>
        <v>2E-3</v>
      </c>
      <c r="H36" s="10" t="str">
        <f>BOM_spec!I42</f>
        <v>Yes</v>
      </c>
      <c r="I36" s="31">
        <f>BOM_spec!J42</f>
        <v>2</v>
      </c>
      <c r="J36" s="45">
        <f>BOM_spec!K42</f>
        <v>4.0000000000000001E-3</v>
      </c>
      <c r="K36" s="14" t="str">
        <f>BOM_spec!L42</f>
        <v>Resistance (Ω)</v>
      </c>
      <c r="L36" s="71">
        <f>BOM_spec!M42</f>
        <v>100000</v>
      </c>
      <c r="M36" s="72"/>
      <c r="N36" s="14" t="str">
        <f>BOM_spec!O42</f>
        <v>Tolerance</v>
      </c>
      <c r="O36" s="12">
        <f>BOM_spec!P42</f>
        <v>0</v>
      </c>
      <c r="P36" s="13">
        <f>BOM_spec!Q42</f>
        <v>0.05</v>
      </c>
      <c r="Q36" s="14">
        <f>BOM_spec!R42</f>
        <v>0</v>
      </c>
      <c r="R36" s="12">
        <f>BOM_spec!S42</f>
        <v>0</v>
      </c>
      <c r="S36" s="13">
        <f>BOM_spec!T42</f>
        <v>0</v>
      </c>
      <c r="T36" s="14">
        <f>BOM_spec!U42</f>
        <v>0</v>
      </c>
      <c r="U36" s="12">
        <f>BOM_spec!V42</f>
        <v>0</v>
      </c>
      <c r="V36" s="13">
        <f>BOM_spec!W42</f>
        <v>0</v>
      </c>
      <c r="W36" s="14">
        <f>BOM_spec!X42</f>
        <v>0</v>
      </c>
      <c r="X36" s="12">
        <f>BOM_spec!Y42</f>
        <v>0</v>
      </c>
      <c r="Y36" s="13">
        <f>BOM_spec!Z42</f>
        <v>0</v>
      </c>
    </row>
    <row r="37" spans="1:25">
      <c r="A37" s="20" t="str">
        <f>BOM_spec!A43</f>
        <v>R13</v>
      </c>
      <c r="B37" s="10" t="str">
        <f>BOM_spec!B43</f>
        <v>Resistor</v>
      </c>
      <c r="C37" s="10" t="str">
        <f>BOM_spec!C43</f>
        <v>Any</v>
      </c>
      <c r="D37" s="42" t="str">
        <f>BOM_spec!D43</f>
        <v>0603</v>
      </c>
      <c r="E37" s="10">
        <f>BOM_spec!F43</f>
        <v>2138612</v>
      </c>
      <c r="F37" s="62">
        <f>VLOOKUP(E37,BOM_spec!F39:G105,2,FALSE)</f>
        <v>2</v>
      </c>
      <c r="G37" s="45">
        <f>BOM_spec!H43</f>
        <v>3.3999999999999998E-3</v>
      </c>
      <c r="H37" s="10" t="str">
        <f>BOM_spec!I43</f>
        <v>Yes</v>
      </c>
      <c r="I37" s="31">
        <f>BOM_spec!J43</f>
        <v>1</v>
      </c>
      <c r="J37" s="45">
        <f>BOM_spec!K43</f>
        <v>3.3999999999999998E-3</v>
      </c>
      <c r="K37" s="14" t="str">
        <f>BOM_spec!L43</f>
        <v>Resistance (Ω)</v>
      </c>
      <c r="L37" s="71">
        <f>BOM_spec!M43</f>
        <v>1100000</v>
      </c>
      <c r="M37" s="72"/>
      <c r="N37" s="14" t="str">
        <f>BOM_spec!O43</f>
        <v>Tolerance</v>
      </c>
      <c r="O37" s="12">
        <f>BOM_spec!P43</f>
        <v>0</v>
      </c>
      <c r="P37" s="13">
        <f>BOM_spec!Q43</f>
        <v>0.01</v>
      </c>
      <c r="Q37" s="14">
        <f>BOM_spec!R43</f>
        <v>0</v>
      </c>
      <c r="R37" s="12">
        <f>BOM_spec!S43</f>
        <v>0</v>
      </c>
      <c r="S37" s="13">
        <f>BOM_spec!T43</f>
        <v>0</v>
      </c>
      <c r="T37" s="14">
        <f>BOM_spec!U43</f>
        <v>0</v>
      </c>
      <c r="U37" s="12">
        <f>BOM_spec!V43</f>
        <v>0</v>
      </c>
      <c r="V37" s="13">
        <f>BOM_spec!W43</f>
        <v>0</v>
      </c>
      <c r="W37" s="14">
        <f>BOM_spec!X43</f>
        <v>0</v>
      </c>
      <c r="X37" s="12">
        <f>BOM_spec!Y43</f>
        <v>0</v>
      </c>
      <c r="Y37" s="13">
        <f>BOM_spec!Z43</f>
        <v>0</v>
      </c>
    </row>
    <row r="38" spans="1:25">
      <c r="A38" s="20" t="str">
        <f>BOM_spec!A44</f>
        <v>R14</v>
      </c>
      <c r="B38" s="10" t="str">
        <f>BOM_spec!B44</f>
        <v>Resistor</v>
      </c>
      <c r="C38" s="11" t="str">
        <f>BOM_spec!C44</f>
        <v>Any</v>
      </c>
      <c r="D38" s="41" t="str">
        <f>BOM_spec!D44</f>
        <v>0603</v>
      </c>
      <c r="E38" s="11">
        <f>BOM_spec!F44</f>
        <v>9238689</v>
      </c>
      <c r="F38" s="62">
        <f>VLOOKUP(E38,BOM_spec!F40:G106,2,FALSE)</f>
        <v>2</v>
      </c>
      <c r="G38" s="45">
        <f>BOM_spec!H44</f>
        <v>4.3E-3</v>
      </c>
      <c r="H38" s="10" t="str">
        <f>BOM_spec!I44</f>
        <v>Yes</v>
      </c>
      <c r="I38" s="30">
        <f>BOM_spec!J44</f>
        <v>1</v>
      </c>
      <c r="J38" s="45">
        <f>BOM_spec!K44</f>
        <v>4.3E-3</v>
      </c>
      <c r="K38" s="14" t="str">
        <f>BOM_spec!L44</f>
        <v>Resistance (Ω)</v>
      </c>
      <c r="L38" s="71">
        <f>BOM_spec!M44</f>
        <v>47000</v>
      </c>
      <c r="M38" s="72"/>
      <c r="N38" s="14" t="str">
        <f>BOM_spec!O44</f>
        <v>Tolerance</v>
      </c>
      <c r="O38" s="12">
        <f>BOM_spec!P44</f>
        <v>0</v>
      </c>
      <c r="P38" s="13">
        <f>BOM_spec!Q44</f>
        <v>0.01</v>
      </c>
      <c r="Q38" s="14">
        <f>BOM_spec!R44</f>
        <v>0</v>
      </c>
      <c r="R38" s="12">
        <f>BOM_spec!S44</f>
        <v>0</v>
      </c>
      <c r="S38" s="13">
        <f>BOM_spec!T44</f>
        <v>0</v>
      </c>
      <c r="T38" s="14">
        <f>BOM_spec!U44</f>
        <v>0</v>
      </c>
      <c r="U38" s="12">
        <f>BOM_spec!V44</f>
        <v>0</v>
      </c>
      <c r="V38" s="13">
        <f>BOM_spec!W44</f>
        <v>0</v>
      </c>
      <c r="W38" s="14">
        <f>BOM_spec!X44</f>
        <v>0</v>
      </c>
      <c r="X38" s="12">
        <f>BOM_spec!Y44</f>
        <v>0</v>
      </c>
      <c r="Y38" s="13">
        <f>BOM_spec!Z44</f>
        <v>0</v>
      </c>
    </row>
    <row r="39" spans="1:25">
      <c r="A39" s="20" t="str">
        <f>BOM_spec!A45</f>
        <v>R15</v>
      </c>
      <c r="B39" s="10" t="str">
        <f>BOM_spec!B45</f>
        <v>Resistor</v>
      </c>
      <c r="C39" s="11" t="str">
        <f>BOM_spec!C45</f>
        <v>Any</v>
      </c>
      <c r="D39" s="41" t="str">
        <f>BOM_spec!D45</f>
        <v>0603</v>
      </c>
      <c r="E39" s="10">
        <f>BOM_spec!F45</f>
        <v>2502462</v>
      </c>
      <c r="F39" s="62">
        <f>VLOOKUP(E39,BOM_spec!F41:G107,2,FALSE)</f>
        <v>2</v>
      </c>
      <c r="G39" s="45">
        <f>BOM_spec!H45</f>
        <v>1.1000000000000001E-3</v>
      </c>
      <c r="H39" s="10" t="str">
        <f>BOM_spec!I45</f>
        <v>Yes</v>
      </c>
      <c r="I39" s="31">
        <f>BOM_spec!J45</f>
        <v>1</v>
      </c>
      <c r="J39" s="45">
        <f>BOM_spec!K45</f>
        <v>1.1000000000000001E-3</v>
      </c>
      <c r="K39" s="14" t="str">
        <f>BOM_spec!L45</f>
        <v>Resistance (Ω)</v>
      </c>
      <c r="L39" s="71">
        <f>BOM_spec!M45</f>
        <v>470</v>
      </c>
      <c r="M39" s="72"/>
      <c r="N39" s="14" t="str">
        <f>BOM_spec!O45</f>
        <v>Tolerance</v>
      </c>
      <c r="O39" s="12">
        <f>BOM_spec!P45</f>
        <v>0</v>
      </c>
      <c r="P39" s="13">
        <f>BOM_spec!Q45</f>
        <v>0.05</v>
      </c>
      <c r="Q39" s="14">
        <f>BOM_spec!R45</f>
        <v>0</v>
      </c>
      <c r="R39" s="12">
        <f>BOM_spec!S45</f>
        <v>0</v>
      </c>
      <c r="S39" s="13">
        <f>BOM_spec!T45</f>
        <v>0</v>
      </c>
      <c r="T39" s="14">
        <f>BOM_spec!U45</f>
        <v>0</v>
      </c>
      <c r="U39" s="12">
        <f>BOM_spec!V45</f>
        <v>0</v>
      </c>
      <c r="V39" s="13">
        <f>BOM_spec!W45</f>
        <v>0</v>
      </c>
      <c r="W39" s="14">
        <f>BOM_spec!X45</f>
        <v>0</v>
      </c>
      <c r="X39" s="12">
        <f>BOM_spec!Y45</f>
        <v>0</v>
      </c>
      <c r="Y39" s="13">
        <f>BOM_spec!Z45</f>
        <v>0</v>
      </c>
    </row>
    <row r="40" spans="1:25">
      <c r="A40" s="20" t="str">
        <f>BOM_spec!A46</f>
        <v>R16,20,21</v>
      </c>
      <c r="B40" s="10" t="str">
        <f>BOM_spec!B46</f>
        <v>Resistor</v>
      </c>
      <c r="C40" s="11" t="str">
        <f>BOM_spec!C46</f>
        <v>Any</v>
      </c>
      <c r="D40" s="41" t="str">
        <f>BOM_spec!D46</f>
        <v>0603</v>
      </c>
      <c r="E40" s="10">
        <f>BOM_spec!F46</f>
        <v>2502463</v>
      </c>
      <c r="F40" s="62">
        <f>VLOOKUP(E40,BOM_spec!F42:G108,2,FALSE)</f>
        <v>2</v>
      </c>
      <c r="G40" s="45">
        <f>BOM_spec!H46</f>
        <v>1.2999999999999999E-3</v>
      </c>
      <c r="H40" s="10" t="str">
        <f>BOM_spec!I46</f>
        <v>Yes</v>
      </c>
      <c r="I40" s="31">
        <f>BOM_spec!J46</f>
        <v>3</v>
      </c>
      <c r="J40" s="45">
        <f>BOM_spec!K46</f>
        <v>3.8999999999999998E-3</v>
      </c>
      <c r="K40" s="14" t="str">
        <f>BOM_spec!L46</f>
        <v>Resistance (Ω)</v>
      </c>
      <c r="L40" s="71">
        <f>BOM_spec!M46</f>
        <v>4700</v>
      </c>
      <c r="M40" s="72"/>
      <c r="N40" s="14" t="str">
        <f>BOM_spec!O46</f>
        <v>Tolerance</v>
      </c>
      <c r="O40" s="12">
        <f>BOM_spec!P46</f>
        <v>0</v>
      </c>
      <c r="P40" s="13">
        <f>BOM_spec!Q46</f>
        <v>0.05</v>
      </c>
      <c r="Q40" s="14">
        <f>BOM_spec!R46</f>
        <v>0</v>
      </c>
      <c r="R40" s="12">
        <f>BOM_spec!S46</f>
        <v>0</v>
      </c>
      <c r="S40" s="13">
        <f>BOM_spec!T46</f>
        <v>0</v>
      </c>
      <c r="T40" s="14">
        <f>BOM_spec!U46</f>
        <v>0</v>
      </c>
      <c r="U40" s="12">
        <f>BOM_spec!V46</f>
        <v>0</v>
      </c>
      <c r="V40" s="13">
        <f>BOM_spec!W46</f>
        <v>0</v>
      </c>
      <c r="W40" s="14">
        <f>BOM_spec!X46</f>
        <v>0</v>
      </c>
      <c r="X40" s="12">
        <f>BOM_spec!Y46</f>
        <v>0</v>
      </c>
      <c r="Y40" s="13">
        <f>BOM_spec!Z46</f>
        <v>0</v>
      </c>
    </row>
    <row r="41" spans="1:25">
      <c r="A41" s="20" t="str">
        <f>BOM_spec!A47</f>
        <v>R17</v>
      </c>
      <c r="B41" s="10" t="str">
        <f>BOM_spec!B47</f>
        <v>Resistor</v>
      </c>
      <c r="C41" s="11" t="str">
        <f>BOM_spec!C47</f>
        <v>Any</v>
      </c>
      <c r="D41" s="41" t="str">
        <f>BOM_spec!D47</f>
        <v>0603</v>
      </c>
      <c r="E41" s="10">
        <f>BOM_spec!F47</f>
        <v>2502453</v>
      </c>
      <c r="F41" s="62">
        <f>VLOOKUP(E41,BOM_spec!F43:G109,2,FALSE)</f>
        <v>2</v>
      </c>
      <c r="G41" s="45">
        <f>BOM_spec!H47</f>
        <v>1.2999999999999999E-3</v>
      </c>
      <c r="H41" s="10" t="str">
        <f>BOM_spec!I47</f>
        <v>Yes</v>
      </c>
      <c r="I41" s="31">
        <f>BOM_spec!J47</f>
        <v>1</v>
      </c>
      <c r="J41" s="45">
        <f>BOM_spec!K47</f>
        <v>1.2999999999999999E-3</v>
      </c>
      <c r="K41" s="14" t="str">
        <f>BOM_spec!L47</f>
        <v>Resistance (Ω)</v>
      </c>
      <c r="L41" s="71">
        <f>BOM_spec!M47</f>
        <v>3600</v>
      </c>
      <c r="M41" s="72"/>
      <c r="N41" s="14" t="str">
        <f>BOM_spec!O47</f>
        <v>Tolerance</v>
      </c>
      <c r="O41" s="12">
        <f>BOM_spec!P47</f>
        <v>0</v>
      </c>
      <c r="P41" s="13">
        <f>BOM_spec!Q47</f>
        <v>0.01</v>
      </c>
      <c r="Q41" s="14">
        <f>BOM_spec!R47</f>
        <v>0</v>
      </c>
      <c r="R41" s="12">
        <f>BOM_spec!S47</f>
        <v>0</v>
      </c>
      <c r="S41" s="13">
        <f>BOM_spec!T47</f>
        <v>0</v>
      </c>
      <c r="T41" s="14">
        <f>BOM_spec!U47</f>
        <v>0</v>
      </c>
      <c r="U41" s="12">
        <f>BOM_spec!V47</f>
        <v>0</v>
      </c>
      <c r="V41" s="13">
        <f>BOM_spec!W47</f>
        <v>0</v>
      </c>
      <c r="W41" s="14">
        <f>BOM_spec!X47</f>
        <v>0</v>
      </c>
      <c r="X41" s="12">
        <f>BOM_spec!Y47</f>
        <v>0</v>
      </c>
      <c r="Y41" s="13">
        <f>BOM_spec!Z47</f>
        <v>0</v>
      </c>
    </row>
    <row r="42" spans="1:25">
      <c r="A42" s="20" t="str">
        <f>BOM_spec!A48</f>
        <v>R18</v>
      </c>
      <c r="B42" s="10" t="str">
        <f>BOM_spec!B48</f>
        <v>Resistor</v>
      </c>
      <c r="C42" s="11" t="str">
        <f>BOM_spec!C48</f>
        <v>Any</v>
      </c>
      <c r="D42" s="41" t="str">
        <f>BOM_spec!D48</f>
        <v>0603</v>
      </c>
      <c r="E42" s="10">
        <f>BOM_spec!F48</f>
        <v>2502431</v>
      </c>
      <c r="F42" s="62">
        <f>VLOOKUP(E42,BOM_spec!F44:G110,2,FALSE)</f>
        <v>2</v>
      </c>
      <c r="G42" s="45">
        <f>BOM_spec!H48</f>
        <v>1.2999999999999999E-3</v>
      </c>
      <c r="H42" s="10" t="str">
        <f>BOM_spec!I48</f>
        <v>Yes</v>
      </c>
      <c r="I42" s="31">
        <f>BOM_spec!J48</f>
        <v>1</v>
      </c>
      <c r="J42" s="45">
        <f>BOM_spec!K48</f>
        <v>1.2999999999999999E-3</v>
      </c>
      <c r="K42" s="14" t="str">
        <f>BOM_spec!L48</f>
        <v>Resistance (Ω)</v>
      </c>
      <c r="L42" s="71">
        <f>BOM_spec!M48</f>
        <v>2200</v>
      </c>
      <c r="M42" s="72"/>
      <c r="N42" s="14" t="str">
        <f>BOM_spec!O48</f>
        <v>Tolerance</v>
      </c>
      <c r="O42" s="12">
        <f>BOM_spec!P48</f>
        <v>0</v>
      </c>
      <c r="P42" s="13">
        <f>BOM_spec!Q48</f>
        <v>0.01</v>
      </c>
      <c r="Q42" s="14">
        <f>BOM_spec!R48</f>
        <v>0</v>
      </c>
      <c r="R42" s="12">
        <f>BOM_spec!S48</f>
        <v>0</v>
      </c>
      <c r="S42" s="13">
        <f>BOM_spec!T48</f>
        <v>0</v>
      </c>
      <c r="T42" s="14">
        <f>BOM_spec!U48</f>
        <v>0</v>
      </c>
      <c r="U42" s="12">
        <f>BOM_spec!V48</f>
        <v>0</v>
      </c>
      <c r="V42" s="13">
        <f>BOM_spec!W48</f>
        <v>0</v>
      </c>
      <c r="W42" s="14">
        <f>BOM_spec!X48</f>
        <v>0</v>
      </c>
      <c r="X42" s="12">
        <f>BOM_spec!Y48</f>
        <v>0</v>
      </c>
      <c r="Y42" s="13">
        <f>BOM_spec!Z48</f>
        <v>0</v>
      </c>
    </row>
    <row r="43" spans="1:25">
      <c r="A43" s="20" t="str">
        <f>BOM_spec!A49</f>
        <v>R19</v>
      </c>
      <c r="B43" s="10" t="str">
        <f>BOM_spec!B49</f>
        <v>Resistor</v>
      </c>
      <c r="C43" s="11" t="str">
        <f>BOM_spec!C49</f>
        <v>Any</v>
      </c>
      <c r="D43" s="42" t="str">
        <f>BOM_spec!D49</f>
        <v>0603</v>
      </c>
      <c r="E43" s="10">
        <f>BOM_spec!F49</f>
        <v>2502414</v>
      </c>
      <c r="F43" s="62">
        <f>VLOOKUP(E43,BOM_spec!F45:G111,2,FALSE)</f>
        <v>2</v>
      </c>
      <c r="G43" s="45">
        <f>BOM_spec!H49</f>
        <v>1.2999999999999999E-3</v>
      </c>
      <c r="H43" s="10" t="str">
        <f>BOM_spec!I49</f>
        <v>Yes</v>
      </c>
      <c r="I43" s="31">
        <f>BOM_spec!J49</f>
        <v>1</v>
      </c>
      <c r="J43" s="45">
        <f>BOM_spec!K49</f>
        <v>1.2999999999999999E-3</v>
      </c>
      <c r="K43" s="14" t="str">
        <f>BOM_spec!L49</f>
        <v>Resistance (Ω)</v>
      </c>
      <c r="L43" s="71">
        <f>BOM_spec!M49</f>
        <v>15000</v>
      </c>
      <c r="M43" s="72"/>
      <c r="N43" s="14" t="str">
        <f>BOM_spec!O49</f>
        <v>Tolerance</v>
      </c>
      <c r="O43" s="12">
        <f>BOM_spec!P49</f>
        <v>0</v>
      </c>
      <c r="P43" s="13">
        <f>BOM_spec!Q49</f>
        <v>0.01</v>
      </c>
      <c r="Q43" s="14">
        <f>BOM_spec!R49</f>
        <v>0</v>
      </c>
      <c r="R43" s="12">
        <f>BOM_spec!S49</f>
        <v>0</v>
      </c>
      <c r="S43" s="13">
        <f>BOM_spec!T49</f>
        <v>0</v>
      </c>
      <c r="T43" s="14">
        <f>BOM_spec!U49</f>
        <v>0</v>
      </c>
      <c r="U43" s="12">
        <f>BOM_spec!V49</f>
        <v>0</v>
      </c>
      <c r="V43" s="13">
        <f>BOM_spec!W49</f>
        <v>0</v>
      </c>
      <c r="W43" s="14">
        <f>BOM_spec!X49</f>
        <v>0</v>
      </c>
      <c r="X43" s="12">
        <f>BOM_spec!Y49</f>
        <v>0</v>
      </c>
      <c r="Y43" s="13">
        <f>BOM_spec!Z49</f>
        <v>0</v>
      </c>
    </row>
    <row r="44" spans="1:25">
      <c r="A44" s="20" t="e">
        <f>BOM_spec!#REF!</f>
        <v>#REF!</v>
      </c>
      <c r="B44" s="10" t="e">
        <f>BOM_spec!#REF!</f>
        <v>#REF!</v>
      </c>
      <c r="C44" s="11" t="e">
        <f>BOM_spec!#REF!</f>
        <v>#REF!</v>
      </c>
      <c r="D44" s="42" t="e">
        <f>BOM_spec!#REF!</f>
        <v>#REF!</v>
      </c>
      <c r="E44" s="10" t="e">
        <f>BOM_spec!#REF!</f>
        <v>#REF!</v>
      </c>
      <c r="F44" s="62" t="e">
        <f>VLOOKUP(E44,BOM_spec!F46:G112,2,FALSE)</f>
        <v>#REF!</v>
      </c>
      <c r="G44" s="45" t="e">
        <f>BOM_spec!#REF!</f>
        <v>#REF!</v>
      </c>
      <c r="H44" s="10" t="e">
        <f>BOM_spec!#REF!</f>
        <v>#REF!</v>
      </c>
      <c r="I44" s="31" t="e">
        <f>BOM_spec!#REF!</f>
        <v>#REF!</v>
      </c>
      <c r="J44" s="45" t="e">
        <f>BOM_spec!#REF!</f>
        <v>#REF!</v>
      </c>
      <c r="K44" s="14" t="e">
        <f>BOM_spec!#REF!</f>
        <v>#REF!</v>
      </c>
      <c r="L44" s="71" t="e">
        <f>BOM_spec!#REF!</f>
        <v>#REF!</v>
      </c>
      <c r="M44" s="72"/>
      <c r="N44" s="14" t="e">
        <f>BOM_spec!#REF!</f>
        <v>#REF!</v>
      </c>
      <c r="O44" s="12" t="e">
        <f>BOM_spec!#REF!</f>
        <v>#REF!</v>
      </c>
      <c r="P44" s="13" t="e">
        <f>BOM_spec!#REF!</f>
        <v>#REF!</v>
      </c>
      <c r="Q44" s="14" t="e">
        <f>BOM_spec!#REF!</f>
        <v>#REF!</v>
      </c>
      <c r="R44" s="12" t="e">
        <f>BOM_spec!#REF!</f>
        <v>#REF!</v>
      </c>
      <c r="S44" s="13" t="e">
        <f>BOM_spec!#REF!</f>
        <v>#REF!</v>
      </c>
      <c r="T44" s="14" t="e">
        <f>BOM_spec!#REF!</f>
        <v>#REF!</v>
      </c>
      <c r="U44" s="12" t="e">
        <f>BOM_spec!#REF!</f>
        <v>#REF!</v>
      </c>
      <c r="V44" s="13" t="e">
        <f>BOM_spec!#REF!</f>
        <v>#REF!</v>
      </c>
      <c r="W44" s="14" t="e">
        <f>BOM_spec!#REF!</f>
        <v>#REF!</v>
      </c>
      <c r="X44" s="12" t="e">
        <f>BOM_spec!#REF!</f>
        <v>#REF!</v>
      </c>
      <c r="Y44" s="13" t="e">
        <f>BOM_spec!#REF!</f>
        <v>#REF!</v>
      </c>
    </row>
    <row r="45" spans="1:25">
      <c r="A45" s="20" t="str">
        <f>BOM_spec!A51</f>
        <v>R24,25,26</v>
      </c>
      <c r="B45" s="10" t="str">
        <f>BOM_spec!B51</f>
        <v>Resistor</v>
      </c>
      <c r="C45" s="11" t="str">
        <f>BOM_spec!C51</f>
        <v>Any</v>
      </c>
      <c r="D45" s="42" t="str">
        <f>BOM_spec!D51</f>
        <v>0603</v>
      </c>
      <c r="E45" s="10">
        <f>BOM_spec!F51</f>
        <v>2303192</v>
      </c>
      <c r="F45" s="62">
        <f>VLOOKUP(E45,BOM_spec!F47:G113,2,FALSE)</f>
        <v>2</v>
      </c>
      <c r="G45" s="45">
        <f>BOM_spec!H51</f>
        <v>3.2000000000000002E-3</v>
      </c>
      <c r="H45" s="10" t="str">
        <f>BOM_spec!I51</f>
        <v>Yes</v>
      </c>
      <c r="I45" s="31">
        <f>BOM_spec!J51</f>
        <v>3</v>
      </c>
      <c r="J45" s="45">
        <f>BOM_spec!K51</f>
        <v>9.6000000000000009E-3</v>
      </c>
      <c r="K45" s="14" t="str">
        <f>BOM_spec!L51</f>
        <v>Resistance (Ω)</v>
      </c>
      <c r="L45" s="71">
        <f>BOM_spec!M51</f>
        <v>10000</v>
      </c>
      <c r="M45" s="72"/>
      <c r="N45" s="14" t="str">
        <f>BOM_spec!O51</f>
        <v>Tolerance</v>
      </c>
      <c r="O45" s="12">
        <f>BOM_spec!P51</f>
        <v>0</v>
      </c>
      <c r="P45" s="13">
        <f>BOM_spec!Q51</f>
        <v>0.01</v>
      </c>
      <c r="Q45" s="14">
        <f>BOM_spec!R51</f>
        <v>0</v>
      </c>
      <c r="R45" s="12">
        <f>BOM_spec!S51</f>
        <v>0</v>
      </c>
      <c r="S45" s="13">
        <f>BOM_spec!T51</f>
        <v>0</v>
      </c>
      <c r="T45" s="14">
        <f>BOM_spec!U51</f>
        <v>0</v>
      </c>
      <c r="U45" s="12">
        <f>BOM_spec!V51</f>
        <v>0</v>
      </c>
      <c r="V45" s="13">
        <f>BOM_spec!W51</f>
        <v>0</v>
      </c>
      <c r="W45" s="14">
        <f>BOM_spec!X51</f>
        <v>0</v>
      </c>
      <c r="X45" s="12">
        <f>BOM_spec!Y51</f>
        <v>0</v>
      </c>
      <c r="Y45" s="13">
        <f>BOM_spec!Z51</f>
        <v>0</v>
      </c>
    </row>
    <row r="46" spans="1:25">
      <c r="A46" s="20" t="str">
        <f>BOM_spec!A50</f>
        <v>R22,23</v>
      </c>
      <c r="B46" s="10" t="str">
        <f>BOM_spec!B50</f>
        <v>Resistor</v>
      </c>
      <c r="C46" s="11" t="str">
        <f>BOM_spec!C50</f>
        <v>Any</v>
      </c>
      <c r="D46" s="41" t="str">
        <f>BOM_spec!D50</f>
        <v>0603</v>
      </c>
      <c r="E46" s="10">
        <f>BOM_spec!F50</f>
        <v>2309107</v>
      </c>
      <c r="F46" s="62">
        <f>VLOOKUP(E46,BOM_spec!F48:G114,2,FALSE)</f>
        <v>2</v>
      </c>
      <c r="G46" s="45">
        <f>BOM_spec!H50</f>
        <v>2E-3</v>
      </c>
      <c r="H46" s="10" t="str">
        <f>BOM_spec!I50</f>
        <v>Yes</v>
      </c>
      <c r="I46" s="31">
        <f>BOM_spec!J50</f>
        <v>2</v>
      </c>
      <c r="J46" s="45">
        <f>BOM_spec!K50</f>
        <v>4.0000000000000001E-3</v>
      </c>
      <c r="K46" s="14" t="str">
        <f>BOM_spec!L50</f>
        <v>Resistance (Ω)</v>
      </c>
      <c r="L46" s="71">
        <f>BOM_spec!M50</f>
        <v>100000</v>
      </c>
      <c r="M46" s="72"/>
      <c r="N46" s="14" t="str">
        <f>BOM_spec!O50</f>
        <v>Tolerance</v>
      </c>
      <c r="O46" s="12">
        <f>BOM_spec!P50</f>
        <v>0</v>
      </c>
      <c r="P46" s="13">
        <f>BOM_spec!Q50</f>
        <v>0.01</v>
      </c>
      <c r="Q46" s="14">
        <f>BOM_spec!R50</f>
        <v>0</v>
      </c>
      <c r="R46" s="12">
        <f>BOM_spec!S50</f>
        <v>0</v>
      </c>
      <c r="S46" s="13">
        <f>BOM_spec!T50</f>
        <v>0</v>
      </c>
      <c r="T46" s="14">
        <f>BOM_spec!U50</f>
        <v>0</v>
      </c>
      <c r="U46" s="12">
        <f>BOM_spec!V50</f>
        <v>0</v>
      </c>
      <c r="V46" s="13">
        <f>BOM_spec!W50</f>
        <v>0</v>
      </c>
      <c r="W46" s="14">
        <f>BOM_spec!X50</f>
        <v>0</v>
      </c>
      <c r="X46" s="12">
        <f>BOM_spec!Y50</f>
        <v>0</v>
      </c>
      <c r="Y46" s="13">
        <f>BOM_spec!Z50</f>
        <v>0</v>
      </c>
    </row>
    <row r="47" spans="1:25">
      <c r="A47" s="20" t="str">
        <f>BOM_spec!A52</f>
        <v>R27</v>
      </c>
      <c r="B47" s="10" t="str">
        <f>BOM_spec!B52</f>
        <v>Resistor</v>
      </c>
      <c r="C47" s="11" t="str">
        <f>BOM_spec!C52</f>
        <v>Any</v>
      </c>
      <c r="D47" s="41" t="str">
        <f>BOM_spec!D52</f>
        <v>0603</v>
      </c>
      <c r="E47" s="10">
        <f>BOM_spec!F52</f>
        <v>2303145</v>
      </c>
      <c r="F47" s="62">
        <f>VLOOKUP(E47,BOM_spec!F49:G115,2,FALSE)</f>
        <v>2</v>
      </c>
      <c r="G47" s="45">
        <f>BOM_spec!H52</f>
        <v>3.2000000000000002E-3</v>
      </c>
      <c r="H47" s="10" t="str">
        <f>BOM_spec!I52</f>
        <v>Yes</v>
      </c>
      <c r="I47" s="31">
        <f>BOM_spec!J52</f>
        <v>1</v>
      </c>
      <c r="J47" s="45">
        <f>BOM_spec!K52</f>
        <v>3.2000000000000002E-3</v>
      </c>
      <c r="K47" s="14" t="str">
        <f>BOM_spec!L52</f>
        <v>Resistance (Ω)</v>
      </c>
      <c r="L47" s="71">
        <f>BOM_spec!M52</f>
        <v>1000</v>
      </c>
      <c r="M47" s="72"/>
      <c r="N47" s="14" t="str">
        <f>BOM_spec!O52</f>
        <v>Tolerance</v>
      </c>
      <c r="O47" s="12">
        <f>BOM_spec!P52</f>
        <v>0</v>
      </c>
      <c r="P47" s="13">
        <f>BOM_spec!Q52</f>
        <v>0.01</v>
      </c>
      <c r="Q47" s="14">
        <f>BOM_spec!R52</f>
        <v>0</v>
      </c>
      <c r="R47" s="12">
        <f>BOM_spec!S52</f>
        <v>0</v>
      </c>
      <c r="S47" s="13">
        <f>BOM_spec!T52</f>
        <v>0</v>
      </c>
      <c r="T47" s="14">
        <f>BOM_spec!U52</f>
        <v>0</v>
      </c>
      <c r="U47" s="12">
        <f>BOM_spec!V52</f>
        <v>0</v>
      </c>
      <c r="V47" s="13">
        <f>BOM_spec!W52</f>
        <v>0</v>
      </c>
      <c r="W47" s="14">
        <f>BOM_spec!X52</f>
        <v>0</v>
      </c>
      <c r="X47" s="12">
        <f>BOM_spec!Y52</f>
        <v>0</v>
      </c>
      <c r="Y47" s="13">
        <f>BOM_spec!Z52</f>
        <v>0</v>
      </c>
    </row>
    <row r="48" spans="1:25">
      <c r="A48" s="20" t="str">
        <f>BOM_spec!A53</f>
        <v>R28</v>
      </c>
      <c r="B48" s="10" t="str">
        <f>BOM_spec!B53</f>
        <v>Resistor</v>
      </c>
      <c r="C48" s="11" t="str">
        <f>BOM_spec!C53</f>
        <v>Any</v>
      </c>
      <c r="D48" s="41" t="str">
        <f>BOM_spec!D53</f>
        <v>0805</v>
      </c>
      <c r="E48" s="10">
        <f>BOM_spec!F53</f>
        <v>1653287</v>
      </c>
      <c r="F48" s="62">
        <f>VLOOKUP(E48,BOM_spec!F50:G116,2,FALSE)</f>
        <v>2</v>
      </c>
      <c r="G48" s="45">
        <f>BOM_spec!H53</f>
        <v>5.7099999999999998E-2</v>
      </c>
      <c r="H48" s="10" t="str">
        <f>BOM_spec!I53</f>
        <v>Yes</v>
      </c>
      <c r="I48" s="31">
        <f>BOM_spec!J53</f>
        <v>1</v>
      </c>
      <c r="J48" s="45">
        <f>BOM_spec!K53</f>
        <v>5.7099999999999998E-2</v>
      </c>
      <c r="K48" s="14" t="str">
        <f>BOM_spec!L53</f>
        <v>Resistance (Ω)</v>
      </c>
      <c r="L48" s="71">
        <f>BOM_spec!M53</f>
        <v>1000000</v>
      </c>
      <c r="M48" s="72"/>
      <c r="N48" s="14" t="str">
        <f>BOM_spec!O53</f>
        <v>Tolerance</v>
      </c>
      <c r="O48" s="12">
        <f>BOM_spec!P53</f>
        <v>0</v>
      </c>
      <c r="P48" s="13">
        <f>BOM_spec!Q53</f>
        <v>1E-3</v>
      </c>
      <c r="Q48" s="14">
        <f>BOM_spec!R53</f>
        <v>0</v>
      </c>
      <c r="R48" s="12">
        <f>BOM_spec!S53</f>
        <v>0</v>
      </c>
      <c r="S48" s="13">
        <f>BOM_spec!T53</f>
        <v>0</v>
      </c>
      <c r="T48" s="14">
        <f>BOM_spec!U53</f>
        <v>0</v>
      </c>
      <c r="U48" s="12">
        <f>BOM_spec!V53</f>
        <v>0</v>
      </c>
      <c r="V48" s="13">
        <f>BOM_spec!W53</f>
        <v>0</v>
      </c>
      <c r="W48" s="14">
        <f>BOM_spec!X53</f>
        <v>0</v>
      </c>
      <c r="X48" s="12">
        <f>BOM_spec!Y53</f>
        <v>0</v>
      </c>
      <c r="Y48" s="13">
        <f>BOM_spec!Z53</f>
        <v>0</v>
      </c>
    </row>
    <row r="49" spans="1:25">
      <c r="A49" s="20" t="str">
        <f>BOM_spec!A54</f>
        <v>R29</v>
      </c>
      <c r="B49" s="10" t="str">
        <f>BOM_spec!B54</f>
        <v>Resistor</v>
      </c>
      <c r="C49" s="11" t="str">
        <f>BOM_spec!C54</f>
        <v>Any</v>
      </c>
      <c r="D49" s="41" t="str">
        <f>BOM_spec!D54</f>
        <v>0603</v>
      </c>
      <c r="E49" s="10">
        <f>BOM_spec!F54</f>
        <v>1653254</v>
      </c>
      <c r="F49" s="62">
        <f>VLOOKUP(E49,BOM_spec!F51:G117,2,FALSE)</f>
        <v>2</v>
      </c>
      <c r="G49" s="45">
        <f>BOM_spec!H54</f>
        <v>5.7099999999999998E-2</v>
      </c>
      <c r="H49" s="10" t="str">
        <f>BOM_spec!I54</f>
        <v>Yes</v>
      </c>
      <c r="I49" s="31">
        <f>BOM_spec!J54</f>
        <v>1</v>
      </c>
      <c r="J49" s="45">
        <f>BOM_spec!K54</f>
        <v>5.7099999999999998E-2</v>
      </c>
      <c r="K49" s="14" t="str">
        <f>BOM_spec!L54</f>
        <v>Resistance (Ω)</v>
      </c>
      <c r="L49" s="71">
        <f>BOM_spec!M54</f>
        <v>100000</v>
      </c>
      <c r="M49" s="72"/>
      <c r="N49" s="14" t="str">
        <f>BOM_spec!O54</f>
        <v>Tolerance</v>
      </c>
      <c r="O49" s="12">
        <f>BOM_spec!P54</f>
        <v>0</v>
      </c>
      <c r="P49" s="13">
        <f>BOM_spec!Q54</f>
        <v>1E-3</v>
      </c>
      <c r="Q49" s="14">
        <f>BOM_spec!R54</f>
        <v>0</v>
      </c>
      <c r="R49" s="12">
        <f>BOM_spec!S54</f>
        <v>0</v>
      </c>
      <c r="S49" s="13">
        <f>BOM_spec!T54</f>
        <v>0</v>
      </c>
      <c r="T49" s="14">
        <f>BOM_spec!U54</f>
        <v>0</v>
      </c>
      <c r="U49" s="12">
        <f>BOM_spec!V54</f>
        <v>0</v>
      </c>
      <c r="V49" s="13">
        <f>BOM_spec!W54</f>
        <v>0</v>
      </c>
      <c r="W49" s="14">
        <f>BOM_spec!X54</f>
        <v>0</v>
      </c>
      <c r="X49" s="12">
        <f>BOM_spec!Y54</f>
        <v>0</v>
      </c>
      <c r="Y49" s="13">
        <f>BOM_spec!Z54</f>
        <v>0</v>
      </c>
    </row>
    <row r="50" spans="1:25">
      <c r="A50" s="20"/>
      <c r="B50" s="10" t="str">
        <f>BOM_spec!B58</f>
        <v>P-channel Power MOSFET</v>
      </c>
      <c r="C50" s="11"/>
      <c r="D50" s="41"/>
      <c r="E50" s="11">
        <f>BOM_spec!F58</f>
        <v>1831074</v>
      </c>
      <c r="F50" s="62">
        <f>VLOOKUP(E50,BOM_spec!F50:G118,2,FALSE)</f>
        <v>1</v>
      </c>
      <c r="G50" s="45"/>
      <c r="H50" s="10"/>
      <c r="I50" s="30">
        <f>BOM_spec!J58</f>
        <v>1</v>
      </c>
      <c r="J50" s="45"/>
      <c r="K50" s="14"/>
      <c r="L50" s="69"/>
      <c r="M50" s="70"/>
      <c r="N50" s="14"/>
      <c r="O50" s="12"/>
      <c r="P50" s="13"/>
      <c r="Q50" s="14"/>
      <c r="R50" s="12"/>
      <c r="S50" s="13"/>
      <c r="T50" s="14"/>
      <c r="U50" s="12"/>
      <c r="V50" s="13"/>
      <c r="W50" s="14"/>
      <c r="X50" s="12"/>
      <c r="Y50" s="13"/>
    </row>
    <row r="51" spans="1:25">
      <c r="A51" s="20"/>
      <c r="B51" s="10" t="str">
        <f>BOM_spec!B59</f>
        <v>Big testing resistor!</v>
      </c>
      <c r="C51" s="10"/>
      <c r="D51" s="42"/>
      <c r="E51" s="58">
        <f>BOM_spec!F59</f>
        <v>1259469</v>
      </c>
      <c r="F51" s="62">
        <f>VLOOKUP(E51,BOM_spec!F52:G119,2,FALSE)</f>
        <v>1</v>
      </c>
      <c r="G51" s="45"/>
      <c r="H51" s="10"/>
      <c r="I51" s="31">
        <f>BOM_spec!J59</f>
        <v>2</v>
      </c>
      <c r="J51" s="45"/>
      <c r="K51" s="14"/>
      <c r="L51" s="48"/>
      <c r="M51" s="51"/>
      <c r="N51" s="50"/>
      <c r="O51" s="12"/>
      <c r="P51" s="13"/>
      <c r="Q51" s="14"/>
      <c r="R51" s="12"/>
      <c r="S51" s="13"/>
      <c r="T51" s="14"/>
      <c r="U51" s="12"/>
      <c r="V51" s="13"/>
      <c r="W51" s="14"/>
      <c r="X51" s="12"/>
      <c r="Y51" s="13"/>
    </row>
    <row r="52" spans="1:25">
      <c r="A52" s="20"/>
      <c r="B52" s="10" t="str">
        <f>BOM_spec!B60</f>
        <v>LED washer</v>
      </c>
      <c r="C52" s="10"/>
      <c r="D52" s="42"/>
      <c r="E52" s="58">
        <f>BOM_spec!F60</f>
        <v>7047526</v>
      </c>
      <c r="F52" s="62">
        <f>VLOOKUP(E52,BOM_spec!F53:G120,2,FALSE)</f>
        <v>1</v>
      </c>
      <c r="G52" s="45"/>
      <c r="H52" s="10"/>
      <c r="I52" s="31">
        <f>BOM_spec!J60</f>
        <v>1</v>
      </c>
      <c r="J52" s="45"/>
      <c r="K52" s="14"/>
      <c r="L52" s="48"/>
      <c r="M52" s="51"/>
      <c r="N52" s="50"/>
      <c r="O52" s="12"/>
      <c r="P52" s="13"/>
      <c r="Q52" s="14"/>
      <c r="R52" s="12"/>
      <c r="S52" s="13"/>
      <c r="T52" s="14"/>
      <c r="U52" s="12"/>
      <c r="V52" s="13"/>
      <c r="W52" s="14"/>
      <c r="X52" s="12"/>
      <c r="Y52" s="13"/>
    </row>
    <row r="53" spans="1:25">
      <c r="A53" s="20"/>
      <c r="B53" s="10" t="str">
        <f>BOM_spec!B61</f>
        <v>LED for hallway</v>
      </c>
      <c r="C53" s="10"/>
      <c r="D53" s="42"/>
      <c r="E53" s="58">
        <f>BOM_spec!F61</f>
        <v>2336358</v>
      </c>
      <c r="F53" s="62">
        <f>VLOOKUP(E53,BOM_spec!F54:G121,2,FALSE)</f>
        <v>1</v>
      </c>
      <c r="G53" s="45"/>
      <c r="H53" s="10"/>
      <c r="I53" s="31">
        <f>BOM_spec!J61</f>
        <v>1</v>
      </c>
      <c r="J53" s="45"/>
      <c r="K53" s="14"/>
      <c r="L53" s="48"/>
      <c r="M53" s="51"/>
      <c r="N53" s="50"/>
      <c r="O53" s="12"/>
      <c r="P53" s="13"/>
      <c r="Q53" s="14"/>
      <c r="R53" s="12"/>
      <c r="S53" s="13"/>
      <c r="T53" s="14"/>
      <c r="U53" s="12"/>
      <c r="V53" s="13"/>
      <c r="W53" s="14"/>
      <c r="X53" s="12"/>
      <c r="Y53" s="13"/>
    </row>
    <row r="54" spans="1:25">
      <c r="A54" s="20"/>
      <c r="B54" s="10" t="str">
        <f>BOM_spec!B63</f>
        <v>Solder scraper</v>
      </c>
      <c r="C54" s="10"/>
      <c r="D54" s="42"/>
      <c r="E54" s="58">
        <f>BOM_spec!F63</f>
        <v>7167131</v>
      </c>
      <c r="F54" s="62">
        <f>VLOOKUP(E54,BOM_spec!F56:G123,2,FALSE)</f>
        <v>1</v>
      </c>
      <c r="G54" s="45"/>
      <c r="H54" s="10"/>
      <c r="I54" s="31">
        <f>BOM_spec!J63</f>
        <v>1</v>
      </c>
      <c r="J54" s="45"/>
      <c r="K54" s="14"/>
      <c r="L54" s="48"/>
      <c r="M54" s="51"/>
      <c r="N54" s="50"/>
      <c r="O54" s="12"/>
      <c r="P54" s="13"/>
      <c r="Q54" s="14"/>
      <c r="R54" s="12"/>
      <c r="S54" s="13"/>
      <c r="T54" s="14"/>
      <c r="U54" s="12"/>
      <c r="V54" s="13"/>
      <c r="W54" s="14"/>
      <c r="X54" s="12"/>
      <c r="Y54" s="13"/>
    </row>
    <row r="55" spans="1:25">
      <c r="A55" s="20"/>
      <c r="B55" s="10" t="str">
        <f>BOM_spec!B64</f>
        <v>Magnifier</v>
      </c>
      <c r="C55" s="10"/>
      <c r="D55" s="42"/>
      <c r="E55" s="58">
        <f>BOM_spec!F64</f>
        <v>1702971</v>
      </c>
      <c r="F55" s="62">
        <f>VLOOKUP(E55,BOM_spec!F57:G124,2,FALSE)</f>
        <v>1</v>
      </c>
      <c r="G55" s="45"/>
      <c r="H55" s="10"/>
      <c r="I55" s="31">
        <f>BOM_spec!J64</f>
        <v>1</v>
      </c>
      <c r="J55" s="45"/>
      <c r="K55" s="14"/>
      <c r="L55" s="48"/>
      <c r="M55" s="51"/>
      <c r="N55" s="50"/>
      <c r="O55" s="12"/>
      <c r="P55" s="13"/>
      <c r="Q55" s="14"/>
      <c r="R55" s="12"/>
      <c r="S55" s="13"/>
      <c r="T55" s="14"/>
      <c r="U55" s="12"/>
      <c r="V55" s="13"/>
      <c r="W55" s="14"/>
      <c r="X55" s="12"/>
      <c r="Y55" s="13"/>
    </row>
    <row r="56" spans="1:25">
      <c r="A56" s="20"/>
      <c r="B56" s="10" t="str">
        <f>BOM_spec!B65</f>
        <v>Temperature laser gun (for monitoring frying)</v>
      </c>
      <c r="C56" s="10"/>
      <c r="D56" s="42"/>
      <c r="E56" s="58">
        <f>BOM_spec!F65</f>
        <v>1836064</v>
      </c>
      <c r="F56" s="62">
        <f>VLOOKUP(E56,BOM_spec!F58:G125,2,FALSE)</f>
        <v>1</v>
      </c>
      <c r="G56" s="45"/>
      <c r="H56" s="10"/>
      <c r="I56" s="31">
        <f>BOM_spec!J65</f>
        <v>1</v>
      </c>
      <c r="J56" s="45"/>
      <c r="K56" s="14"/>
      <c r="L56" s="48"/>
      <c r="M56" s="51"/>
      <c r="N56" s="50"/>
      <c r="O56" s="12"/>
      <c r="P56" s="13"/>
      <c r="Q56" s="14"/>
      <c r="R56" s="12"/>
      <c r="S56" s="13"/>
      <c r="T56" s="14"/>
      <c r="U56" s="12"/>
      <c r="V56" s="13"/>
      <c r="W56" s="14"/>
      <c r="X56" s="12"/>
      <c r="Y56" s="13"/>
    </row>
    <row r="57" spans="1:25">
      <c r="A57" s="20"/>
      <c r="B57" s="10" t="str">
        <f>BOM_spec!B66</f>
        <v>Temperature probes (for monitoring air gun, and heat tests)</v>
      </c>
      <c r="C57" s="10"/>
      <c r="D57" s="42"/>
      <c r="E57" s="58">
        <f>BOM_spec!F66</f>
        <v>1438760</v>
      </c>
      <c r="F57" s="62">
        <f>VLOOKUP(E57,BOM_spec!F59:G126,2,FALSE)</f>
        <v>1</v>
      </c>
      <c r="G57" s="45"/>
      <c r="H57" s="10"/>
      <c r="I57" s="31">
        <f>BOM_spec!J66</f>
        <v>4</v>
      </c>
      <c r="J57" s="45"/>
      <c r="K57" s="14"/>
      <c r="L57" s="48"/>
      <c r="M57" s="51"/>
      <c r="N57" s="50"/>
      <c r="O57" s="12"/>
      <c r="P57" s="13"/>
      <c r="Q57" s="14"/>
      <c r="R57" s="12"/>
      <c r="S57" s="13"/>
      <c r="T57" s="14"/>
      <c r="U57" s="12"/>
      <c r="V57" s="13"/>
      <c r="W57" s="14"/>
      <c r="X57" s="12"/>
      <c r="Y57" s="13"/>
    </row>
    <row r="58" spans="1:25">
      <c r="A58" s="20"/>
      <c r="B58" s="10" t="str">
        <f>BOM_spec!B67</f>
        <v>Acetone or other solvent</v>
      </c>
      <c r="C58" s="10"/>
      <c r="D58" s="42"/>
      <c r="E58" s="58">
        <f>BOM_spec!F67</f>
        <v>1206535</v>
      </c>
      <c r="F58" s="62">
        <f>VLOOKUP(E58,BOM_spec!F60:G127,2,FALSE)</f>
        <v>1</v>
      </c>
      <c r="G58" s="45"/>
      <c r="H58" s="10"/>
      <c r="I58" s="31">
        <f>BOM_spec!J67</f>
        <v>1</v>
      </c>
      <c r="J58" s="45"/>
      <c r="K58" s="14"/>
      <c r="L58" s="48"/>
      <c r="M58" s="51"/>
      <c r="N58" s="50"/>
      <c r="O58" s="12"/>
      <c r="P58" s="13"/>
      <c r="Q58" s="14"/>
      <c r="R58" s="12"/>
      <c r="S58" s="13"/>
      <c r="T58" s="14"/>
      <c r="U58" s="12"/>
      <c r="V58" s="13"/>
      <c r="W58" s="14"/>
      <c r="X58" s="12"/>
      <c r="Y58" s="13"/>
    </row>
    <row r="59" spans="1:25">
      <c r="A59" s="20"/>
      <c r="B59" s="10" t="str">
        <f>BOM_spec!B68</f>
        <v>Anti static wristband</v>
      </c>
      <c r="C59" s="10"/>
      <c r="D59" s="42"/>
      <c r="E59" s="58">
        <f>BOM_spec!F68</f>
        <v>1521281</v>
      </c>
      <c r="F59" s="62">
        <f>VLOOKUP(E59,BOM_spec!F61:G128,2,FALSE)</f>
        <v>1</v>
      </c>
      <c r="G59" s="45"/>
      <c r="H59" s="10"/>
      <c r="I59" s="31">
        <f>BOM_spec!J68</f>
        <v>1</v>
      </c>
      <c r="J59" s="45"/>
      <c r="K59" s="14"/>
      <c r="L59" s="48"/>
      <c r="M59" s="51"/>
      <c r="N59" s="50"/>
      <c r="O59" s="12"/>
      <c r="P59" s="13"/>
      <c r="Q59" s="14"/>
      <c r="R59" s="12"/>
      <c r="S59" s="13"/>
      <c r="T59" s="14"/>
      <c r="U59" s="12"/>
      <c r="V59" s="13"/>
      <c r="W59" s="14"/>
      <c r="X59" s="12"/>
      <c r="Y59" s="13"/>
    </row>
    <row r="60" spans="1:25">
      <c r="A60" s="20"/>
      <c r="B60" s="10" t="str">
        <f>BOM_spec!B69</f>
        <v>Earth bonding plug</v>
      </c>
      <c r="C60" s="10"/>
      <c r="D60" s="42"/>
      <c r="E60" s="58">
        <f>BOM_spec!F69</f>
        <v>1687854</v>
      </c>
      <c r="F60" s="62">
        <f>VLOOKUP(E60,BOM_spec!F62:G129,2,FALSE)</f>
        <v>1</v>
      </c>
      <c r="G60" s="45"/>
      <c r="H60" s="10"/>
      <c r="I60" s="31">
        <f>BOM_spec!J69</f>
        <v>1</v>
      </c>
      <c r="J60" s="45"/>
      <c r="K60" s="14"/>
      <c r="L60" s="33"/>
      <c r="M60" s="35"/>
      <c r="N60" s="50"/>
      <c r="O60" s="12"/>
      <c r="P60" s="13"/>
      <c r="Q60" s="14"/>
      <c r="R60" s="12"/>
      <c r="S60" s="13"/>
      <c r="T60" s="14"/>
      <c r="U60" s="12"/>
      <c r="V60" s="13"/>
      <c r="W60" s="14"/>
      <c r="X60" s="12"/>
      <c r="Y60" s="13"/>
    </row>
    <row r="61" spans="1:25">
      <c r="A61" s="20"/>
      <c r="B61" s="10" t="str">
        <f>BOM_spec!B70</f>
        <v>Scalpel blades</v>
      </c>
      <c r="C61" s="10"/>
      <c r="D61" s="42"/>
      <c r="E61" s="58">
        <f>BOM_spec!F70</f>
        <v>2132071</v>
      </c>
      <c r="F61" s="62">
        <f>VLOOKUP(E61,BOM_spec!F63:G130,2,FALSE)</f>
        <v>1</v>
      </c>
      <c r="G61" s="45"/>
      <c r="H61" s="10"/>
      <c r="I61" s="31">
        <f>BOM_spec!J70</f>
        <v>1</v>
      </c>
      <c r="J61" s="45"/>
      <c r="K61" s="14"/>
      <c r="L61" s="33"/>
      <c r="M61" s="35"/>
      <c r="N61" s="50"/>
      <c r="O61" s="12"/>
      <c r="P61" s="13"/>
      <c r="Q61" s="14"/>
      <c r="R61" s="12"/>
      <c r="S61" s="13"/>
      <c r="T61" s="14"/>
      <c r="U61" s="12"/>
      <c r="V61" s="13"/>
      <c r="W61" s="14"/>
      <c r="X61" s="12"/>
      <c r="Y61" s="13"/>
    </row>
    <row r="62" spans="1:25">
      <c r="A62" s="20"/>
      <c r="B62" s="10" t="str">
        <f>BOM_spec!B71</f>
        <v>Heat gun</v>
      </c>
      <c r="C62" s="10"/>
      <c r="D62" s="42"/>
      <c r="E62" s="10">
        <f>BOM_spec!F71</f>
        <v>1358645</v>
      </c>
      <c r="F62" s="62">
        <f>VLOOKUP(E62,BOM_spec!F64:G131,2,FALSE)</f>
        <v>1</v>
      </c>
      <c r="G62" s="45"/>
      <c r="H62" s="10"/>
      <c r="I62" s="31">
        <f>BOM_spec!J71</f>
        <v>1</v>
      </c>
      <c r="J62" s="45"/>
      <c r="K62" s="14"/>
      <c r="L62" s="33"/>
      <c r="M62" s="35"/>
      <c r="N62" s="50"/>
      <c r="O62" s="12"/>
      <c r="P62" s="13"/>
      <c r="Q62" s="14"/>
      <c r="R62" s="12"/>
      <c r="S62" s="13"/>
      <c r="T62" s="14"/>
      <c r="U62" s="12"/>
      <c r="V62" s="13"/>
      <c r="W62" s="14"/>
      <c r="X62" s="12"/>
      <c r="Y62" s="13"/>
    </row>
  </sheetData>
  <mergeCells count="41">
    <mergeCell ref="L8:M8"/>
    <mergeCell ref="L3:M3"/>
    <mergeCell ref="L4:M4"/>
    <mergeCell ref="L5:M5"/>
    <mergeCell ref="L6:M6"/>
    <mergeCell ref="L7:M7"/>
    <mergeCell ref="L9:M9"/>
    <mergeCell ref="L10:M10"/>
    <mergeCell ref="L11:M11"/>
    <mergeCell ref="L12:M12"/>
    <mergeCell ref="L13:M13"/>
    <mergeCell ref="L32:M32"/>
    <mergeCell ref="R20:S20"/>
    <mergeCell ref="U20:V20"/>
    <mergeCell ref="L21:M21"/>
    <mergeCell ref="R21:S21"/>
    <mergeCell ref="U21:V21"/>
    <mergeCell ref="L26:M26"/>
    <mergeCell ref="L20:M20"/>
    <mergeCell ref="L27:M27"/>
    <mergeCell ref="L28:M28"/>
    <mergeCell ref="L29:M29"/>
    <mergeCell ref="L30:M30"/>
    <mergeCell ref="L31:M31"/>
    <mergeCell ref="L44:M44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5:M45"/>
    <mergeCell ref="L46:M46"/>
    <mergeCell ref="L47:M47"/>
    <mergeCell ref="L48:M48"/>
    <mergeCell ref="L49:M49"/>
  </mergeCells>
  <conditionalFormatting sqref="H1:H34 H50:H1048576">
    <cfRule type="cellIs" dxfId="15" priority="9" operator="equal">
      <formula>"No"</formula>
    </cfRule>
    <cfRule type="cellIs" dxfId="14" priority="10" operator="equal">
      <formula>"Yes"</formula>
    </cfRule>
  </conditionalFormatting>
  <conditionalFormatting sqref="H36:H37">
    <cfRule type="cellIs" dxfId="13" priority="7" operator="equal">
      <formula>"No"</formula>
    </cfRule>
    <cfRule type="cellIs" dxfId="12" priority="8" operator="equal">
      <formula>"Yes"</formula>
    </cfRule>
  </conditionalFormatting>
  <conditionalFormatting sqref="H38:H49">
    <cfRule type="cellIs" dxfId="11" priority="5" operator="equal">
      <formula>"No"</formula>
    </cfRule>
    <cfRule type="cellIs" dxfId="10" priority="6" operator="equal">
      <formula>"Yes"</formula>
    </cfRule>
  </conditionalFormatting>
  <conditionalFormatting sqref="H35">
    <cfRule type="cellIs" dxfId="9" priority="3" operator="equal">
      <formula>"No"</formula>
    </cfRule>
    <cfRule type="cellIs" dxfId="8" priority="4" operator="equal">
      <formula>"Yes"</formula>
    </cfRule>
  </conditionalFormatting>
  <pageMargins left="0.7" right="0.7" top="0.75" bottom="0.75" header="0.3" footer="0.3"/>
  <pageSetup paperSize="9" scale="25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8"/>
  <sheetViews>
    <sheetView workbookViewId="0" xr3:uid="{842E5F09-E766-5B8D-85AF-A39847EA96FD}">
      <selection activeCell="U2" sqref="U2"/>
    </sheetView>
  </sheetViews>
  <sheetFormatPr defaultRowHeight="14.45"/>
  <cols>
    <col min="2" max="2" width="8.85546875" hidden="1" customWidth="1"/>
    <col min="3" max="3" width="7.7109375" hidden="1" customWidth="1"/>
    <col min="4" max="4" width="0" hidden="1" customWidth="1"/>
    <col min="5" max="5" width="8.85546875" hidden="1" customWidth="1"/>
    <col min="6" max="6" width="8.85546875" customWidth="1"/>
    <col min="7" max="8" width="8.85546875" style="64"/>
    <col min="12" max="12" width="3.85546875" bestFit="1" customWidth="1"/>
    <col min="13" max="13" width="10.85546875" customWidth="1"/>
    <col min="14" max="14" width="34.42578125" customWidth="1"/>
    <col min="15" max="15" width="10.5703125" customWidth="1"/>
    <col min="16" max="16" width="8.85546875" style="61"/>
    <col min="18" max="18" width="10.7109375" style="61" bestFit="1" customWidth="1"/>
  </cols>
  <sheetData>
    <row r="1" spans="1:21">
      <c r="B1" t="s">
        <v>10</v>
      </c>
      <c r="C1" t="s">
        <v>185</v>
      </c>
      <c r="D1" t="s">
        <v>186</v>
      </c>
      <c r="E1" t="s">
        <v>187</v>
      </c>
      <c r="F1" t="s">
        <v>188</v>
      </c>
      <c r="G1" s="64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s="61" t="s">
        <v>198</v>
      </c>
      <c r="Q1" t="s">
        <v>199</v>
      </c>
      <c r="R1" s="61" t="s">
        <v>200</v>
      </c>
      <c r="T1" t="s">
        <v>201</v>
      </c>
      <c r="U1" s="59">
        <v>4</v>
      </c>
    </row>
    <row r="2" spans="1:21">
      <c r="A2">
        <f t="array" ref="A2">INDEX('BOM_spec (Farnell)'!$E$3:$E$62, MATCH(0, COUNTIF($A$1:A1, 'BOM_spec (Farnell)'!$E$3:$E$62), 0))</f>
        <v>2211179</v>
      </c>
      <c r="B2">
        <f>SUMIF('BOM_spec (Farnell)'!$E$3:$E$62,"="&amp;'Farnell Order'!A2,'BOM_spec (Farnell)'!$I$3:$I$62)</f>
        <v>6</v>
      </c>
      <c r="C2" t="s">
        <v>202</v>
      </c>
      <c r="D2">
        <f t="shared" ref="D2:D33" si="0">IF(C2="YES",B2*$U$1,B2)</f>
        <v>24</v>
      </c>
      <c r="E2">
        <f>VLOOKUP(A2,BOM_spec!F3:G71,2,FALSE)</f>
        <v>2</v>
      </c>
      <c r="F2">
        <f>ROUNDUP(D2*E2,0)</f>
        <v>48</v>
      </c>
      <c r="G2" s="64" t="str">
        <f t="shared" ref="G2:G33" si="1">IF(A2&lt;&gt;I2,"ERR","")</f>
        <v/>
      </c>
      <c r="H2">
        <v>1</v>
      </c>
      <c r="I2">
        <v>2211179</v>
      </c>
      <c r="J2" t="s">
        <v>202</v>
      </c>
      <c r="L2">
        <v>50</v>
      </c>
      <c r="M2" t="s">
        <v>203</v>
      </c>
      <c r="N2" t="s">
        <v>204</v>
      </c>
      <c r="O2">
        <v>77130</v>
      </c>
      <c r="P2">
        <v>5.3600000000000002E-2</v>
      </c>
      <c r="Q2">
        <v>2.68</v>
      </c>
      <c r="R2" s="61">
        <f t="shared" ref="R2:R33" si="2">IF(F2&gt;L2,F2*P2,Q2)</f>
        <v>2.68</v>
      </c>
      <c r="T2" t="s">
        <v>205</v>
      </c>
      <c r="U2" s="61" t="e">
        <f>10+SUM(R2:R58)</f>
        <v>#VALUE!</v>
      </c>
    </row>
    <row r="3" spans="1:21">
      <c r="A3">
        <f t="array" ref="A3">INDEX('BOM_spec (Farnell)'!$E$3:$E$62, MATCH(0, COUNTIF($A$1:A2, 'BOM_spec (Farnell)'!$E$3:$E$62), 0))</f>
        <v>2309012</v>
      </c>
      <c r="B3">
        <f>SUMIF('BOM_spec (Farnell)'!$E$3:$E$62,"="&amp;'Farnell Order'!A3,'BOM_spec (Farnell)'!$I$3:$I$62)</f>
        <v>2</v>
      </c>
      <c r="C3" t="s">
        <v>202</v>
      </c>
      <c r="D3">
        <f t="shared" si="0"/>
        <v>8</v>
      </c>
      <c r="E3">
        <f>VLOOKUP(A3,BOM_spec!F4:G72,2,FALSE)</f>
        <v>2</v>
      </c>
      <c r="F3">
        <f t="shared" ref="F3:F58" si="3">ROUNDUP(D3*E3,0)</f>
        <v>16</v>
      </c>
      <c r="G3" s="64" t="str">
        <f t="shared" si="1"/>
        <v/>
      </c>
      <c r="H3">
        <v>2</v>
      </c>
      <c r="I3">
        <v>2309012</v>
      </c>
      <c r="J3" t="s">
        <v>202</v>
      </c>
      <c r="L3">
        <v>16</v>
      </c>
      <c r="M3" t="s">
        <v>206</v>
      </c>
      <c r="N3" t="s">
        <v>207</v>
      </c>
      <c r="O3">
        <v>72406</v>
      </c>
      <c r="P3">
        <v>4.5999999999999999E-3</v>
      </c>
      <c r="Q3">
        <v>7.0000000000000007E-2</v>
      </c>
      <c r="R3" s="61">
        <f t="shared" si="2"/>
        <v>7.0000000000000007E-2</v>
      </c>
      <c r="T3" t="s">
        <v>208</v>
      </c>
      <c r="U3" s="61">
        <f>Digikey!J10</f>
        <v>65.317894736842106</v>
      </c>
    </row>
    <row r="4" spans="1:21">
      <c r="A4">
        <f t="array" ref="A4">INDEX('BOM_spec (Farnell)'!$E$3:$E$62, MATCH(0, COUNTIF($A$1:A3, 'BOM_spec (Farnell)'!$E$3:$E$62), 0))</f>
        <v>1797011</v>
      </c>
      <c r="B4">
        <f>SUMIF('BOM_spec (Farnell)'!$E$3:$E$62,"="&amp;'Farnell Order'!A4,'BOM_spec (Farnell)'!$I$3:$I$62)</f>
        <v>4</v>
      </c>
      <c r="C4" t="s">
        <v>202</v>
      </c>
      <c r="D4">
        <f t="shared" si="0"/>
        <v>16</v>
      </c>
      <c r="E4">
        <f>VLOOKUP(A4,BOM_spec!F5:G73,2,FALSE)</f>
        <v>2</v>
      </c>
      <c r="F4">
        <f t="shared" si="3"/>
        <v>32</v>
      </c>
      <c r="G4" s="64" t="str">
        <f t="shared" si="1"/>
        <v/>
      </c>
      <c r="H4">
        <v>3</v>
      </c>
      <c r="I4">
        <v>1797011</v>
      </c>
      <c r="J4" t="s">
        <v>202</v>
      </c>
      <c r="L4">
        <v>40</v>
      </c>
      <c r="M4" t="s">
        <v>32</v>
      </c>
      <c r="N4" t="s">
        <v>209</v>
      </c>
      <c r="O4">
        <v>26019</v>
      </c>
      <c r="P4">
        <v>0.36399999999999999</v>
      </c>
      <c r="Q4">
        <v>14.56</v>
      </c>
      <c r="R4" s="61">
        <f t="shared" si="2"/>
        <v>14.56</v>
      </c>
      <c r="T4" t="s">
        <v>210</v>
      </c>
      <c r="U4" s="61" t="e">
        <f>SUM(U2:U3)</f>
        <v>#VALUE!</v>
      </c>
    </row>
    <row r="5" spans="1:21">
      <c r="A5">
        <f t="array" ref="A5">INDEX('BOM_spec (Farnell)'!$E$3:$E$62, MATCH(0, COUNTIF($A$1:A4, 'BOM_spec (Farnell)'!$E$3:$E$62), 0))</f>
        <v>1759037</v>
      </c>
      <c r="B5">
        <f>SUMIF('BOM_spec (Farnell)'!$E$3:$E$62,"="&amp;'Farnell Order'!A5,'BOM_spec (Farnell)'!$I$3:$I$62)</f>
        <v>3</v>
      </c>
      <c r="C5" t="s">
        <v>202</v>
      </c>
      <c r="D5">
        <f t="shared" si="0"/>
        <v>12</v>
      </c>
      <c r="E5">
        <f>VLOOKUP(A5,BOM_spec!F6:G74,2,FALSE)</f>
        <v>2</v>
      </c>
      <c r="F5">
        <f t="shared" si="3"/>
        <v>24</v>
      </c>
      <c r="G5" s="64" t="str">
        <f t="shared" si="1"/>
        <v/>
      </c>
      <c r="H5">
        <v>4</v>
      </c>
      <c r="I5">
        <v>1759037</v>
      </c>
      <c r="J5" t="s">
        <v>202</v>
      </c>
      <c r="L5">
        <v>20</v>
      </c>
      <c r="M5" t="s">
        <v>211</v>
      </c>
      <c r="N5" t="s">
        <v>212</v>
      </c>
      <c r="O5">
        <v>150266</v>
      </c>
      <c r="P5">
        <v>6.1999999999999998E-3</v>
      </c>
      <c r="Q5">
        <v>0.12</v>
      </c>
      <c r="R5" s="61">
        <f t="shared" si="2"/>
        <v>0.14879999999999999</v>
      </c>
    </row>
    <row r="6" spans="1:21">
      <c r="A6">
        <f t="array" ref="A6">INDEX('BOM_spec (Farnell)'!$E$3:$E$62, MATCH(0, COUNTIF($A$1:A5, 'BOM_spec (Farnell)'!$E$3:$E$62), 0))</f>
        <v>2211185</v>
      </c>
      <c r="B6">
        <f>SUMIF('BOM_spec (Farnell)'!$E$3:$E$62,"="&amp;'Farnell Order'!A6,'BOM_spec (Farnell)'!$I$3:$I$62)</f>
        <v>1</v>
      </c>
      <c r="C6" t="s">
        <v>202</v>
      </c>
      <c r="D6">
        <f t="shared" si="0"/>
        <v>4</v>
      </c>
      <c r="E6">
        <f>VLOOKUP(A6,BOM_spec!F7:G75,2,FALSE)</f>
        <v>2</v>
      </c>
      <c r="F6">
        <f t="shared" si="3"/>
        <v>8</v>
      </c>
      <c r="G6" s="64" t="str">
        <f t="shared" si="1"/>
        <v/>
      </c>
      <c r="H6">
        <v>5</v>
      </c>
      <c r="I6">
        <v>2211185</v>
      </c>
      <c r="J6" t="s">
        <v>202</v>
      </c>
      <c r="L6">
        <v>10</v>
      </c>
      <c r="M6" t="s">
        <v>213</v>
      </c>
      <c r="N6" t="s">
        <v>214</v>
      </c>
      <c r="O6">
        <v>62686</v>
      </c>
      <c r="P6">
        <v>8.5099999999999995E-2</v>
      </c>
      <c r="Q6">
        <v>0.85</v>
      </c>
      <c r="R6" s="61">
        <f t="shared" si="2"/>
        <v>0.85</v>
      </c>
    </row>
    <row r="7" spans="1:21">
      <c r="A7">
        <f t="array" ref="A7">INDEX('BOM_spec (Farnell)'!$E$3:$E$62, MATCH(0, COUNTIF($A$1:A6, 'BOM_spec (Farnell)'!$E$3:$E$62), 0))</f>
        <v>2320814</v>
      </c>
      <c r="B7">
        <f>SUMIF('BOM_spec (Farnell)'!$E$3:$E$62,"="&amp;'Farnell Order'!A7,'BOM_spec (Farnell)'!$I$3:$I$62)</f>
        <v>1</v>
      </c>
      <c r="C7" t="s">
        <v>202</v>
      </c>
      <c r="D7">
        <f t="shared" si="0"/>
        <v>4</v>
      </c>
      <c r="E7">
        <f>VLOOKUP(A7,BOM_spec!F8:G76,2,FALSE)</f>
        <v>2</v>
      </c>
      <c r="F7">
        <f t="shared" si="3"/>
        <v>8</v>
      </c>
      <c r="G7" s="64" t="str">
        <f t="shared" si="1"/>
        <v/>
      </c>
      <c r="H7">
        <v>6</v>
      </c>
      <c r="I7">
        <v>2320814</v>
      </c>
      <c r="J7" t="s">
        <v>202</v>
      </c>
      <c r="L7">
        <v>10</v>
      </c>
      <c r="M7" t="s">
        <v>215</v>
      </c>
      <c r="N7" t="s">
        <v>216</v>
      </c>
      <c r="O7">
        <v>14577</v>
      </c>
      <c r="P7">
        <v>3.2099999999999997E-2</v>
      </c>
      <c r="Q7">
        <v>0.32</v>
      </c>
      <c r="R7" s="61">
        <f t="shared" si="2"/>
        <v>0.32</v>
      </c>
    </row>
    <row r="8" spans="1:21">
      <c r="A8">
        <f t="array" ref="A8">INDEX('BOM_spec (Farnell)'!$E$3:$E$62, MATCH(0, COUNTIF($A$1:A7, 'BOM_spec (Farnell)'!$E$3:$E$62), 0))</f>
        <v>1759016</v>
      </c>
      <c r="B8">
        <f>SUMIF('BOM_spec (Farnell)'!$E$3:$E$62,"="&amp;'Farnell Order'!A8,'BOM_spec (Farnell)'!$I$3:$I$62)</f>
        <v>5</v>
      </c>
      <c r="C8" t="s">
        <v>202</v>
      </c>
      <c r="D8">
        <f t="shared" si="0"/>
        <v>20</v>
      </c>
      <c r="E8">
        <f>VLOOKUP(A8,BOM_spec!F9:G77,2,FALSE)</f>
        <v>2</v>
      </c>
      <c r="F8">
        <f t="shared" si="3"/>
        <v>40</v>
      </c>
      <c r="G8" s="64" t="str">
        <f t="shared" si="1"/>
        <v/>
      </c>
      <c r="H8">
        <v>7</v>
      </c>
      <c r="I8">
        <v>1759016</v>
      </c>
      <c r="J8" t="s">
        <v>202</v>
      </c>
      <c r="L8">
        <v>30</v>
      </c>
      <c r="M8" t="s">
        <v>217</v>
      </c>
      <c r="N8" t="s">
        <v>218</v>
      </c>
      <c r="O8">
        <v>6857</v>
      </c>
      <c r="P8">
        <v>6.1999999999999998E-3</v>
      </c>
      <c r="Q8">
        <v>0.19</v>
      </c>
      <c r="R8" s="61">
        <f t="shared" si="2"/>
        <v>0.248</v>
      </c>
    </row>
    <row r="9" spans="1:21">
      <c r="A9">
        <f t="array" ref="A9">INDEX('BOM_spec (Farnell)'!$E$3:$E$62, MATCH(0, COUNTIF($A$1:A8, 'BOM_spec (Farnell)'!$E$3:$E$62), 0))</f>
        <v>1759093</v>
      </c>
      <c r="B9">
        <f>SUMIF('BOM_spec (Farnell)'!$E$3:$E$62,"="&amp;'Farnell Order'!A9,'BOM_spec (Farnell)'!$I$3:$I$62)</f>
        <v>1</v>
      </c>
      <c r="C9" t="s">
        <v>202</v>
      </c>
      <c r="D9">
        <f t="shared" si="0"/>
        <v>4</v>
      </c>
      <c r="E9">
        <f>VLOOKUP(A9,BOM_spec!F10:G78,2,FALSE)</f>
        <v>2</v>
      </c>
      <c r="F9">
        <f t="shared" si="3"/>
        <v>8</v>
      </c>
      <c r="G9" s="64" t="str">
        <f t="shared" si="1"/>
        <v/>
      </c>
      <c r="H9">
        <v>8</v>
      </c>
      <c r="I9">
        <v>1759093</v>
      </c>
      <c r="J9" t="s">
        <v>202</v>
      </c>
      <c r="L9">
        <v>10</v>
      </c>
      <c r="M9" t="s">
        <v>219</v>
      </c>
      <c r="N9" t="s">
        <v>220</v>
      </c>
      <c r="O9">
        <v>86669</v>
      </c>
      <c r="P9">
        <v>8.5000000000000006E-3</v>
      </c>
      <c r="Q9">
        <v>0.09</v>
      </c>
      <c r="R9" s="61">
        <f t="shared" si="2"/>
        <v>0.09</v>
      </c>
    </row>
    <row r="10" spans="1:21">
      <c r="A10">
        <f t="array" ref="A10">INDEX('BOM_spec (Farnell)'!$E$3:$E$62, MATCH(0, COUNTIF($A$1:A9, 'BOM_spec (Farnell)'!$E$3:$E$62), 0))</f>
        <v>1759122</v>
      </c>
      <c r="B10">
        <f>SUMIF('BOM_spec (Farnell)'!$E$3:$E$62,"="&amp;'Farnell Order'!A10,'BOM_spec (Farnell)'!$I$3:$I$62)</f>
        <v>1</v>
      </c>
      <c r="C10" t="s">
        <v>202</v>
      </c>
      <c r="D10">
        <f t="shared" si="0"/>
        <v>4</v>
      </c>
      <c r="E10">
        <f>VLOOKUP(A10,BOM_spec!F11:G79,2,FALSE)</f>
        <v>2</v>
      </c>
      <c r="F10">
        <f t="shared" si="3"/>
        <v>8</v>
      </c>
      <c r="G10" s="64" t="str">
        <f t="shared" si="1"/>
        <v/>
      </c>
      <c r="H10">
        <v>9</v>
      </c>
      <c r="I10">
        <v>1759122</v>
      </c>
      <c r="J10" t="s">
        <v>202</v>
      </c>
      <c r="L10">
        <v>30</v>
      </c>
      <c r="M10" t="s">
        <v>221</v>
      </c>
      <c r="N10" t="s">
        <v>222</v>
      </c>
      <c r="O10">
        <v>483850</v>
      </c>
      <c r="P10">
        <v>8.3000000000000001E-3</v>
      </c>
      <c r="Q10">
        <v>0.25</v>
      </c>
      <c r="R10" s="61">
        <f t="shared" si="2"/>
        <v>0.25</v>
      </c>
    </row>
    <row r="11" spans="1:21">
      <c r="A11">
        <f t="array" ref="A11">INDEX('BOM_spec (Farnell)'!$E$3:$E$62, MATCH(0, COUNTIF($A$1:A10, 'BOM_spec (Farnell)'!$E$3:$E$62), 0))</f>
        <v>1581194</v>
      </c>
      <c r="B11">
        <f>SUMIF('BOM_spec (Farnell)'!$E$3:$E$62,"="&amp;'Farnell Order'!A11,'BOM_spec (Farnell)'!$I$3:$I$62)</f>
        <v>1</v>
      </c>
      <c r="C11" t="s">
        <v>202</v>
      </c>
      <c r="D11">
        <f t="shared" si="0"/>
        <v>4</v>
      </c>
      <c r="E11">
        <f>VLOOKUP(A11,BOM_spec!F12:G80,2,FALSE)</f>
        <v>1.2</v>
      </c>
      <c r="F11">
        <f t="shared" si="3"/>
        <v>5</v>
      </c>
      <c r="G11" s="64" t="str">
        <f t="shared" si="1"/>
        <v/>
      </c>
      <c r="H11">
        <v>10</v>
      </c>
      <c r="I11">
        <v>1581194</v>
      </c>
      <c r="J11" t="s">
        <v>202</v>
      </c>
      <c r="L11">
        <v>5</v>
      </c>
      <c r="M11" t="s">
        <v>46</v>
      </c>
      <c r="N11" t="s">
        <v>223</v>
      </c>
      <c r="O11">
        <v>78010</v>
      </c>
      <c r="P11">
        <v>0.252</v>
      </c>
      <c r="Q11">
        <v>1.26</v>
      </c>
      <c r="R11" s="61">
        <f t="shared" si="2"/>
        <v>1.26</v>
      </c>
    </row>
    <row r="12" spans="1:21">
      <c r="A12">
        <f t="array" ref="A12">INDEX('BOM_spec (Farnell)'!$E$3:$E$62, MATCH(0, COUNTIF($A$1:A11, 'BOM_spec (Farnell)'!$E$3:$E$62), 0))</f>
        <v>9556249</v>
      </c>
      <c r="B12">
        <f>SUMIF('BOM_spec (Farnell)'!$E$3:$E$62,"="&amp;'Farnell Order'!A12,'BOM_spec (Farnell)'!$I$3:$I$62)</f>
        <v>1</v>
      </c>
      <c r="C12" t="s">
        <v>202</v>
      </c>
      <c r="D12">
        <f t="shared" si="0"/>
        <v>4</v>
      </c>
      <c r="E12">
        <f>VLOOKUP(A12,BOM_spec!F13:G81,2,FALSE)</f>
        <v>1.2</v>
      </c>
      <c r="F12">
        <f t="shared" si="3"/>
        <v>5</v>
      </c>
      <c r="G12" s="64" t="str">
        <f t="shared" si="1"/>
        <v/>
      </c>
      <c r="H12">
        <v>11</v>
      </c>
      <c r="I12">
        <v>9556249</v>
      </c>
      <c r="J12" t="s">
        <v>202</v>
      </c>
      <c r="L12">
        <v>5</v>
      </c>
      <c r="M12" t="s">
        <v>51</v>
      </c>
      <c r="N12" t="s">
        <v>224</v>
      </c>
      <c r="O12">
        <v>14807</v>
      </c>
      <c r="P12">
        <v>0.39500000000000002</v>
      </c>
      <c r="Q12">
        <v>1.98</v>
      </c>
      <c r="R12" s="61">
        <f t="shared" si="2"/>
        <v>1.98</v>
      </c>
    </row>
    <row r="13" spans="1:21">
      <c r="A13">
        <f t="array" ref="A13">INDEX('BOM_spec (Farnell)'!$E$3:$E$62, MATCH(0, COUNTIF($A$1:A12, 'BOM_spec (Farnell)'!$E$3:$E$62), 0))</f>
        <v>2322476</v>
      </c>
      <c r="B13">
        <f>SUMIF('BOM_spec (Farnell)'!$E$3:$E$62,"="&amp;'Farnell Order'!A13,'BOM_spec (Farnell)'!$I$3:$I$62)</f>
        <v>2</v>
      </c>
      <c r="C13" t="s">
        <v>202</v>
      </c>
      <c r="D13">
        <f t="shared" si="0"/>
        <v>8</v>
      </c>
      <c r="E13" t="str">
        <f>VLOOKUP(A13,BOM_spec!F14:G82,2,FALSE)</f>
        <v>added 09/02/2013</v>
      </c>
      <c r="F13" t="e">
        <f t="shared" si="3"/>
        <v>#VALUE!</v>
      </c>
      <c r="G13" s="64" t="str">
        <f t="shared" si="1"/>
        <v>ERR</v>
      </c>
      <c r="H13">
        <v>12</v>
      </c>
      <c r="I13">
        <v>1431105</v>
      </c>
      <c r="J13" t="s">
        <v>202</v>
      </c>
      <c r="L13">
        <v>15</v>
      </c>
      <c r="M13" t="s">
        <v>225</v>
      </c>
      <c r="N13" t="s">
        <v>226</v>
      </c>
      <c r="O13">
        <v>11505</v>
      </c>
      <c r="P13">
        <v>1.9699999999999999E-2</v>
      </c>
      <c r="Q13">
        <v>0.3</v>
      </c>
      <c r="R13" s="61" t="e">
        <f t="shared" si="2"/>
        <v>#VALUE!</v>
      </c>
    </row>
    <row r="14" spans="1:21">
      <c r="A14">
        <f t="array" ref="A14">INDEX('BOM_spec (Farnell)'!$E$3:$E$62, MATCH(0, COUNTIF($A$1:A13, 'BOM_spec (Farnell)'!$E$3:$E$62), 0))</f>
        <v>2452050</v>
      </c>
      <c r="B14">
        <f>SUMIF('BOM_spec (Farnell)'!$E$3:$E$62,"="&amp;'Farnell Order'!A14,'BOM_spec (Farnell)'!$I$3:$I$62)</f>
        <v>1</v>
      </c>
      <c r="C14" t="s">
        <v>202</v>
      </c>
      <c r="D14">
        <f t="shared" si="0"/>
        <v>4</v>
      </c>
      <c r="E14">
        <f>VLOOKUP(A14,BOM_spec!F15:G83,2,FALSE)</f>
        <v>1.2</v>
      </c>
      <c r="F14">
        <f t="shared" si="3"/>
        <v>5</v>
      </c>
      <c r="G14" s="64" t="str">
        <f t="shared" si="1"/>
        <v/>
      </c>
      <c r="H14">
        <v>13</v>
      </c>
      <c r="I14">
        <v>2452050</v>
      </c>
      <c r="J14" t="s">
        <v>202</v>
      </c>
      <c r="L14">
        <v>5</v>
      </c>
      <c r="M14" t="s">
        <v>227</v>
      </c>
      <c r="N14" t="s">
        <v>228</v>
      </c>
      <c r="O14">
        <v>2878</v>
      </c>
      <c r="P14">
        <v>0.35699999999999998</v>
      </c>
      <c r="Q14">
        <v>1.79</v>
      </c>
      <c r="R14" s="61">
        <f t="shared" si="2"/>
        <v>1.79</v>
      </c>
    </row>
    <row r="15" spans="1:21">
      <c r="A15">
        <f t="array" ref="A15">INDEX('BOM_spec (Farnell)'!$E$3:$E$62, MATCH(0, COUNTIF($A$1:A14, 'BOM_spec (Farnell)'!$E$3:$E$62), 0))</f>
        <v>2057925</v>
      </c>
      <c r="B15">
        <f>SUMIF('BOM_spec (Farnell)'!$E$3:$E$62,"="&amp;'Farnell Order'!A15,'BOM_spec (Farnell)'!$I$3:$I$62)</f>
        <v>1</v>
      </c>
      <c r="C15" t="s">
        <v>202</v>
      </c>
      <c r="D15">
        <f t="shared" si="0"/>
        <v>4</v>
      </c>
      <c r="E15">
        <f>VLOOKUP(A15,BOM_spec!F16:G84,2,FALSE)</f>
        <v>1.2</v>
      </c>
      <c r="F15">
        <f t="shared" si="3"/>
        <v>5</v>
      </c>
      <c r="G15" s="64" t="str">
        <f t="shared" si="1"/>
        <v/>
      </c>
      <c r="H15">
        <v>14</v>
      </c>
      <c r="I15">
        <v>2057925</v>
      </c>
      <c r="J15" t="s">
        <v>202</v>
      </c>
      <c r="L15">
        <v>5</v>
      </c>
      <c r="M15" t="s">
        <v>75</v>
      </c>
      <c r="N15" t="s">
        <v>229</v>
      </c>
      <c r="O15">
        <v>3523</v>
      </c>
      <c r="P15">
        <v>0.61099999999999999</v>
      </c>
      <c r="Q15">
        <v>3.06</v>
      </c>
      <c r="R15" s="61">
        <f t="shared" si="2"/>
        <v>3.06</v>
      </c>
    </row>
    <row r="16" spans="1:21">
      <c r="A16">
        <f t="array" ref="A16">INDEX('BOM_spec (Farnell)'!$E$3:$E$62, MATCH(0, COUNTIF($A$1:A15, 'BOM_spec (Farnell)'!$E$3:$E$62), 0))</f>
        <v>1866910</v>
      </c>
      <c r="B16">
        <f>SUMIF('BOM_spec (Farnell)'!$E$3:$E$62,"="&amp;'Farnell Order'!A16,'BOM_spec (Farnell)'!$I$3:$I$62)</f>
        <v>1</v>
      </c>
      <c r="C16" t="s">
        <v>202</v>
      </c>
      <c r="D16">
        <f t="shared" si="0"/>
        <v>4</v>
      </c>
      <c r="E16">
        <f>VLOOKUP(A16,BOM_spec!F17:G85,2,FALSE)</f>
        <v>1.5</v>
      </c>
      <c r="F16">
        <f t="shared" si="3"/>
        <v>6</v>
      </c>
      <c r="G16" s="64" t="str">
        <f t="shared" si="1"/>
        <v/>
      </c>
      <c r="H16">
        <v>15</v>
      </c>
      <c r="I16">
        <v>1866910</v>
      </c>
      <c r="J16" t="s">
        <v>202</v>
      </c>
      <c r="L16">
        <v>6</v>
      </c>
      <c r="M16" t="s">
        <v>85</v>
      </c>
      <c r="N16" t="s">
        <v>230</v>
      </c>
      <c r="O16">
        <v>776</v>
      </c>
      <c r="P16">
        <v>0.88149999999999995</v>
      </c>
      <c r="Q16">
        <v>5.29</v>
      </c>
      <c r="R16" s="61">
        <f t="shared" si="2"/>
        <v>5.29</v>
      </c>
    </row>
    <row r="17" spans="1:18">
      <c r="A17">
        <f t="array" ref="A17">INDEX('BOM_spec (Farnell)'!$E$3:$E$62, MATCH(0, COUNTIF($A$1:A16, 'BOM_spec (Farnell)'!$E$3:$E$62), 0))</f>
        <v>2008008</v>
      </c>
      <c r="B17">
        <f>SUMIF('BOM_spec (Farnell)'!$E$3:$E$62,"="&amp;'Farnell Order'!A17,'BOM_spec (Farnell)'!$I$3:$I$62)</f>
        <v>1</v>
      </c>
      <c r="C17" t="s">
        <v>202</v>
      </c>
      <c r="D17">
        <f t="shared" si="0"/>
        <v>4</v>
      </c>
      <c r="E17">
        <f>VLOOKUP(A17,BOM_spec!F19:G86,2,FALSE)</f>
        <v>1.2</v>
      </c>
      <c r="F17">
        <f t="shared" si="3"/>
        <v>5</v>
      </c>
      <c r="G17" s="64" t="str">
        <f t="shared" si="1"/>
        <v/>
      </c>
      <c r="H17">
        <v>16</v>
      </c>
      <c r="I17">
        <v>2008008</v>
      </c>
      <c r="J17" t="s">
        <v>202</v>
      </c>
      <c r="L17">
        <v>5</v>
      </c>
      <c r="M17" t="s">
        <v>97</v>
      </c>
      <c r="N17" t="s">
        <v>231</v>
      </c>
      <c r="O17">
        <v>5778</v>
      </c>
      <c r="P17">
        <v>0.625</v>
      </c>
      <c r="Q17">
        <v>3.13</v>
      </c>
      <c r="R17" s="61">
        <f t="shared" si="2"/>
        <v>3.13</v>
      </c>
    </row>
    <row r="18" spans="1:18">
      <c r="A18">
        <f t="array" ref="A18">INDEX('BOM_spec (Farnell)'!$E$3:$E$62, MATCH(0, COUNTIF($A$1:A17, 'BOM_spec (Farnell)'!$E$3:$E$62), 0))</f>
        <v>2007996</v>
      </c>
      <c r="B18">
        <f>SUMIF('BOM_spec (Farnell)'!$E$3:$E$62,"="&amp;'Farnell Order'!A18,'BOM_spec (Farnell)'!$I$3:$I$62)</f>
        <v>2</v>
      </c>
      <c r="C18" t="s">
        <v>202</v>
      </c>
      <c r="D18">
        <f t="shared" si="0"/>
        <v>8</v>
      </c>
      <c r="E18">
        <f>VLOOKUP(A18,BOM_spec!F20:G87,2,FALSE)</f>
        <v>1.2</v>
      </c>
      <c r="F18">
        <f t="shared" si="3"/>
        <v>10</v>
      </c>
      <c r="G18" s="64" t="str">
        <f t="shared" si="1"/>
        <v/>
      </c>
      <c r="H18">
        <v>17</v>
      </c>
      <c r="I18">
        <v>2007996</v>
      </c>
      <c r="J18" t="s">
        <v>202</v>
      </c>
      <c r="L18">
        <v>10</v>
      </c>
      <c r="M18" t="s">
        <v>110</v>
      </c>
      <c r="N18" t="s">
        <v>232</v>
      </c>
      <c r="O18">
        <v>1077</v>
      </c>
      <c r="P18">
        <v>0.65300000000000002</v>
      </c>
      <c r="Q18">
        <v>6.53</v>
      </c>
      <c r="R18" s="61">
        <f t="shared" si="2"/>
        <v>6.53</v>
      </c>
    </row>
    <row r="19" spans="1:18">
      <c r="A19">
        <f t="array" ref="A19">INDEX('BOM_spec (Farnell)'!$E$3:$E$62, MATCH(0, COUNTIF($A$1:A18, 'BOM_spec (Farnell)'!$E$3:$E$62), 0))</f>
        <v>1864449</v>
      </c>
      <c r="B19">
        <f>SUMIF('BOM_spec (Farnell)'!$E$3:$E$62,"="&amp;'Farnell Order'!A19,'BOM_spec (Farnell)'!$I$3:$I$62)</f>
        <v>1</v>
      </c>
      <c r="C19" t="s">
        <v>202</v>
      </c>
      <c r="D19">
        <f t="shared" si="0"/>
        <v>4</v>
      </c>
      <c r="E19">
        <f>VLOOKUP(A19,BOM_spec!F21:G88,2,FALSE)</f>
        <v>1.2</v>
      </c>
      <c r="F19">
        <f t="shared" si="3"/>
        <v>5</v>
      </c>
      <c r="G19" s="64" t="str">
        <f t="shared" si="1"/>
        <v/>
      </c>
      <c r="H19">
        <v>18</v>
      </c>
      <c r="I19">
        <v>1864449</v>
      </c>
      <c r="J19" t="s">
        <v>202</v>
      </c>
      <c r="L19">
        <v>5</v>
      </c>
      <c r="M19" t="s">
        <v>233</v>
      </c>
      <c r="N19" t="s">
        <v>234</v>
      </c>
      <c r="O19" t="s">
        <v>235</v>
      </c>
      <c r="P19">
        <v>0.28000000000000003</v>
      </c>
      <c r="Q19">
        <v>1.4</v>
      </c>
      <c r="R19" s="61">
        <f t="shared" si="2"/>
        <v>1.4</v>
      </c>
    </row>
    <row r="20" spans="1:18">
      <c r="A20">
        <f t="array" ref="A20">INDEX('BOM_spec (Farnell)'!$E$3:$E$62, MATCH(0, COUNTIF($A$1:A19, 'BOM_spec (Farnell)'!$E$3:$E$62), 0))</f>
        <v>1510761</v>
      </c>
      <c r="B20">
        <f>SUMIF('BOM_spec (Farnell)'!$E$3:$E$62,"="&amp;'Farnell Order'!A20,'BOM_spec (Farnell)'!$I$3:$I$62)</f>
        <v>2</v>
      </c>
      <c r="C20" t="s">
        <v>202</v>
      </c>
      <c r="D20">
        <f t="shared" si="0"/>
        <v>8</v>
      </c>
      <c r="E20">
        <f>VLOOKUP(A20,BOM_spec!F22:G89,2,FALSE)</f>
        <v>1.2</v>
      </c>
      <c r="F20">
        <f t="shared" si="3"/>
        <v>10</v>
      </c>
      <c r="G20" s="64" t="str">
        <f t="shared" si="1"/>
        <v/>
      </c>
      <c r="H20">
        <v>19</v>
      </c>
      <c r="I20">
        <v>1510761</v>
      </c>
      <c r="J20" t="s">
        <v>202</v>
      </c>
      <c r="L20">
        <v>10</v>
      </c>
      <c r="M20" t="s">
        <v>236</v>
      </c>
      <c r="N20" t="s">
        <v>237</v>
      </c>
      <c r="O20">
        <v>170178</v>
      </c>
      <c r="P20">
        <v>2.35E-2</v>
      </c>
      <c r="Q20">
        <v>0.24</v>
      </c>
      <c r="R20" s="61">
        <f t="shared" si="2"/>
        <v>0.24</v>
      </c>
    </row>
    <row r="21" spans="1:18">
      <c r="A21">
        <f t="array" ref="A21">INDEX('BOM_spec (Farnell)'!$E$3:$E$62, MATCH(0, COUNTIF($A$1:A20, 'BOM_spec (Farnell)'!$E$3:$E$62), 0))</f>
        <v>2317636</v>
      </c>
      <c r="B21">
        <f>SUMIF('BOM_spec (Farnell)'!$E$3:$E$62,"="&amp;'Farnell Order'!A21,'BOM_spec (Farnell)'!$I$3:$I$62)</f>
        <v>2</v>
      </c>
      <c r="C21" t="s">
        <v>202</v>
      </c>
      <c r="D21">
        <f t="shared" si="0"/>
        <v>8</v>
      </c>
      <c r="E21">
        <f>VLOOKUP(A21,BOM_spec!F24:G90,2,FALSE)</f>
        <v>1.2</v>
      </c>
      <c r="F21">
        <f t="shared" si="3"/>
        <v>10</v>
      </c>
      <c r="G21" s="64" t="str">
        <f t="shared" si="1"/>
        <v/>
      </c>
      <c r="H21">
        <v>20</v>
      </c>
      <c r="I21">
        <v>2317636</v>
      </c>
      <c r="J21" t="s">
        <v>202</v>
      </c>
      <c r="L21">
        <v>10</v>
      </c>
      <c r="M21" t="s">
        <v>128</v>
      </c>
      <c r="N21" t="s">
        <v>238</v>
      </c>
      <c r="O21">
        <v>14870</v>
      </c>
      <c r="P21">
        <v>3.8399999999999997E-2</v>
      </c>
      <c r="Q21">
        <v>0.38</v>
      </c>
      <c r="R21" s="61">
        <f t="shared" si="2"/>
        <v>0.38</v>
      </c>
    </row>
    <row r="22" spans="1:18">
      <c r="A22">
        <f t="array" ref="A22">INDEX('BOM_spec (Farnell)'!$E$3:$E$62, MATCH(0, COUNTIF($A$1:A21, 'BOM_spec (Farnell)'!$E$3:$E$62), 0))</f>
        <v>2471947</v>
      </c>
      <c r="B22">
        <f>SUMIF('BOM_spec (Farnell)'!$E$3:$E$62,"="&amp;'Farnell Order'!A22,'BOM_spec (Farnell)'!$I$3:$I$62)</f>
        <v>1</v>
      </c>
      <c r="C22" t="s">
        <v>202</v>
      </c>
      <c r="D22">
        <f t="shared" si="0"/>
        <v>4</v>
      </c>
      <c r="E22">
        <f>VLOOKUP(A22,BOM_spec!F25:G91,2,FALSE)</f>
        <v>1.2</v>
      </c>
      <c r="F22">
        <f t="shared" si="3"/>
        <v>5</v>
      </c>
      <c r="G22" s="64" t="str">
        <f t="shared" si="1"/>
        <v/>
      </c>
      <c r="H22">
        <v>21</v>
      </c>
      <c r="I22">
        <v>2471947</v>
      </c>
      <c r="J22" t="s">
        <v>202</v>
      </c>
      <c r="L22">
        <v>5</v>
      </c>
      <c r="M22" t="s">
        <v>133</v>
      </c>
      <c r="N22" t="s">
        <v>239</v>
      </c>
      <c r="O22">
        <v>6488</v>
      </c>
      <c r="P22">
        <v>8.8999999999999996E-2</v>
      </c>
      <c r="Q22">
        <v>0.45</v>
      </c>
      <c r="R22" s="61">
        <f t="shared" si="2"/>
        <v>0.45</v>
      </c>
    </row>
    <row r="23" spans="1:18">
      <c r="A23">
        <f t="array" ref="A23">INDEX('BOM_spec (Farnell)'!$E$3:$E$62, MATCH(0, COUNTIF($A$1:A22, 'BOM_spec (Farnell)'!$E$3:$E$62), 0))</f>
        <v>2059548</v>
      </c>
      <c r="B23">
        <f>SUMIF('BOM_spec (Farnell)'!$E$3:$E$62,"="&amp;'Farnell Order'!A23,'BOM_spec (Farnell)'!$I$3:$I$62)</f>
        <v>1</v>
      </c>
      <c r="C23" t="s">
        <v>202</v>
      </c>
      <c r="D23">
        <f t="shared" si="0"/>
        <v>4</v>
      </c>
      <c r="E23">
        <f>VLOOKUP(A23,BOM_spec!F26:G92,2,FALSE)</f>
        <v>2</v>
      </c>
      <c r="F23">
        <f t="shared" si="3"/>
        <v>8</v>
      </c>
      <c r="G23" s="64" t="str">
        <f t="shared" si="1"/>
        <v/>
      </c>
      <c r="H23">
        <v>22</v>
      </c>
      <c r="I23">
        <v>2059548</v>
      </c>
      <c r="J23" t="s">
        <v>202</v>
      </c>
      <c r="L23">
        <v>50</v>
      </c>
      <c r="M23" t="s">
        <v>240</v>
      </c>
      <c r="N23" t="s">
        <v>241</v>
      </c>
      <c r="O23">
        <v>150</v>
      </c>
      <c r="P23">
        <v>6.0000000000000001E-3</v>
      </c>
      <c r="Q23">
        <v>0.3</v>
      </c>
      <c r="R23" s="61">
        <f t="shared" si="2"/>
        <v>0.3</v>
      </c>
    </row>
    <row r="24" spans="1:18">
      <c r="A24">
        <f t="array" ref="A24">INDEX('BOM_spec (Farnell)'!$E$3:$E$62, MATCH(0, COUNTIF($A$1:A23, 'BOM_spec (Farnell)'!$E$3:$E$62), 0))</f>
        <v>9331620</v>
      </c>
      <c r="B24">
        <f>SUMIF('BOM_spec (Farnell)'!$E$3:$E$62,"="&amp;'Farnell Order'!A24,'BOM_spec (Farnell)'!$I$3:$I$62)</f>
        <v>1</v>
      </c>
      <c r="C24" t="s">
        <v>202</v>
      </c>
      <c r="D24">
        <f t="shared" si="0"/>
        <v>4</v>
      </c>
      <c r="E24">
        <f>VLOOKUP(A24,BOM_spec!F27:G93,2,FALSE)</f>
        <v>2</v>
      </c>
      <c r="F24">
        <f t="shared" si="3"/>
        <v>8</v>
      </c>
      <c r="G24" s="64" t="str">
        <f t="shared" si="1"/>
        <v/>
      </c>
      <c r="H24">
        <v>23</v>
      </c>
      <c r="I24">
        <v>9331620</v>
      </c>
      <c r="J24" t="s">
        <v>242</v>
      </c>
      <c r="L24">
        <v>10</v>
      </c>
      <c r="M24" t="s">
        <v>243</v>
      </c>
      <c r="N24" t="s">
        <v>244</v>
      </c>
      <c r="O24">
        <v>1984</v>
      </c>
      <c r="P24">
        <v>0.01</v>
      </c>
      <c r="Q24">
        <v>0.1</v>
      </c>
      <c r="R24" s="61">
        <f t="shared" si="2"/>
        <v>0.1</v>
      </c>
    </row>
    <row r="25" spans="1:18">
      <c r="A25">
        <f t="array" ref="A25">INDEX('BOM_spec (Farnell)'!$E$3:$E$62, MATCH(0, COUNTIF($A$1:A24, 'BOM_spec (Farnell)'!$E$3:$E$62), 0))</f>
        <v>2332014</v>
      </c>
      <c r="B25">
        <f>SUMIF('BOM_spec (Farnell)'!$E$3:$E$62,"="&amp;'Farnell Order'!A25,'BOM_spec (Farnell)'!$I$3:$I$62)</f>
        <v>1</v>
      </c>
      <c r="C25" t="s">
        <v>202</v>
      </c>
      <c r="D25">
        <f t="shared" si="0"/>
        <v>4</v>
      </c>
      <c r="E25">
        <f>VLOOKUP(A25,BOM_spec!F28:G94,2,FALSE)</f>
        <v>2</v>
      </c>
      <c r="F25">
        <f t="shared" si="3"/>
        <v>8</v>
      </c>
      <c r="G25" s="64" t="str">
        <f t="shared" si="1"/>
        <v/>
      </c>
      <c r="H25">
        <v>24</v>
      </c>
      <c r="I25">
        <v>2332014</v>
      </c>
      <c r="J25" t="s">
        <v>202</v>
      </c>
      <c r="L25">
        <v>10</v>
      </c>
      <c r="M25" t="s">
        <v>245</v>
      </c>
      <c r="N25" t="s">
        <v>246</v>
      </c>
      <c r="O25">
        <v>2300</v>
      </c>
      <c r="P25">
        <v>8.8999999999999999E-3</v>
      </c>
      <c r="Q25">
        <v>0.09</v>
      </c>
      <c r="R25" s="61">
        <f t="shared" si="2"/>
        <v>0.09</v>
      </c>
    </row>
    <row r="26" spans="1:18">
      <c r="A26">
        <f t="array" ref="A26">INDEX('BOM_spec (Farnell)'!$E$3:$E$62, MATCH(0, COUNTIF($A$1:A25, 'BOM_spec (Farnell)'!$E$3:$E$62), 0))</f>
        <v>1670209</v>
      </c>
      <c r="B26">
        <f>SUMIF('BOM_spec (Farnell)'!$E$3:$E$62,"="&amp;'Farnell Order'!A26,'BOM_spec (Farnell)'!$I$3:$I$62)</f>
        <v>1</v>
      </c>
      <c r="C26" t="s">
        <v>202</v>
      </c>
      <c r="D26">
        <f t="shared" si="0"/>
        <v>4</v>
      </c>
      <c r="E26">
        <f>VLOOKUP(A26,BOM_spec!F29:G95,2,FALSE)</f>
        <v>2</v>
      </c>
      <c r="F26">
        <f t="shared" si="3"/>
        <v>8</v>
      </c>
      <c r="G26" s="64" t="str">
        <f t="shared" si="1"/>
        <v/>
      </c>
      <c r="H26">
        <v>25</v>
      </c>
      <c r="I26">
        <v>1670209</v>
      </c>
      <c r="J26" t="s">
        <v>202</v>
      </c>
      <c r="L26">
        <v>10</v>
      </c>
      <c r="M26" t="s">
        <v>247</v>
      </c>
      <c r="N26" t="s">
        <v>248</v>
      </c>
      <c r="O26">
        <v>1166</v>
      </c>
      <c r="P26">
        <v>0.17699999999999999</v>
      </c>
      <c r="Q26">
        <v>1.77</v>
      </c>
      <c r="R26" s="61">
        <f t="shared" si="2"/>
        <v>1.77</v>
      </c>
    </row>
    <row r="27" spans="1:18">
      <c r="A27">
        <f t="array" ref="A27">INDEX('BOM_spec (Farnell)'!$E$3:$E$62, MATCH(0, COUNTIF($A$1:A26, 'BOM_spec (Farnell)'!$E$3:$E$62), 0))</f>
        <v>1575985</v>
      </c>
      <c r="B27">
        <f>SUMIF('BOM_spec (Farnell)'!$E$3:$E$62,"="&amp;'Farnell Order'!A27,'BOM_spec (Farnell)'!$I$3:$I$62)</f>
        <v>1</v>
      </c>
      <c r="C27" t="s">
        <v>202</v>
      </c>
      <c r="D27">
        <f t="shared" si="0"/>
        <v>4</v>
      </c>
      <c r="E27">
        <f>VLOOKUP(A27,BOM_spec!F30:G96,2,FALSE)</f>
        <v>2</v>
      </c>
      <c r="F27">
        <f t="shared" si="3"/>
        <v>8</v>
      </c>
      <c r="G27" s="64" t="str">
        <f t="shared" si="1"/>
        <v/>
      </c>
      <c r="H27">
        <v>26</v>
      </c>
      <c r="I27">
        <v>1575985</v>
      </c>
      <c r="J27" t="s">
        <v>242</v>
      </c>
      <c r="L27">
        <v>10</v>
      </c>
      <c r="M27" t="s">
        <v>249</v>
      </c>
      <c r="N27" t="s">
        <v>250</v>
      </c>
      <c r="O27">
        <v>2758</v>
      </c>
      <c r="P27">
        <v>5.6800000000000003E-2</v>
      </c>
      <c r="Q27">
        <v>0.56999999999999995</v>
      </c>
      <c r="R27" s="61">
        <f t="shared" si="2"/>
        <v>0.56999999999999995</v>
      </c>
    </row>
    <row r="28" spans="1:18">
      <c r="A28">
        <f t="array" ref="A28">INDEX('BOM_spec (Farnell)'!$E$3:$E$62, MATCH(0, COUNTIF($A$1:A27, 'BOM_spec (Farnell)'!$E$3:$E$62), 0))</f>
        <v>2079442</v>
      </c>
      <c r="B28">
        <f>SUMIF('BOM_spec (Farnell)'!$E$3:$E$62,"="&amp;'Farnell Order'!A28,'BOM_spec (Farnell)'!$I$3:$I$62)</f>
        <v>1</v>
      </c>
      <c r="C28" t="s">
        <v>202</v>
      </c>
      <c r="D28">
        <f t="shared" si="0"/>
        <v>4</v>
      </c>
      <c r="E28">
        <f>VLOOKUP(A28,BOM_spec!F31:G97,2,FALSE)</f>
        <v>2</v>
      </c>
      <c r="F28">
        <f t="shared" si="3"/>
        <v>8</v>
      </c>
      <c r="G28" s="64" t="str">
        <f t="shared" si="1"/>
        <v/>
      </c>
      <c r="H28">
        <v>27</v>
      </c>
      <c r="I28">
        <v>2079442</v>
      </c>
      <c r="J28" t="s">
        <v>202</v>
      </c>
      <c r="L28">
        <v>10</v>
      </c>
      <c r="M28" t="s">
        <v>144</v>
      </c>
      <c r="N28" t="s">
        <v>251</v>
      </c>
      <c r="O28">
        <v>6411</v>
      </c>
      <c r="P28">
        <v>0.23599999999999999</v>
      </c>
      <c r="Q28">
        <v>2.36</v>
      </c>
      <c r="R28" s="61">
        <f t="shared" si="2"/>
        <v>2.36</v>
      </c>
    </row>
    <row r="29" spans="1:18">
      <c r="A29">
        <f t="array" ref="A29">INDEX('BOM_spec (Farnell)'!$E$3:$E$62, MATCH(0, COUNTIF($A$1:A28, 'BOM_spec (Farnell)'!$E$3:$E$62), 0))</f>
        <v>2059441</v>
      </c>
      <c r="B29">
        <f>SUMIF('BOM_spec (Farnell)'!$E$3:$E$62,"="&amp;'Farnell Order'!A29,'BOM_spec (Farnell)'!$I$3:$I$62)</f>
        <v>2</v>
      </c>
      <c r="C29" t="s">
        <v>202</v>
      </c>
      <c r="D29">
        <f t="shared" si="0"/>
        <v>8</v>
      </c>
      <c r="E29">
        <f>VLOOKUP(A29,BOM_spec!F32:G98,2,FALSE)</f>
        <v>2</v>
      </c>
      <c r="F29">
        <f t="shared" si="3"/>
        <v>16</v>
      </c>
      <c r="G29" s="64" t="str">
        <f t="shared" si="1"/>
        <v/>
      </c>
      <c r="H29">
        <v>28</v>
      </c>
      <c r="I29">
        <v>2059441</v>
      </c>
      <c r="J29" t="s">
        <v>202</v>
      </c>
      <c r="L29">
        <v>50</v>
      </c>
      <c r="M29" t="s">
        <v>252</v>
      </c>
      <c r="N29" t="s">
        <v>253</v>
      </c>
      <c r="O29">
        <v>23799</v>
      </c>
      <c r="P29">
        <v>7.0000000000000001E-3</v>
      </c>
      <c r="Q29">
        <v>0.35</v>
      </c>
      <c r="R29" s="61">
        <f t="shared" si="2"/>
        <v>0.35</v>
      </c>
    </row>
    <row r="30" spans="1:18">
      <c r="A30">
        <f t="array" ref="A30">INDEX('BOM_spec (Farnell)'!$E$3:$E$62, MATCH(0, COUNTIF($A$1:A29, 'BOM_spec (Farnell)'!$E$3:$E$62), 0))</f>
        <v>2303207</v>
      </c>
      <c r="B30">
        <f>SUMIF('BOM_spec (Farnell)'!$E$3:$E$62,"="&amp;'Farnell Order'!A30,'BOM_spec (Farnell)'!$I$3:$I$62)</f>
        <v>1</v>
      </c>
      <c r="C30" t="s">
        <v>202</v>
      </c>
      <c r="D30">
        <f t="shared" si="0"/>
        <v>4</v>
      </c>
      <c r="E30">
        <f>VLOOKUP(A30,BOM_spec!F33:G99,2,FALSE)</f>
        <v>2</v>
      </c>
      <c r="F30">
        <f t="shared" si="3"/>
        <v>8</v>
      </c>
      <c r="G30" s="64" t="str">
        <f t="shared" si="1"/>
        <v/>
      </c>
      <c r="H30">
        <v>29</v>
      </c>
      <c r="I30">
        <v>2303207</v>
      </c>
      <c r="J30" t="s">
        <v>202</v>
      </c>
      <c r="L30">
        <v>10</v>
      </c>
      <c r="M30" t="s">
        <v>254</v>
      </c>
      <c r="N30" t="s">
        <v>255</v>
      </c>
      <c r="O30">
        <v>2165</v>
      </c>
      <c r="P30">
        <v>7.0000000000000001E-3</v>
      </c>
      <c r="Q30">
        <v>7.0000000000000007E-2</v>
      </c>
      <c r="R30" s="61">
        <f t="shared" si="2"/>
        <v>7.0000000000000007E-2</v>
      </c>
    </row>
    <row r="31" spans="1:18">
      <c r="A31">
        <f t="array" ref="A31">INDEX('BOM_spec (Farnell)'!$E$3:$E$62, MATCH(0, COUNTIF($A$1:A30, 'BOM_spec (Farnell)'!$E$3:$E$62), 0))</f>
        <v>2447328</v>
      </c>
      <c r="B31">
        <f>SUMIF('BOM_spec (Farnell)'!$E$3:$E$62,"="&amp;'Farnell Order'!A31,'BOM_spec (Farnell)'!$I$3:$I$62)</f>
        <v>1</v>
      </c>
      <c r="C31" t="s">
        <v>202</v>
      </c>
      <c r="D31">
        <f t="shared" si="0"/>
        <v>4</v>
      </c>
      <c r="E31">
        <f>VLOOKUP(A31,BOM_spec!F34:G100,2,FALSE)</f>
        <v>2</v>
      </c>
      <c r="F31">
        <f t="shared" si="3"/>
        <v>8</v>
      </c>
      <c r="G31" s="64" t="str">
        <f t="shared" si="1"/>
        <v/>
      </c>
      <c r="H31">
        <v>30</v>
      </c>
      <c r="I31">
        <v>2447328</v>
      </c>
      <c r="J31" t="s">
        <v>202</v>
      </c>
      <c r="L31">
        <v>10</v>
      </c>
      <c r="M31" t="s">
        <v>256</v>
      </c>
      <c r="N31" t="s">
        <v>257</v>
      </c>
      <c r="O31">
        <v>9000</v>
      </c>
      <c r="P31">
        <v>1.2999999999999999E-3</v>
      </c>
      <c r="Q31">
        <v>0.01</v>
      </c>
      <c r="R31" s="61">
        <f t="shared" si="2"/>
        <v>0.01</v>
      </c>
    </row>
    <row r="32" spans="1:18">
      <c r="A32">
        <f t="array" ref="A32">INDEX('BOM_spec (Farnell)'!$E$3:$E$62, MATCH(0, COUNTIF($A$1:A31, 'BOM_spec (Farnell)'!$E$3:$E$62), 0))</f>
        <v>2116014</v>
      </c>
      <c r="B32">
        <f>SUMIF('BOM_spec (Farnell)'!$E$3:$E$62,"="&amp;'Farnell Order'!A32,'BOM_spec (Farnell)'!$I$3:$I$62)</f>
        <v>1</v>
      </c>
      <c r="C32" t="s">
        <v>202</v>
      </c>
      <c r="D32">
        <f t="shared" si="0"/>
        <v>4</v>
      </c>
      <c r="E32">
        <f>VLOOKUP(A32,BOM_spec!F35:G101,2,FALSE)</f>
        <v>2</v>
      </c>
      <c r="F32">
        <f t="shared" si="3"/>
        <v>8</v>
      </c>
      <c r="G32" s="64" t="str">
        <f t="shared" si="1"/>
        <v>ERR</v>
      </c>
      <c r="H32">
        <v>31</v>
      </c>
      <c r="I32">
        <v>2332254</v>
      </c>
      <c r="J32" t="s">
        <v>202</v>
      </c>
      <c r="L32">
        <v>8</v>
      </c>
      <c r="M32" t="s">
        <v>258</v>
      </c>
      <c r="N32" t="s">
        <v>259</v>
      </c>
      <c r="O32">
        <v>1087</v>
      </c>
      <c r="P32">
        <v>0.39600000000000002</v>
      </c>
      <c r="Q32">
        <v>3.17</v>
      </c>
      <c r="R32" s="61">
        <f t="shared" si="2"/>
        <v>3.17</v>
      </c>
    </row>
    <row r="33" spans="1:18">
      <c r="A33">
        <f t="array" ref="A33">INDEX('BOM_spec (Farnell)'!$E$3:$E$62, MATCH(0, COUNTIF($A$1:A32, 'BOM_spec (Farnell)'!$E$3:$E$62), 0))</f>
        <v>2309107</v>
      </c>
      <c r="B33">
        <f>SUMIF('BOM_spec (Farnell)'!$E$3:$E$62,"="&amp;'Farnell Order'!A33,'BOM_spec (Farnell)'!$I$3:$I$62)</f>
        <v>4</v>
      </c>
      <c r="C33" t="s">
        <v>202</v>
      </c>
      <c r="D33">
        <f t="shared" si="0"/>
        <v>16</v>
      </c>
      <c r="E33">
        <f>VLOOKUP(A33,BOM_spec!F36:G102,2,FALSE)</f>
        <v>2</v>
      </c>
      <c r="F33">
        <f t="shared" si="3"/>
        <v>32</v>
      </c>
      <c r="G33" s="64" t="str">
        <f t="shared" si="1"/>
        <v/>
      </c>
      <c r="H33">
        <v>32</v>
      </c>
      <c r="I33">
        <v>2309107</v>
      </c>
      <c r="J33" t="s">
        <v>242</v>
      </c>
      <c r="L33">
        <v>32</v>
      </c>
      <c r="M33" t="s">
        <v>260</v>
      </c>
      <c r="N33" t="s">
        <v>261</v>
      </c>
      <c r="O33">
        <v>6069</v>
      </c>
      <c r="P33">
        <v>2.7000000000000001E-3</v>
      </c>
      <c r="Q33">
        <v>0.09</v>
      </c>
      <c r="R33" s="61">
        <f t="shared" si="2"/>
        <v>0.09</v>
      </c>
    </row>
    <row r="34" spans="1:18">
      <c r="A34">
        <f t="array" ref="A34">INDEX('BOM_spec (Farnell)'!$E$3:$E$62, MATCH(0, COUNTIF($A$1:A33, 'BOM_spec (Farnell)'!$E$3:$E$62), 0))</f>
        <v>2138612</v>
      </c>
      <c r="B34">
        <f>SUMIF('BOM_spec (Farnell)'!$E$3:$E$62,"="&amp;'Farnell Order'!A34,'BOM_spec (Farnell)'!$I$3:$I$62)</f>
        <v>1</v>
      </c>
      <c r="C34" t="s">
        <v>202</v>
      </c>
      <c r="D34">
        <f t="shared" ref="D34:D58" si="4">IF(C34="YES",B34*$U$1,B34)</f>
        <v>4</v>
      </c>
      <c r="E34">
        <f>VLOOKUP(A34,BOM_spec!F37:G103,2,FALSE)</f>
        <v>2</v>
      </c>
      <c r="F34">
        <f t="shared" si="3"/>
        <v>8</v>
      </c>
      <c r="G34" s="64" t="str">
        <f t="shared" ref="G34:G58" si="5">IF(A34&lt;&gt;I34,"ERR","")</f>
        <v/>
      </c>
      <c r="H34">
        <v>33</v>
      </c>
      <c r="I34">
        <v>2138612</v>
      </c>
      <c r="J34" t="s">
        <v>242</v>
      </c>
      <c r="L34">
        <v>10</v>
      </c>
      <c r="M34" t="s">
        <v>262</v>
      </c>
      <c r="N34" t="s">
        <v>263</v>
      </c>
      <c r="O34">
        <v>1150</v>
      </c>
      <c r="P34">
        <v>7.6E-3</v>
      </c>
      <c r="Q34">
        <v>0.08</v>
      </c>
      <c r="R34" s="61">
        <f t="shared" ref="R34:R58" si="6">IF(F34&gt;L34,F34*P34,Q34)</f>
        <v>0.08</v>
      </c>
    </row>
    <row r="35" spans="1:18">
      <c r="A35">
        <f t="array" ref="A35">INDEX('BOM_spec (Farnell)'!$E$3:$E$62, MATCH(0, COUNTIF($A$1:A34, 'BOM_spec (Farnell)'!$E$3:$E$62), 0))</f>
        <v>9238689</v>
      </c>
      <c r="B35">
        <f>SUMIF('BOM_spec (Farnell)'!$E$3:$E$62,"="&amp;'Farnell Order'!A35,'BOM_spec (Farnell)'!$I$3:$I$62)</f>
        <v>1</v>
      </c>
      <c r="C35" t="s">
        <v>202</v>
      </c>
      <c r="D35">
        <f t="shared" si="4"/>
        <v>4</v>
      </c>
      <c r="E35">
        <f>VLOOKUP(A35,BOM_spec!F38:G104,2,FALSE)</f>
        <v>2</v>
      </c>
      <c r="F35">
        <f t="shared" si="3"/>
        <v>8</v>
      </c>
      <c r="G35" s="64" t="str">
        <f t="shared" si="5"/>
        <v/>
      </c>
      <c r="H35">
        <v>34</v>
      </c>
      <c r="I35">
        <v>9238689</v>
      </c>
      <c r="J35" t="s">
        <v>202</v>
      </c>
      <c r="L35">
        <v>10</v>
      </c>
      <c r="M35" t="s">
        <v>264</v>
      </c>
      <c r="N35" t="s">
        <v>265</v>
      </c>
      <c r="O35">
        <v>67377</v>
      </c>
      <c r="P35">
        <v>5.7000000000000002E-3</v>
      </c>
      <c r="Q35">
        <v>0.06</v>
      </c>
      <c r="R35" s="61">
        <f t="shared" si="6"/>
        <v>0.06</v>
      </c>
    </row>
    <row r="36" spans="1:18">
      <c r="A36">
        <f t="array" ref="A36">INDEX('BOM_spec (Farnell)'!$E$3:$E$62, MATCH(0, COUNTIF($A$1:A35, 'BOM_spec (Farnell)'!$E$3:$E$62), 0))</f>
        <v>2502462</v>
      </c>
      <c r="B36">
        <f>SUMIF('BOM_spec (Farnell)'!$E$3:$E$62,"="&amp;'Farnell Order'!A36,'BOM_spec (Farnell)'!$I$3:$I$62)</f>
        <v>1</v>
      </c>
      <c r="C36" t="s">
        <v>202</v>
      </c>
      <c r="D36">
        <f t="shared" si="4"/>
        <v>4</v>
      </c>
      <c r="E36">
        <f>VLOOKUP(A36,BOM_spec!F39:G105,2,FALSE)</f>
        <v>2</v>
      </c>
      <c r="F36">
        <f t="shared" si="3"/>
        <v>8</v>
      </c>
      <c r="G36" s="64" t="str">
        <f t="shared" si="5"/>
        <v>ERR</v>
      </c>
      <c r="H36">
        <v>35</v>
      </c>
      <c r="I36">
        <v>2059614</v>
      </c>
      <c r="J36" t="s">
        <v>202</v>
      </c>
      <c r="L36">
        <v>50</v>
      </c>
      <c r="M36" t="s">
        <v>266</v>
      </c>
      <c r="N36" t="s">
        <v>267</v>
      </c>
      <c r="O36">
        <v>9187</v>
      </c>
      <c r="P36">
        <v>6.0000000000000001E-3</v>
      </c>
      <c r="Q36">
        <v>0.3</v>
      </c>
      <c r="R36" s="61">
        <f t="shared" si="6"/>
        <v>0.3</v>
      </c>
    </row>
    <row r="37" spans="1:18">
      <c r="A37">
        <f t="array" ref="A37">INDEX('BOM_spec (Farnell)'!$E$3:$E$62, MATCH(0, COUNTIF($A$1:A36, 'BOM_spec (Farnell)'!$E$3:$E$62), 0))</f>
        <v>2502463</v>
      </c>
      <c r="B37">
        <f>SUMIF('BOM_spec (Farnell)'!$E$3:$E$62,"="&amp;'Farnell Order'!A37,'BOM_spec (Farnell)'!$I$3:$I$62)</f>
        <v>3</v>
      </c>
      <c r="C37" t="s">
        <v>202</v>
      </c>
      <c r="D37">
        <f t="shared" si="4"/>
        <v>12</v>
      </c>
      <c r="E37">
        <f>VLOOKUP(A37,BOM_spec!F40:G106,2,FALSE)</f>
        <v>2</v>
      </c>
      <c r="F37">
        <f t="shared" si="3"/>
        <v>24</v>
      </c>
      <c r="G37" s="64" t="str">
        <f t="shared" si="5"/>
        <v>ERR</v>
      </c>
      <c r="H37">
        <v>36</v>
      </c>
      <c r="I37">
        <v>9238662</v>
      </c>
      <c r="J37" t="s">
        <v>202</v>
      </c>
      <c r="L37">
        <v>10</v>
      </c>
      <c r="M37" t="s">
        <v>268</v>
      </c>
      <c r="N37" t="s">
        <v>269</v>
      </c>
      <c r="O37">
        <v>2756</v>
      </c>
      <c r="P37">
        <v>5.8999999999999999E-3</v>
      </c>
      <c r="Q37">
        <v>0.06</v>
      </c>
      <c r="R37" s="61">
        <f t="shared" si="6"/>
        <v>0.1416</v>
      </c>
    </row>
    <row r="38" spans="1:18">
      <c r="A38">
        <f t="array" ref="A38">INDEX('BOM_spec (Farnell)'!$E$3:$E$62, MATCH(0, COUNTIF($A$1:A37, 'BOM_spec (Farnell)'!$E$3:$E$62), 0))</f>
        <v>2502453</v>
      </c>
      <c r="B38">
        <f>SUMIF('BOM_spec (Farnell)'!$E$3:$E$62,"="&amp;'Farnell Order'!A38,'BOM_spec (Farnell)'!$I$3:$I$62)</f>
        <v>1</v>
      </c>
      <c r="C38" t="s">
        <v>202</v>
      </c>
      <c r="D38">
        <f t="shared" si="4"/>
        <v>4</v>
      </c>
      <c r="E38">
        <f>VLOOKUP(A38,BOM_spec!F41:G107,2,FALSE)</f>
        <v>2</v>
      </c>
      <c r="F38">
        <f t="shared" si="3"/>
        <v>8</v>
      </c>
      <c r="G38" s="64" t="str">
        <f t="shared" si="5"/>
        <v>ERR</v>
      </c>
      <c r="H38">
        <v>37</v>
      </c>
      <c r="I38">
        <v>9331310</v>
      </c>
      <c r="J38" t="s">
        <v>242</v>
      </c>
      <c r="L38">
        <v>10</v>
      </c>
      <c r="M38" t="s">
        <v>270</v>
      </c>
      <c r="N38" t="s">
        <v>271</v>
      </c>
      <c r="O38">
        <v>7038</v>
      </c>
      <c r="P38">
        <v>0.01</v>
      </c>
      <c r="Q38">
        <v>0.1</v>
      </c>
      <c r="R38" s="61">
        <f t="shared" si="6"/>
        <v>0.1</v>
      </c>
    </row>
    <row r="39" spans="1:18">
      <c r="A39">
        <f t="array" ref="A39">INDEX('BOM_spec (Farnell)'!$E$3:$E$62, MATCH(0, COUNTIF($A$1:A38, 'BOM_spec (Farnell)'!$E$3:$E$62), 0))</f>
        <v>2502431</v>
      </c>
      <c r="B39">
        <f>SUMIF('BOM_spec (Farnell)'!$E$3:$E$62,"="&amp;'Farnell Order'!A39,'BOM_spec (Farnell)'!$I$3:$I$62)</f>
        <v>1</v>
      </c>
      <c r="C39" t="s">
        <v>202</v>
      </c>
      <c r="D39">
        <f t="shared" si="4"/>
        <v>4</v>
      </c>
      <c r="E39">
        <f>VLOOKUP(A39,BOM_spec!F42:G108,2,FALSE)</f>
        <v>2</v>
      </c>
      <c r="F39">
        <f t="shared" si="3"/>
        <v>8</v>
      </c>
      <c r="G39" s="64" t="str">
        <f t="shared" si="5"/>
        <v>ERR</v>
      </c>
      <c r="H39">
        <v>38</v>
      </c>
      <c r="I39">
        <v>2332019</v>
      </c>
      <c r="J39" t="s">
        <v>202</v>
      </c>
      <c r="L39">
        <v>10</v>
      </c>
      <c r="M39" t="s">
        <v>272</v>
      </c>
      <c r="N39" t="s">
        <v>273</v>
      </c>
      <c r="O39">
        <v>2700</v>
      </c>
      <c r="P39">
        <v>8.8999999999999999E-3</v>
      </c>
      <c r="Q39">
        <v>0.09</v>
      </c>
      <c r="R39" s="61">
        <f t="shared" si="6"/>
        <v>0.09</v>
      </c>
    </row>
    <row r="40" spans="1:18">
      <c r="A40">
        <f t="array" ref="A40">INDEX('BOM_spec (Farnell)'!$E$3:$E$62, MATCH(0, COUNTIF($A$1:A39, 'BOM_spec (Farnell)'!$E$3:$E$62), 0))</f>
        <v>2502414</v>
      </c>
      <c r="B40">
        <f>SUMIF('BOM_spec (Farnell)'!$E$3:$E$62,"="&amp;'Farnell Order'!A40,'BOM_spec (Farnell)'!$I$3:$I$62)</f>
        <v>1</v>
      </c>
      <c r="C40" t="s">
        <v>202</v>
      </c>
      <c r="D40">
        <f t="shared" si="4"/>
        <v>4</v>
      </c>
      <c r="E40">
        <f>VLOOKUP(A40,BOM_spec!F43:G109,2,FALSE)</f>
        <v>2</v>
      </c>
      <c r="F40">
        <f t="shared" si="3"/>
        <v>8</v>
      </c>
      <c r="G40" s="64" t="str">
        <f t="shared" si="5"/>
        <v>ERR</v>
      </c>
      <c r="H40">
        <v>39</v>
      </c>
      <c r="I40">
        <v>2138424</v>
      </c>
      <c r="J40" t="s">
        <v>242</v>
      </c>
      <c r="L40">
        <v>10</v>
      </c>
      <c r="M40" t="s">
        <v>274</v>
      </c>
      <c r="N40" t="s">
        <v>275</v>
      </c>
      <c r="O40">
        <v>7770</v>
      </c>
      <c r="P40">
        <v>9.5999999999999992E-3</v>
      </c>
      <c r="Q40">
        <v>0.1</v>
      </c>
      <c r="R40" s="61">
        <f t="shared" si="6"/>
        <v>0.1</v>
      </c>
    </row>
    <row r="41" spans="1:18">
      <c r="A41" t="e">
        <f t="array" ref="A41">INDEX('BOM_spec (Farnell)'!$E$3:$E$62, MATCH(0, COUNTIF($A$1:A40, 'BOM_spec (Farnell)'!$E$3:$E$62), 0))</f>
        <v>#REF!</v>
      </c>
      <c r="B41" t="e">
        <f>SUMIF('BOM_spec (Farnell)'!$E$3:$E$62,"="&amp;'Farnell Order'!A41,'BOM_spec (Farnell)'!$I$3:$I$62)</f>
        <v>#REF!</v>
      </c>
      <c r="C41" t="s">
        <v>202</v>
      </c>
      <c r="D41" t="e">
        <f t="shared" si="4"/>
        <v>#REF!</v>
      </c>
      <c r="E41" t="e">
        <f>VLOOKUP(A41,BOM_spec!F44:G110,2,FALSE)</f>
        <v>#REF!</v>
      </c>
      <c r="F41" t="e">
        <f t="shared" si="3"/>
        <v>#REF!</v>
      </c>
      <c r="G41" s="64" t="e">
        <f t="shared" si="5"/>
        <v>#REF!</v>
      </c>
      <c r="H41">
        <v>40</v>
      </c>
      <c r="I41">
        <v>2332013</v>
      </c>
      <c r="J41" t="s">
        <v>202</v>
      </c>
      <c r="L41">
        <v>10</v>
      </c>
      <c r="M41" t="s">
        <v>276</v>
      </c>
      <c r="N41" t="s">
        <v>277</v>
      </c>
      <c r="O41">
        <v>3558</v>
      </c>
      <c r="P41">
        <v>8.8999999999999999E-3</v>
      </c>
      <c r="Q41">
        <v>0.09</v>
      </c>
      <c r="R41" s="61" t="e">
        <f t="shared" si="6"/>
        <v>#REF!</v>
      </c>
    </row>
    <row r="42" spans="1:18">
      <c r="A42">
        <f t="array" ref="A42">INDEX('BOM_spec (Farnell)'!$E$3:$E$62, MATCH(0, COUNTIF($A$1:A41, 'BOM_spec (Farnell)'!$E$3:$E$62), 0))</f>
        <v>2303192</v>
      </c>
      <c r="B42">
        <f>SUMIF('BOM_spec (Farnell)'!$E$3:$E$62,"="&amp;'Farnell Order'!A42,'BOM_spec (Farnell)'!$I$3:$I$62)</f>
        <v>3</v>
      </c>
      <c r="C42" t="s">
        <v>202</v>
      </c>
      <c r="D42">
        <f t="shared" si="4"/>
        <v>12</v>
      </c>
      <c r="E42">
        <f>VLOOKUP(A42,BOM_spec!F45:G111,2,FALSE)</f>
        <v>2</v>
      </c>
      <c r="F42">
        <f t="shared" si="3"/>
        <v>24</v>
      </c>
      <c r="G42" s="64" t="str">
        <f t="shared" si="5"/>
        <v/>
      </c>
      <c r="H42">
        <v>41</v>
      </c>
      <c r="I42">
        <v>2303192</v>
      </c>
      <c r="J42" t="s">
        <v>202</v>
      </c>
      <c r="L42">
        <v>40</v>
      </c>
      <c r="M42" t="s">
        <v>278</v>
      </c>
      <c r="N42" t="s">
        <v>279</v>
      </c>
      <c r="O42">
        <v>110830</v>
      </c>
      <c r="P42">
        <v>7.0000000000000001E-3</v>
      </c>
      <c r="Q42">
        <v>0.28000000000000003</v>
      </c>
      <c r="R42" s="61">
        <f t="shared" si="6"/>
        <v>0.28000000000000003</v>
      </c>
    </row>
    <row r="43" spans="1:18">
      <c r="A43">
        <f t="array" ref="A43">INDEX('BOM_spec (Farnell)'!$E$3:$E$62, MATCH(0, COUNTIF($A$1:A42, 'BOM_spec (Farnell)'!$E$3:$E$62), 0))</f>
        <v>2303145</v>
      </c>
      <c r="B43">
        <f>SUMIF('BOM_spec (Farnell)'!$E$3:$E$62,"="&amp;'Farnell Order'!A43,'BOM_spec (Farnell)'!$I$3:$I$62)</f>
        <v>1</v>
      </c>
      <c r="C43" t="s">
        <v>202</v>
      </c>
      <c r="D43">
        <f t="shared" si="4"/>
        <v>4</v>
      </c>
      <c r="E43">
        <f>VLOOKUP(A43,BOM_spec!F46:G112,2,FALSE)</f>
        <v>2</v>
      </c>
      <c r="F43">
        <f t="shared" si="3"/>
        <v>8</v>
      </c>
      <c r="G43" s="64" t="str">
        <f t="shared" si="5"/>
        <v/>
      </c>
      <c r="H43">
        <v>42</v>
      </c>
      <c r="I43">
        <v>2303145</v>
      </c>
      <c r="J43" t="s">
        <v>202</v>
      </c>
      <c r="L43">
        <v>10</v>
      </c>
      <c r="M43" t="s">
        <v>280</v>
      </c>
      <c r="N43" t="s">
        <v>281</v>
      </c>
      <c r="O43">
        <v>38650</v>
      </c>
      <c r="P43">
        <v>7.0000000000000001E-3</v>
      </c>
      <c r="Q43">
        <v>7.0000000000000007E-2</v>
      </c>
      <c r="R43" s="61">
        <f t="shared" si="6"/>
        <v>7.0000000000000007E-2</v>
      </c>
    </row>
    <row r="44" spans="1:18">
      <c r="A44">
        <f t="array" ref="A44">INDEX('BOM_spec (Farnell)'!$E$3:$E$62, MATCH(0, COUNTIF($A$1:A43, 'BOM_spec (Farnell)'!$E$3:$E$62), 0))</f>
        <v>1653287</v>
      </c>
      <c r="B44">
        <f>SUMIF('BOM_spec (Farnell)'!$E$3:$E$62,"="&amp;'Farnell Order'!A44,'BOM_spec (Farnell)'!$I$3:$I$62)</f>
        <v>1</v>
      </c>
      <c r="C44" t="s">
        <v>202</v>
      </c>
      <c r="D44">
        <f t="shared" si="4"/>
        <v>4</v>
      </c>
      <c r="E44">
        <f>VLOOKUP(A44,BOM_spec!F47:G113,2,FALSE)</f>
        <v>2</v>
      </c>
      <c r="F44">
        <f t="shared" si="3"/>
        <v>8</v>
      </c>
      <c r="G44" s="64" t="str">
        <f t="shared" si="5"/>
        <v/>
      </c>
      <c r="H44">
        <v>43</v>
      </c>
      <c r="I44">
        <v>1653287</v>
      </c>
      <c r="J44" t="s">
        <v>202</v>
      </c>
      <c r="L44">
        <v>8</v>
      </c>
      <c r="M44" t="s">
        <v>282</v>
      </c>
      <c r="N44" t="s">
        <v>283</v>
      </c>
      <c r="O44">
        <v>6084</v>
      </c>
      <c r="P44">
        <v>8.1199999999999994E-2</v>
      </c>
      <c r="Q44">
        <v>0.65</v>
      </c>
      <c r="R44" s="61">
        <f t="shared" si="6"/>
        <v>0.65</v>
      </c>
    </row>
    <row r="45" spans="1:18">
      <c r="A45">
        <f t="array" ref="A45">INDEX('BOM_spec (Farnell)'!$E$3:$E$62, MATCH(0, COUNTIF($A$1:A44, 'BOM_spec (Farnell)'!$E$3:$E$62), 0))</f>
        <v>1653254</v>
      </c>
      <c r="B45">
        <f>SUMIF('BOM_spec (Farnell)'!$E$3:$E$62,"="&amp;'Farnell Order'!A45,'BOM_spec (Farnell)'!$I$3:$I$62)</f>
        <v>1</v>
      </c>
      <c r="C45" t="s">
        <v>202</v>
      </c>
      <c r="D45">
        <f t="shared" si="4"/>
        <v>4</v>
      </c>
      <c r="E45">
        <f>VLOOKUP(A45,BOM_spec!F48:G114,2,FALSE)</f>
        <v>2</v>
      </c>
      <c r="F45">
        <f t="shared" si="3"/>
        <v>8</v>
      </c>
      <c r="G45" s="64" t="str">
        <f t="shared" si="5"/>
        <v/>
      </c>
      <c r="H45">
        <v>44</v>
      </c>
      <c r="I45">
        <v>1653254</v>
      </c>
      <c r="J45" t="s">
        <v>202</v>
      </c>
      <c r="L45">
        <v>8</v>
      </c>
      <c r="M45" t="s">
        <v>284</v>
      </c>
      <c r="N45" t="s">
        <v>285</v>
      </c>
      <c r="O45">
        <v>26714</v>
      </c>
      <c r="P45">
        <v>8.1199999999999994E-2</v>
      </c>
      <c r="Q45">
        <v>0.65</v>
      </c>
      <c r="R45" s="61">
        <f t="shared" si="6"/>
        <v>0.65</v>
      </c>
    </row>
    <row r="46" spans="1:18">
      <c r="A46">
        <f t="array" ref="A46">INDEX('BOM_spec (Farnell)'!$E$3:$E$62, MATCH(0, COUNTIF($A$1:A45, 'BOM_spec (Farnell)'!$E$3:$E$62), 0))</f>
        <v>1831074</v>
      </c>
      <c r="B46">
        <f>SUMIF('BOM_spec (Farnell)'!$E$3:$E$62,"="&amp;'Farnell Order'!A46,'BOM_spec (Farnell)'!$I$3:$I$62)</f>
        <v>1</v>
      </c>
      <c r="C46" t="s">
        <v>202</v>
      </c>
      <c r="D46">
        <f t="shared" si="4"/>
        <v>4</v>
      </c>
      <c r="E46">
        <f>VLOOKUP(A46,BOM_spec!F49:G115,2,FALSE)</f>
        <v>1</v>
      </c>
      <c r="F46">
        <f t="shared" si="3"/>
        <v>4</v>
      </c>
      <c r="G46" s="64" t="str">
        <f t="shared" si="5"/>
        <v/>
      </c>
      <c r="H46">
        <v>45</v>
      </c>
      <c r="I46">
        <v>1831074</v>
      </c>
      <c r="J46" t="s">
        <v>202</v>
      </c>
      <c r="L46">
        <v>4</v>
      </c>
      <c r="M46" t="s">
        <v>171</v>
      </c>
      <c r="N46" t="s">
        <v>286</v>
      </c>
      <c r="O46">
        <v>3655</v>
      </c>
      <c r="P46">
        <v>1.39</v>
      </c>
      <c r="Q46">
        <v>5.56</v>
      </c>
      <c r="R46" s="61">
        <f t="shared" si="6"/>
        <v>5.56</v>
      </c>
    </row>
    <row r="47" spans="1:18">
      <c r="A47">
        <f t="array" ref="A47">INDEX('BOM_spec (Farnell)'!$E$3:$E$62, MATCH(0, COUNTIF($A$1:A46, 'BOM_spec (Farnell)'!$E$3:$E$62), 0))</f>
        <v>1259469</v>
      </c>
      <c r="B47">
        <f>SUMIF('BOM_spec (Farnell)'!$E$3:$E$62,"="&amp;'Farnell Order'!A47,'BOM_spec (Farnell)'!$I$3:$I$62)</f>
        <v>2</v>
      </c>
      <c r="C47" t="s">
        <v>287</v>
      </c>
      <c r="D47">
        <f t="shared" si="4"/>
        <v>2</v>
      </c>
      <c r="E47">
        <f>VLOOKUP(A47,BOM_spec!F50:G116,2,FALSE)</f>
        <v>1</v>
      </c>
      <c r="F47">
        <f t="shared" si="3"/>
        <v>2</v>
      </c>
      <c r="G47" s="64" t="str">
        <f t="shared" si="5"/>
        <v/>
      </c>
      <c r="H47">
        <v>46</v>
      </c>
      <c r="I47">
        <v>1259469</v>
      </c>
      <c r="J47" t="s">
        <v>202</v>
      </c>
      <c r="L47">
        <v>2</v>
      </c>
      <c r="M47" t="s">
        <v>288</v>
      </c>
      <c r="N47" t="s">
        <v>289</v>
      </c>
      <c r="O47">
        <v>133</v>
      </c>
      <c r="P47">
        <v>3.48</v>
      </c>
      <c r="Q47">
        <v>6.96</v>
      </c>
      <c r="R47" s="61">
        <f t="shared" si="6"/>
        <v>6.96</v>
      </c>
    </row>
    <row r="48" spans="1:18">
      <c r="A48">
        <f t="array" ref="A48">INDEX('BOM_spec (Farnell)'!$E$3:$E$62, MATCH(0, COUNTIF($A$1:A47, 'BOM_spec (Farnell)'!$E$3:$E$62), 0))</f>
        <v>7047526</v>
      </c>
      <c r="B48">
        <f>SUMIF('BOM_spec (Farnell)'!$E$3:$E$62,"="&amp;'Farnell Order'!A48,'BOM_spec (Farnell)'!$I$3:$I$62)</f>
        <v>1</v>
      </c>
      <c r="C48" t="s">
        <v>287</v>
      </c>
      <c r="D48">
        <f t="shared" si="4"/>
        <v>1</v>
      </c>
      <c r="E48">
        <f>VLOOKUP(A48,BOM_spec!F51:G117,2,FALSE)</f>
        <v>1</v>
      </c>
      <c r="F48">
        <f t="shared" si="3"/>
        <v>1</v>
      </c>
      <c r="G48" s="64" t="str">
        <f t="shared" si="5"/>
        <v/>
      </c>
      <c r="H48">
        <v>47</v>
      </c>
      <c r="I48">
        <v>7047526</v>
      </c>
      <c r="J48" t="s">
        <v>202</v>
      </c>
      <c r="L48">
        <v>1</v>
      </c>
      <c r="M48">
        <v>110770</v>
      </c>
      <c r="N48" t="s">
        <v>290</v>
      </c>
      <c r="O48">
        <v>99</v>
      </c>
      <c r="P48">
        <v>2.4500000000000002</v>
      </c>
      <c r="Q48">
        <v>2.4500000000000002</v>
      </c>
      <c r="R48" s="61">
        <f t="shared" si="6"/>
        <v>2.4500000000000002</v>
      </c>
    </row>
    <row r="49" spans="1:18">
      <c r="A49">
        <f t="array" ref="A49">INDEX('BOM_spec (Farnell)'!$E$3:$E$62, MATCH(0, COUNTIF($A$1:A48, 'BOM_spec (Farnell)'!$E$3:$E$62), 0))</f>
        <v>2336358</v>
      </c>
      <c r="B49">
        <f>SUMIF('BOM_spec (Farnell)'!$E$3:$E$62,"="&amp;'Farnell Order'!A49,'BOM_spec (Farnell)'!$I$3:$I$62)</f>
        <v>1</v>
      </c>
      <c r="C49" t="s">
        <v>287</v>
      </c>
      <c r="D49">
        <f t="shared" si="4"/>
        <v>1</v>
      </c>
      <c r="E49">
        <f>VLOOKUP(A49,BOM_spec!F50:G118,2,FALSE)</f>
        <v>1</v>
      </c>
      <c r="F49">
        <f t="shared" si="3"/>
        <v>1</v>
      </c>
      <c r="G49" s="64" t="str">
        <f t="shared" si="5"/>
        <v/>
      </c>
      <c r="H49">
        <v>48</v>
      </c>
      <c r="I49">
        <v>2336358</v>
      </c>
      <c r="J49" t="s">
        <v>202</v>
      </c>
      <c r="L49">
        <v>1</v>
      </c>
      <c r="M49" t="s">
        <v>291</v>
      </c>
      <c r="N49" t="s">
        <v>292</v>
      </c>
      <c r="O49">
        <v>354</v>
      </c>
      <c r="P49">
        <v>7.96</v>
      </c>
      <c r="Q49">
        <v>7.96</v>
      </c>
      <c r="R49" s="61">
        <f t="shared" si="6"/>
        <v>7.96</v>
      </c>
    </row>
    <row r="50" spans="1:18">
      <c r="A50">
        <f t="array" ref="A50">INDEX('BOM_spec (Farnell)'!$E$3:$E$62, MATCH(0, COUNTIF($A$1:A49, 'BOM_spec (Farnell)'!$E$3:$E$62), 0))</f>
        <v>7167131</v>
      </c>
      <c r="B50">
        <f>SUMIF('BOM_spec (Farnell)'!$E$3:$E$62,"="&amp;'Farnell Order'!A50,'BOM_spec (Farnell)'!$I$3:$I$62)</f>
        <v>1</v>
      </c>
      <c r="C50" t="s">
        <v>287</v>
      </c>
      <c r="D50">
        <f t="shared" si="4"/>
        <v>1</v>
      </c>
      <c r="E50">
        <f>VLOOKUP(A50,BOM_spec!F52:G119,2,FALSE)</f>
        <v>1</v>
      </c>
      <c r="F50">
        <f t="shared" si="3"/>
        <v>1</v>
      </c>
      <c r="G50" s="64" t="str">
        <f t="shared" si="5"/>
        <v/>
      </c>
      <c r="H50">
        <v>49</v>
      </c>
      <c r="I50">
        <v>7167131</v>
      </c>
      <c r="J50" t="s">
        <v>293</v>
      </c>
      <c r="L50">
        <v>1</v>
      </c>
      <c r="M50" t="s">
        <v>294</v>
      </c>
      <c r="N50" s="60" t="s">
        <v>295</v>
      </c>
      <c r="O50">
        <v>3</v>
      </c>
      <c r="P50" s="61">
        <v>12.61</v>
      </c>
      <c r="Q50">
        <v>12.61</v>
      </c>
      <c r="R50" s="61">
        <f t="shared" si="6"/>
        <v>12.61</v>
      </c>
    </row>
    <row r="51" spans="1:18">
      <c r="A51">
        <f t="array" ref="A51">INDEX('BOM_spec (Farnell)'!$E$3:$E$62, MATCH(0, COUNTIF($A$1:A50, 'BOM_spec (Farnell)'!$E$3:$E$62), 0))</f>
        <v>1702971</v>
      </c>
      <c r="B51">
        <f>SUMIF('BOM_spec (Farnell)'!$E$3:$E$62,"="&amp;'Farnell Order'!A51,'BOM_spec (Farnell)'!$I$3:$I$62)</f>
        <v>1</v>
      </c>
      <c r="C51" t="s">
        <v>287</v>
      </c>
      <c r="D51">
        <f t="shared" si="4"/>
        <v>1</v>
      </c>
      <c r="E51">
        <f>VLOOKUP(A51,BOM_spec!F53:G120,2,FALSE)</f>
        <v>1</v>
      </c>
      <c r="F51">
        <f t="shared" si="3"/>
        <v>1</v>
      </c>
      <c r="G51" s="64" t="str">
        <f t="shared" si="5"/>
        <v/>
      </c>
      <c r="H51">
        <v>50</v>
      </c>
      <c r="I51">
        <v>1702971</v>
      </c>
      <c r="J51" t="s">
        <v>293</v>
      </c>
      <c r="L51">
        <v>1</v>
      </c>
      <c r="M51" t="s">
        <v>296</v>
      </c>
      <c r="N51" t="s">
        <v>297</v>
      </c>
      <c r="O51">
        <v>50</v>
      </c>
      <c r="P51" s="61">
        <v>3.18</v>
      </c>
      <c r="Q51">
        <v>3.18</v>
      </c>
      <c r="R51" s="61">
        <f t="shared" si="6"/>
        <v>3.18</v>
      </c>
    </row>
    <row r="52" spans="1:18">
      <c r="A52">
        <f t="array" ref="A52">INDEX('BOM_spec (Farnell)'!$E$3:$E$62, MATCH(0, COUNTIF($A$1:A51, 'BOM_spec (Farnell)'!$E$3:$E$62), 0))</f>
        <v>1836064</v>
      </c>
      <c r="B52">
        <f>SUMIF('BOM_spec (Farnell)'!$E$3:$E$62,"="&amp;'Farnell Order'!A52,'BOM_spec (Farnell)'!$I$3:$I$62)</f>
        <v>1</v>
      </c>
      <c r="C52" t="s">
        <v>287</v>
      </c>
      <c r="D52">
        <f t="shared" si="4"/>
        <v>1</v>
      </c>
      <c r="E52">
        <f>VLOOKUP(A52,BOM_spec!F54:G121,2,FALSE)</f>
        <v>1</v>
      </c>
      <c r="F52">
        <f t="shared" si="3"/>
        <v>1</v>
      </c>
      <c r="G52" s="64" t="str">
        <f t="shared" si="5"/>
        <v/>
      </c>
      <c r="H52">
        <v>51</v>
      </c>
      <c r="I52">
        <v>1836064</v>
      </c>
      <c r="J52" t="s">
        <v>293</v>
      </c>
      <c r="L52">
        <v>1</v>
      </c>
      <c r="M52" t="s">
        <v>298</v>
      </c>
      <c r="N52" t="s">
        <v>299</v>
      </c>
      <c r="O52">
        <v>105</v>
      </c>
      <c r="P52">
        <v>36.29</v>
      </c>
      <c r="Q52">
        <v>36.29</v>
      </c>
      <c r="R52" s="61">
        <f t="shared" si="6"/>
        <v>36.29</v>
      </c>
    </row>
    <row r="53" spans="1:18">
      <c r="A53">
        <f t="array" ref="A53">INDEX('BOM_spec (Farnell)'!$E$3:$E$62, MATCH(0, COUNTIF($A$1:A52, 'BOM_spec (Farnell)'!$E$3:$E$62), 0))</f>
        <v>1438760</v>
      </c>
      <c r="B53">
        <f>SUMIF('BOM_spec (Farnell)'!$E$3:$E$62,"="&amp;'Farnell Order'!A53,'BOM_spec (Farnell)'!$I$3:$I$62)</f>
        <v>4</v>
      </c>
      <c r="C53" t="s">
        <v>287</v>
      </c>
      <c r="D53">
        <f t="shared" si="4"/>
        <v>4</v>
      </c>
      <c r="E53">
        <f>VLOOKUP(A53,BOM_spec!F55:G122,2,FALSE)</f>
        <v>1</v>
      </c>
      <c r="F53">
        <f t="shared" si="3"/>
        <v>4</v>
      </c>
      <c r="G53" s="64" t="str">
        <f t="shared" si="5"/>
        <v/>
      </c>
      <c r="H53">
        <v>52</v>
      </c>
      <c r="I53">
        <v>1438760</v>
      </c>
      <c r="J53" t="s">
        <v>202</v>
      </c>
      <c r="L53">
        <v>4</v>
      </c>
      <c r="M53" t="s">
        <v>300</v>
      </c>
      <c r="N53" t="s">
        <v>301</v>
      </c>
      <c r="O53">
        <v>624</v>
      </c>
      <c r="P53">
        <v>1.33</v>
      </c>
      <c r="Q53">
        <v>5.32</v>
      </c>
      <c r="R53" s="61">
        <f t="shared" si="6"/>
        <v>5.32</v>
      </c>
    </row>
    <row r="54" spans="1:18">
      <c r="A54">
        <f t="array" ref="A54">INDEX('BOM_spec (Farnell)'!$E$3:$E$62, MATCH(0, COUNTIF($A$1:A53, 'BOM_spec (Farnell)'!$E$3:$E$62), 0))</f>
        <v>1206535</v>
      </c>
      <c r="B54">
        <f>SUMIF('BOM_spec (Farnell)'!$E$3:$E$62,"="&amp;'Farnell Order'!A54,'BOM_spec (Farnell)'!$I$3:$I$62)</f>
        <v>1</v>
      </c>
      <c r="C54" t="s">
        <v>287</v>
      </c>
      <c r="D54">
        <f t="shared" si="4"/>
        <v>1</v>
      </c>
      <c r="E54">
        <f>VLOOKUP(A54,BOM_spec!F56:G123,2,FALSE)</f>
        <v>1</v>
      </c>
      <c r="F54">
        <f t="shared" si="3"/>
        <v>1</v>
      </c>
      <c r="G54" s="64" t="str">
        <f t="shared" si="5"/>
        <v/>
      </c>
      <c r="H54">
        <v>53</v>
      </c>
      <c r="I54">
        <v>1206535</v>
      </c>
      <c r="J54" t="s">
        <v>293</v>
      </c>
      <c r="L54">
        <v>1</v>
      </c>
      <c r="M54" t="s">
        <v>302</v>
      </c>
      <c r="N54" t="s">
        <v>303</v>
      </c>
      <c r="O54">
        <v>211</v>
      </c>
      <c r="P54">
        <v>3.86</v>
      </c>
      <c r="Q54">
        <v>3.86</v>
      </c>
      <c r="R54" s="61">
        <f t="shared" si="6"/>
        <v>3.86</v>
      </c>
    </row>
    <row r="55" spans="1:18">
      <c r="A55">
        <f t="array" ref="A55">INDEX('BOM_spec (Farnell)'!$E$3:$E$62, MATCH(0, COUNTIF($A$1:A54, 'BOM_spec (Farnell)'!$E$3:$E$62), 0))</f>
        <v>1521281</v>
      </c>
      <c r="B55">
        <f>SUMIF('BOM_spec (Farnell)'!$E$3:$E$62,"="&amp;'Farnell Order'!A55,'BOM_spec (Farnell)'!$I$3:$I$62)</f>
        <v>1</v>
      </c>
      <c r="C55" t="s">
        <v>287</v>
      </c>
      <c r="D55">
        <f t="shared" si="4"/>
        <v>1</v>
      </c>
      <c r="E55">
        <f>VLOOKUP(A55,BOM_spec!F57:G124,2,FALSE)</f>
        <v>1</v>
      </c>
      <c r="F55">
        <f t="shared" si="3"/>
        <v>1</v>
      </c>
      <c r="G55" s="64" t="str">
        <f t="shared" si="5"/>
        <v/>
      </c>
      <c r="H55">
        <v>54</v>
      </c>
      <c r="I55">
        <v>1521281</v>
      </c>
      <c r="J55" t="s">
        <v>293</v>
      </c>
      <c r="L55">
        <v>1</v>
      </c>
      <c r="M55" t="s">
        <v>304</v>
      </c>
      <c r="N55" t="s">
        <v>305</v>
      </c>
      <c r="O55">
        <v>2012</v>
      </c>
      <c r="P55">
        <v>3.91</v>
      </c>
      <c r="Q55">
        <v>3.91</v>
      </c>
      <c r="R55" s="61">
        <f t="shared" si="6"/>
        <v>3.91</v>
      </c>
    </row>
    <row r="56" spans="1:18">
      <c r="A56">
        <f t="array" ref="A56">INDEX('BOM_spec (Farnell)'!$E$3:$E$62, MATCH(0, COUNTIF($A$1:A55, 'BOM_spec (Farnell)'!$E$3:$E$62), 0))</f>
        <v>1687854</v>
      </c>
      <c r="B56">
        <f>SUMIF('BOM_spec (Farnell)'!$E$3:$E$62,"="&amp;'Farnell Order'!A56,'BOM_spec (Farnell)'!$I$3:$I$62)</f>
        <v>1</v>
      </c>
      <c r="C56" t="s">
        <v>287</v>
      </c>
      <c r="D56">
        <f t="shared" si="4"/>
        <v>1</v>
      </c>
      <c r="E56">
        <f>VLOOKUP(A56,BOM_spec!F58:G125,2,FALSE)</f>
        <v>1</v>
      </c>
      <c r="F56">
        <f t="shared" si="3"/>
        <v>1</v>
      </c>
      <c r="G56" s="64" t="str">
        <f t="shared" si="5"/>
        <v/>
      </c>
      <c r="H56">
        <v>55</v>
      </c>
      <c r="I56">
        <v>1687854</v>
      </c>
      <c r="J56" t="s">
        <v>202</v>
      </c>
      <c r="L56">
        <v>1</v>
      </c>
      <c r="M56" t="s">
        <v>306</v>
      </c>
      <c r="N56" t="s">
        <v>307</v>
      </c>
      <c r="O56">
        <v>301</v>
      </c>
      <c r="P56">
        <v>4.6900000000000004</v>
      </c>
      <c r="Q56">
        <v>4.6900000000000004</v>
      </c>
      <c r="R56" s="61">
        <f t="shared" si="6"/>
        <v>4.6900000000000004</v>
      </c>
    </row>
    <row r="57" spans="1:18">
      <c r="A57">
        <f t="array" ref="A57">INDEX('BOM_spec (Farnell)'!$E$3:$E$62, MATCH(0, COUNTIF($A$1:A56, 'BOM_spec (Farnell)'!$E$3:$E$62), 0))</f>
        <v>2132071</v>
      </c>
      <c r="B57">
        <f>SUMIF('BOM_spec (Farnell)'!$E$3:$E$62,"="&amp;'Farnell Order'!A57,'BOM_spec (Farnell)'!$I$3:$I$62)</f>
        <v>1</v>
      </c>
      <c r="C57" t="s">
        <v>287</v>
      </c>
      <c r="D57">
        <f t="shared" si="4"/>
        <v>1</v>
      </c>
      <c r="E57">
        <f>VLOOKUP(A57,BOM_spec!F59:G126,2,FALSE)</f>
        <v>1</v>
      </c>
      <c r="F57">
        <f t="shared" si="3"/>
        <v>1</v>
      </c>
      <c r="G57" s="64" t="str">
        <f t="shared" si="5"/>
        <v/>
      </c>
      <c r="H57">
        <v>56</v>
      </c>
      <c r="I57">
        <v>2132071</v>
      </c>
      <c r="J57" t="s">
        <v>293</v>
      </c>
      <c r="L57">
        <v>1</v>
      </c>
      <c r="M57" t="s">
        <v>308</v>
      </c>
      <c r="N57" t="s">
        <v>309</v>
      </c>
      <c r="O57">
        <v>70</v>
      </c>
      <c r="P57">
        <v>1.88</v>
      </c>
      <c r="Q57">
        <v>1.88</v>
      </c>
      <c r="R57" s="61">
        <f t="shared" si="6"/>
        <v>1.88</v>
      </c>
    </row>
    <row r="58" spans="1:18">
      <c r="A58">
        <f t="array" ref="A58">INDEX('BOM_spec (Farnell)'!$E$3:$E$62, MATCH(0, COUNTIF($A$1:A57, 'BOM_spec (Farnell)'!$E$3:$E$62), 0))</f>
        <v>1358645</v>
      </c>
      <c r="B58">
        <f>SUMIF('BOM_spec (Farnell)'!$E$3:$E$62,"="&amp;'Farnell Order'!A58,'BOM_spec (Farnell)'!$I$3:$I$62)</f>
        <v>1</v>
      </c>
      <c r="C58" t="s">
        <v>287</v>
      </c>
      <c r="D58">
        <f t="shared" si="4"/>
        <v>1</v>
      </c>
      <c r="E58">
        <f>VLOOKUP(A58,BOM_spec!F60:G127,2,FALSE)</f>
        <v>1</v>
      </c>
      <c r="F58">
        <f t="shared" si="3"/>
        <v>1</v>
      </c>
      <c r="G58" s="64" t="str">
        <f t="shared" si="5"/>
        <v/>
      </c>
      <c r="H58">
        <v>57</v>
      </c>
      <c r="I58">
        <v>1358645</v>
      </c>
      <c r="J58" t="s">
        <v>293</v>
      </c>
      <c r="L58">
        <v>1</v>
      </c>
      <c r="M58" t="s">
        <v>310</v>
      </c>
      <c r="N58" t="s">
        <v>311</v>
      </c>
      <c r="O58">
        <v>82</v>
      </c>
      <c r="P58">
        <v>24.23</v>
      </c>
      <c r="Q58">
        <v>24.23</v>
      </c>
      <c r="R58" s="61">
        <f t="shared" si="6"/>
        <v>24.23</v>
      </c>
    </row>
  </sheetData>
  <conditionalFormatting sqref="N1 N59:N1048576">
    <cfRule type="cellIs" dxfId="7" priority="4" operator="equal">
      <formula>"Out of Stock"</formula>
    </cfRule>
  </conditionalFormatting>
  <conditionalFormatting sqref="N50:N51">
    <cfRule type="cellIs" dxfId="6" priority="2" operator="equal">
      <formula>"Out of Stock"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  <pageSetUpPr fitToPage="1"/>
  </sheetPr>
  <dimension ref="A1:Y9"/>
  <sheetViews>
    <sheetView showGridLines="0" zoomScale="70" zoomScaleNormal="70" workbookViewId="0" xr3:uid="{51F8DEE0-4D01-5F28-A812-FC0BD7CAC4A5}">
      <pane xSplit="1" ySplit="2" topLeftCell="B3" activePane="bottomRight" state="frozen"/>
      <selection pane="bottomRight" activeCell="A9" sqref="A9"/>
      <selection pane="bottomLeft" activeCell="A2" sqref="A2"/>
      <selection pane="topRight" activeCell="B1" sqref="B1"/>
    </sheetView>
  </sheetViews>
  <sheetFormatPr defaultColWidth="8.85546875" defaultRowHeight="14.45"/>
  <cols>
    <col min="1" max="1" width="14.42578125" style="2" customWidth="1"/>
    <col min="2" max="2" width="37.28515625" style="2" bestFit="1" customWidth="1"/>
    <col min="3" max="3" width="14.5703125" style="2" bestFit="1" customWidth="1"/>
    <col min="4" max="4" width="27.42578125" style="39" customWidth="1"/>
    <col min="5" max="5" width="9.7109375" style="2" bestFit="1" customWidth="1"/>
    <col min="6" max="6" width="9.7109375" style="3" customWidth="1"/>
    <col min="7" max="7" width="15" style="37" bestFit="1" customWidth="1"/>
    <col min="8" max="8" width="13.42578125" style="2" bestFit="1" customWidth="1"/>
    <col min="9" max="9" width="6.85546875" style="3" customWidth="1"/>
    <col min="10" max="10" width="14.7109375" style="3" customWidth="1"/>
    <col min="11" max="11" width="20.7109375" style="4" customWidth="1"/>
    <col min="12" max="13" width="9.5703125" style="4" customWidth="1"/>
    <col min="14" max="14" width="20.7109375" style="4" customWidth="1"/>
    <col min="15" max="16" width="9.5703125" style="4" customWidth="1"/>
    <col min="17" max="17" width="20.7109375" style="4" customWidth="1"/>
    <col min="18" max="19" width="9.5703125" style="4" customWidth="1"/>
    <col min="20" max="20" width="20.7109375" style="4" customWidth="1"/>
    <col min="21" max="22" width="9.5703125" style="4" customWidth="1"/>
    <col min="23" max="23" width="20.7109375" style="4" customWidth="1"/>
    <col min="24" max="25" width="8.85546875" style="4" customWidth="1"/>
    <col min="26" max="16384" width="8.85546875" style="2"/>
  </cols>
  <sheetData>
    <row r="1" spans="1:25" ht="34.15" thickBot="1">
      <c r="A1" s="1" t="str">
        <f>BOM_spec!A1</f>
        <v>BOM Specification</v>
      </c>
    </row>
    <row r="2" spans="1:25" s="8" customFormat="1" ht="29.45" thickBot="1">
      <c r="A2" s="5" t="str">
        <f>BOM_spec!A2</f>
        <v>Part ID</v>
      </c>
      <c r="B2" s="6" t="str">
        <f>BOM_spec!B2</f>
        <v>Part description</v>
      </c>
      <c r="C2" s="6" t="str">
        <f>BOM_spec!C2</f>
        <v>Manufacturer</v>
      </c>
      <c r="D2" s="40" t="str">
        <f>BOM_spec!D2</f>
        <v>Part number</v>
      </c>
      <c r="E2" s="6" t="str">
        <f>BOM_spec!F2</f>
        <v>Proto OC</v>
      </c>
      <c r="F2" s="6" t="str">
        <f>BOM_spec!G2</f>
        <v>Order margin</v>
      </c>
      <c r="G2" s="38" t="str">
        <f>BOM_spec!H2</f>
        <v>Est. unit cost (1000 units)</v>
      </c>
      <c r="H2" s="6" t="str">
        <f>BOM_spec!I2</f>
        <v>Replacable?</v>
      </c>
      <c r="I2" s="6" t="str">
        <f>BOM_spec!J2</f>
        <v>PCS</v>
      </c>
      <c r="J2" s="38" t="str">
        <f>BOM_spec!K2</f>
        <v>Est. total cost (1000 units)</v>
      </c>
      <c r="K2" s="6" t="str">
        <f>BOM_spec!L2</f>
        <v>Spec 1</v>
      </c>
      <c r="L2" s="7" t="str">
        <f>BOM_spec!M2</f>
        <v>Value (min)</v>
      </c>
      <c r="M2" s="5" t="str">
        <f>BOM_spec!N2</f>
        <v>Value (max)</v>
      </c>
      <c r="N2" s="6" t="str">
        <f>BOM_spec!O2</f>
        <v>Spec 2</v>
      </c>
      <c r="O2" s="7" t="str">
        <f>BOM_spec!P2</f>
        <v>Value (min)</v>
      </c>
      <c r="P2" s="5" t="str">
        <f>BOM_spec!Q2</f>
        <v>Value (max)</v>
      </c>
      <c r="Q2" s="6" t="str">
        <f>BOM_spec!R2</f>
        <v>Spec 3</v>
      </c>
      <c r="R2" s="7" t="str">
        <f>BOM_spec!S2</f>
        <v>Value (min)</v>
      </c>
      <c r="S2" s="5" t="str">
        <f>BOM_spec!T2</f>
        <v>Value (max)</v>
      </c>
      <c r="T2" s="6" t="str">
        <f>BOM_spec!U2</f>
        <v>Spec 4</v>
      </c>
      <c r="U2" s="7" t="str">
        <f>BOM_spec!V2</f>
        <v>Value (min)</v>
      </c>
      <c r="V2" s="5" t="str">
        <f>BOM_spec!W2</f>
        <v>Value (max)</v>
      </c>
      <c r="W2" s="6" t="str">
        <f>BOM_spec!X2</f>
        <v>Spec 5</v>
      </c>
      <c r="X2" s="7" t="str">
        <f>BOM_spec!Y2</f>
        <v>Value (min)</v>
      </c>
      <c r="Y2" s="5" t="str">
        <f>BOM_spec!Z2</f>
        <v>Value (max)</v>
      </c>
    </row>
    <row r="3" spans="1:25">
      <c r="A3" s="9" t="str">
        <f>BOM_spec!A20</f>
        <v>IC1</v>
      </c>
      <c r="B3" s="10" t="str">
        <f>BOM_spec!B20</f>
        <v>Solar battery charge controller ASIC</v>
      </c>
      <c r="C3" s="11" t="str">
        <f>BOM_spec!C20</f>
        <v>TI</v>
      </c>
      <c r="D3" s="41" t="s">
        <v>80</v>
      </c>
      <c r="E3" s="55" t="str">
        <f>BOM_spec!F20</f>
        <v>Digikey</v>
      </c>
      <c r="F3" s="62">
        <f>BOM_spec!G20</f>
        <v>1.2</v>
      </c>
      <c r="G3" s="45">
        <f>BOM_spec!H20</f>
        <v>1.93</v>
      </c>
      <c r="H3" s="11" t="str">
        <f>BOM_spec!I20</f>
        <v>No</v>
      </c>
      <c r="I3" s="30">
        <f>BOM_spec!J20</f>
        <v>1</v>
      </c>
      <c r="J3" s="45">
        <f>BOM_spec!K20</f>
        <v>1.93</v>
      </c>
      <c r="K3" s="14">
        <f>BOM_spec!L20</f>
        <v>0</v>
      </c>
      <c r="L3" s="33">
        <f>BOM_spec!M20</f>
        <v>0</v>
      </c>
      <c r="M3" s="17">
        <f>BOM_spec!N20</f>
        <v>0</v>
      </c>
      <c r="N3" s="14">
        <f>BOM_spec!O20</f>
        <v>0</v>
      </c>
      <c r="O3" s="12">
        <f>BOM_spec!P20</f>
        <v>0</v>
      </c>
      <c r="P3" s="13">
        <f>BOM_spec!Q20</f>
        <v>0</v>
      </c>
      <c r="Q3" s="14">
        <f>BOM_spec!R20</f>
        <v>0</v>
      </c>
      <c r="R3" s="12">
        <f>BOM_spec!S20</f>
        <v>0</v>
      </c>
      <c r="S3" s="13">
        <f>BOM_spec!T20</f>
        <v>0</v>
      </c>
      <c r="T3" s="14">
        <f>BOM_spec!U20</f>
        <v>0</v>
      </c>
      <c r="U3" s="12">
        <f>BOM_spec!V20</f>
        <v>0</v>
      </c>
      <c r="V3" s="15">
        <f>BOM_spec!W20</f>
        <v>0</v>
      </c>
      <c r="W3" s="14">
        <f>BOM_spec!X20</f>
        <v>0</v>
      </c>
      <c r="X3" s="12">
        <f>BOM_spec!Y20</f>
        <v>0</v>
      </c>
      <c r="Y3" s="15">
        <f>BOM_spec!Z20</f>
        <v>0</v>
      </c>
    </row>
    <row r="4" spans="1:25">
      <c r="A4" s="9" t="str">
        <f>BOM_spec!A22</f>
        <v>IC3</v>
      </c>
      <c r="B4" s="10" t="str">
        <f>BOM_spec!B22</f>
        <v>Current sense monitor</v>
      </c>
      <c r="C4" s="11" t="str">
        <f>BOM_spec!C22</f>
        <v>TI</v>
      </c>
      <c r="D4" s="41" t="s">
        <v>312</v>
      </c>
      <c r="E4" s="55" t="str">
        <f>BOM_spec!F22</f>
        <v>Digikey</v>
      </c>
      <c r="F4" s="62">
        <f>BOM_spec!G22</f>
        <v>1.2</v>
      </c>
      <c r="G4" s="45">
        <f>BOM_spec!H22</f>
        <v>0.27400999999999998</v>
      </c>
      <c r="H4" s="11" t="str">
        <f>BOM_spec!I22</f>
        <v>No</v>
      </c>
      <c r="I4" s="30">
        <f>BOM_spec!J22</f>
        <v>1</v>
      </c>
      <c r="J4" s="45">
        <f>BOM_spec!K22</f>
        <v>0.27400999999999998</v>
      </c>
      <c r="K4" s="14">
        <f>BOM_spec!L22</f>
        <v>0</v>
      </c>
      <c r="L4" s="33">
        <f>BOM_spec!M22</f>
        <v>0</v>
      </c>
      <c r="M4" s="17">
        <f>BOM_spec!N22</f>
        <v>0</v>
      </c>
      <c r="N4" s="14">
        <f>BOM_spec!O22</f>
        <v>0</v>
      </c>
      <c r="O4" s="12">
        <f>BOM_spec!P22</f>
        <v>0</v>
      </c>
      <c r="P4" s="13">
        <f>BOM_spec!Q22</f>
        <v>0</v>
      </c>
      <c r="Q4" s="14">
        <f>BOM_spec!R22</f>
        <v>0</v>
      </c>
      <c r="R4" s="12">
        <f>BOM_spec!S22</f>
        <v>0</v>
      </c>
      <c r="S4" s="13">
        <f>BOM_spec!T22</f>
        <v>0</v>
      </c>
      <c r="T4" s="14">
        <f>BOM_spec!U22</f>
        <v>0</v>
      </c>
      <c r="U4" s="12">
        <f>BOM_spec!V22</f>
        <v>0</v>
      </c>
      <c r="V4" s="15">
        <f>BOM_spec!W22</f>
        <v>0</v>
      </c>
      <c r="W4" s="14">
        <f>BOM_spec!X22</f>
        <v>0</v>
      </c>
      <c r="X4" s="12">
        <f>BOM_spec!Y22</f>
        <v>0</v>
      </c>
      <c r="Y4" s="15">
        <f>BOM_spec!Z22</f>
        <v>0</v>
      </c>
    </row>
    <row r="5" spans="1:25">
      <c r="A5" s="9" t="str">
        <f>BOM_spec!A28</f>
        <v>Q1(A/B)</v>
      </c>
      <c r="B5" s="10" t="str">
        <f>BOM_spec!B28</f>
        <v>Dual N-channel Power MOSFET</v>
      </c>
      <c r="C5" s="11" t="str">
        <f>BOM_spec!C28</f>
        <v>Vishay Siliconix</v>
      </c>
      <c r="D5" s="42" t="s">
        <v>120</v>
      </c>
      <c r="E5" s="58" t="str">
        <f>BOM_spec!F28</f>
        <v>Digikey</v>
      </c>
      <c r="F5" s="62">
        <f>BOM_spec!G28</f>
        <v>1.2</v>
      </c>
      <c r="G5" s="45">
        <f>BOM_spec!H28</f>
        <v>0.49136999999999997</v>
      </c>
      <c r="H5" s="10" t="str">
        <f>BOM_spec!I28</f>
        <v>No</v>
      </c>
      <c r="I5" s="30">
        <f>BOM_spec!J28</f>
        <v>1</v>
      </c>
      <c r="J5" s="45">
        <f>BOM_spec!K28</f>
        <v>0.49136999999999997</v>
      </c>
      <c r="K5" s="14">
        <f>BOM_spec!L28</f>
        <v>0</v>
      </c>
      <c r="L5" s="47">
        <f>BOM_spec!M28</f>
        <v>0</v>
      </c>
      <c r="M5" s="35">
        <f>BOM_spec!N28</f>
        <v>0</v>
      </c>
      <c r="N5" s="14">
        <f>BOM_spec!O28</f>
        <v>0</v>
      </c>
      <c r="O5" s="12">
        <f>BOM_spec!P28</f>
        <v>0</v>
      </c>
      <c r="P5" s="18">
        <f>BOM_spec!Q28</f>
        <v>0</v>
      </c>
      <c r="Q5" s="14">
        <f>BOM_spec!R28</f>
        <v>0</v>
      </c>
      <c r="R5" s="19">
        <f>BOM_spec!S28</f>
        <v>0</v>
      </c>
      <c r="S5" s="13">
        <f>BOM_spec!T28</f>
        <v>0</v>
      </c>
      <c r="T5" s="14">
        <f>BOM_spec!U28</f>
        <v>0</v>
      </c>
      <c r="U5" s="12">
        <f>BOM_spec!V28</f>
        <v>0</v>
      </c>
      <c r="V5" s="13">
        <f>BOM_spec!W28</f>
        <v>0</v>
      </c>
      <c r="W5" s="14">
        <f>BOM_spec!X28</f>
        <v>0</v>
      </c>
      <c r="X5" s="12">
        <f>BOM_spec!Y28</f>
        <v>0</v>
      </c>
      <c r="Y5" s="13">
        <f>BOM_spec!Z28</f>
        <v>0</v>
      </c>
    </row>
    <row r="6" spans="1:25">
      <c r="A6" s="20" t="str">
        <f>BOM_spec!A55</f>
        <v>Q6X</v>
      </c>
      <c r="B6" s="10" t="str">
        <f>BOM_spec!B55</f>
        <v>P-channel Power MOSFET</v>
      </c>
      <c r="C6" s="11" t="str">
        <f>BOM_spec!C55</f>
        <v>Vishay Siliconix</v>
      </c>
      <c r="D6" s="41" t="s">
        <v>166</v>
      </c>
      <c r="E6" s="58" t="str">
        <f>BOM_spec!F55</f>
        <v>Digikey</v>
      </c>
      <c r="F6" s="62">
        <f>BOM_spec!G55</f>
        <v>1</v>
      </c>
      <c r="G6" s="45">
        <f>BOM_spec!H55</f>
        <v>0.24</v>
      </c>
      <c r="H6" s="10" t="str">
        <f>BOM_spec!I55</f>
        <v>Maybe</v>
      </c>
      <c r="I6" s="31">
        <f>BOM_spec!J55</f>
        <v>1</v>
      </c>
      <c r="J6" s="45">
        <f>BOM_spec!K55</f>
        <v>0</v>
      </c>
      <c r="K6" s="14">
        <f>BOM_spec!L55</f>
        <v>0</v>
      </c>
      <c r="L6" s="69">
        <f>BOM_spec!M55</f>
        <v>0</v>
      </c>
      <c r="M6" s="70">
        <f>BOM_spec!N55</f>
        <v>0</v>
      </c>
      <c r="N6" s="14">
        <f>BOM_spec!O55</f>
        <v>0</v>
      </c>
      <c r="O6" s="12">
        <f>BOM_spec!P55</f>
        <v>0</v>
      </c>
      <c r="P6" s="13">
        <f>BOM_spec!Q55</f>
        <v>0</v>
      </c>
      <c r="Q6" s="14">
        <f>BOM_spec!R55</f>
        <v>0</v>
      </c>
      <c r="R6" s="12">
        <f>BOM_spec!S55</f>
        <v>0</v>
      </c>
      <c r="S6" s="13">
        <f>BOM_spec!T55</f>
        <v>0</v>
      </c>
      <c r="T6" s="14">
        <f>BOM_spec!U55</f>
        <v>0</v>
      </c>
      <c r="U6" s="12">
        <f>BOM_spec!V55</f>
        <v>0</v>
      </c>
      <c r="V6" s="13">
        <f>BOM_spec!W55</f>
        <v>0</v>
      </c>
      <c r="W6" s="14">
        <f>BOM_spec!X55</f>
        <v>0</v>
      </c>
      <c r="X6" s="12">
        <f>BOM_spec!Y55</f>
        <v>0</v>
      </c>
      <c r="Y6" s="13">
        <f>BOM_spec!Z55</f>
        <v>0</v>
      </c>
    </row>
    <row r="7" spans="1:25">
      <c r="A7" s="20" t="str">
        <f>BOM_spec!A56</f>
        <v>Q6X</v>
      </c>
      <c r="B7" s="10" t="str">
        <f>BOM_spec!B56</f>
        <v>P-channel Power MOSFET</v>
      </c>
      <c r="C7" s="11" t="str">
        <f>BOM_spec!C56</f>
        <v>Alpha &amp; Omega</v>
      </c>
      <c r="D7" s="41" t="s">
        <v>168</v>
      </c>
      <c r="E7" s="58" t="str">
        <f>BOM_spec!F56</f>
        <v>Digikey</v>
      </c>
      <c r="F7" s="62">
        <f>BOM_spec!G56</f>
        <v>1</v>
      </c>
      <c r="G7" s="45">
        <f>BOM_spec!H56</f>
        <v>0.16</v>
      </c>
      <c r="H7" s="10" t="str">
        <f>BOM_spec!I56</f>
        <v>Maybe</v>
      </c>
      <c r="I7" s="31">
        <f>BOM_spec!J56</f>
        <v>1</v>
      </c>
      <c r="J7" s="45">
        <f>BOM_spec!K56</f>
        <v>0</v>
      </c>
      <c r="K7" s="14">
        <f>BOM_spec!L56</f>
        <v>0</v>
      </c>
      <c r="L7" s="69">
        <f>BOM_spec!M56</f>
        <v>0</v>
      </c>
      <c r="M7" s="70">
        <f>BOM_spec!N56</f>
        <v>0</v>
      </c>
      <c r="N7" s="14">
        <f>BOM_spec!O56</f>
        <v>0</v>
      </c>
      <c r="O7" s="12">
        <f>BOM_spec!P56</f>
        <v>0</v>
      </c>
      <c r="P7" s="13">
        <f>BOM_spec!Q56</f>
        <v>0</v>
      </c>
      <c r="Q7" s="14">
        <f>BOM_spec!R56</f>
        <v>0</v>
      </c>
      <c r="R7" s="12">
        <f>BOM_spec!S56</f>
        <v>0</v>
      </c>
      <c r="S7" s="13">
        <f>BOM_spec!T56</f>
        <v>0</v>
      </c>
      <c r="T7" s="14">
        <f>BOM_spec!U56</f>
        <v>0</v>
      </c>
      <c r="U7" s="12">
        <f>BOM_spec!V56</f>
        <v>0</v>
      </c>
      <c r="V7" s="13">
        <f>BOM_spec!W56</f>
        <v>0</v>
      </c>
      <c r="W7" s="14">
        <f>BOM_spec!X56</f>
        <v>0</v>
      </c>
      <c r="X7" s="12">
        <f>BOM_spec!Y56</f>
        <v>0</v>
      </c>
      <c r="Y7" s="13">
        <f>BOM_spec!Z56</f>
        <v>0</v>
      </c>
    </row>
    <row r="8" spans="1:25">
      <c r="A8" s="20" t="str">
        <f>BOM_spec!A57</f>
        <v>Q6X</v>
      </c>
      <c r="B8" s="10" t="str">
        <f>BOM_spec!B57</f>
        <v>P-channel Power MOSFET</v>
      </c>
      <c r="C8" s="11" t="str">
        <f>BOM_spec!C57</f>
        <v>Vishay Siliconix</v>
      </c>
      <c r="D8" s="41" t="s">
        <v>169</v>
      </c>
      <c r="E8" s="58" t="str">
        <f>BOM_spec!F57</f>
        <v>Digikey</v>
      </c>
      <c r="F8" s="62">
        <f>BOM_spec!G57</f>
        <v>1</v>
      </c>
      <c r="G8" s="45">
        <f>BOM_spec!H57</f>
        <v>0.24</v>
      </c>
      <c r="H8" s="10" t="str">
        <f>BOM_spec!I57</f>
        <v>Maybe</v>
      </c>
      <c r="I8" s="31">
        <f>BOM_spec!J57</f>
        <v>1</v>
      </c>
      <c r="J8" s="45">
        <f>BOM_spec!K57</f>
        <v>0</v>
      </c>
      <c r="K8" s="14">
        <f>BOM_spec!L57</f>
        <v>0</v>
      </c>
      <c r="L8" s="69">
        <f>BOM_spec!M57</f>
        <v>0</v>
      </c>
      <c r="M8" s="70">
        <f>BOM_spec!N57</f>
        <v>0</v>
      </c>
      <c r="N8" s="14">
        <f>BOM_spec!O57</f>
        <v>0</v>
      </c>
      <c r="O8" s="12">
        <f>BOM_spec!P57</f>
        <v>0</v>
      </c>
      <c r="P8" s="13">
        <f>BOM_spec!Q57</f>
        <v>0</v>
      </c>
      <c r="Q8" s="14">
        <f>BOM_spec!R57</f>
        <v>0</v>
      </c>
      <c r="R8" s="12">
        <f>BOM_spec!S57</f>
        <v>0</v>
      </c>
      <c r="S8" s="13">
        <f>BOM_spec!T57</f>
        <v>0</v>
      </c>
      <c r="T8" s="14">
        <f>BOM_spec!U57</f>
        <v>0</v>
      </c>
      <c r="U8" s="12">
        <f>BOM_spec!V57</f>
        <v>0</v>
      </c>
      <c r="V8" s="13">
        <f>BOM_spec!W57</f>
        <v>0</v>
      </c>
      <c r="W8" s="14">
        <f>BOM_spec!X57</f>
        <v>0</v>
      </c>
      <c r="X8" s="12">
        <f>BOM_spec!Y57</f>
        <v>0</v>
      </c>
      <c r="Y8" s="13">
        <f>BOM_spec!Z57</f>
        <v>0</v>
      </c>
    </row>
    <row r="9" spans="1:25">
      <c r="A9" s="20"/>
      <c r="B9" s="10" t="str">
        <f>BOM_spec!B62</f>
        <v>Solder paste</v>
      </c>
      <c r="C9" s="10"/>
      <c r="D9" s="42"/>
      <c r="E9" s="58" t="str">
        <f>BOM_spec!F62</f>
        <v>Digikey</v>
      </c>
      <c r="F9" s="62">
        <f>BOM_spec!G62</f>
        <v>1</v>
      </c>
      <c r="G9" s="45"/>
      <c r="H9" s="10"/>
      <c r="I9" s="31"/>
      <c r="J9" s="45"/>
      <c r="K9" s="14"/>
    </row>
  </sheetData>
  <conditionalFormatting sqref="H1:H5 H10:H1048576">
    <cfRule type="cellIs" dxfId="5" priority="11" operator="equal">
      <formula>"No"</formula>
    </cfRule>
    <cfRule type="cellIs" dxfId="4" priority="12" operator="equal">
      <formula>"Yes"</formula>
    </cfRule>
  </conditionalFormatting>
  <conditionalFormatting sqref="H6:H8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H9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  <pageSetup paperSize="9" scale="2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workbookViewId="0" xr3:uid="{F9CF3CF3-643B-5BE6-8B46-32C596A47465}">
      <selection activeCell="J10" sqref="J10"/>
    </sheetView>
  </sheetViews>
  <sheetFormatPr defaultRowHeight="14.45"/>
  <cols>
    <col min="1" max="1" width="16.5703125" bestFit="1" customWidth="1"/>
    <col min="4" max="4" width="12.28515625" bestFit="1" customWidth="1"/>
    <col min="6" max="6" width="12.28515625" bestFit="1" customWidth="1"/>
  </cols>
  <sheetData>
    <row r="1" spans="1:10">
      <c r="B1" t="s">
        <v>10</v>
      </c>
      <c r="C1" t="s">
        <v>185</v>
      </c>
      <c r="D1" t="s">
        <v>186</v>
      </c>
      <c r="E1" t="s">
        <v>187</v>
      </c>
      <c r="F1" t="s">
        <v>188</v>
      </c>
      <c r="G1" s="64" t="s">
        <v>313</v>
      </c>
      <c r="H1" s="66" t="s">
        <v>314</v>
      </c>
      <c r="I1" s="66" t="s">
        <v>315</v>
      </c>
      <c r="J1" s="66" t="s">
        <v>316</v>
      </c>
    </row>
    <row r="2" spans="1:10">
      <c r="A2" s="65" t="str">
        <f>'BOM_spec (Digikey)'!D3</f>
        <v>BQ24650</v>
      </c>
      <c r="B2">
        <f>'BOM_spec (Digikey)'!I3</f>
        <v>1</v>
      </c>
      <c r="C2" t="s">
        <v>202</v>
      </c>
      <c r="D2">
        <f>IF(C2="YES",B2*'Farnell Order'!$U$1,B2)</f>
        <v>4</v>
      </c>
      <c r="E2">
        <f>'BOM_spec (Digikey)'!F3</f>
        <v>1.2</v>
      </c>
      <c r="F2">
        <f>ROUNDUP(D2*E2,0)</f>
        <v>5</v>
      </c>
      <c r="G2">
        <v>43.15</v>
      </c>
      <c r="H2">
        <f>G2*F2</f>
        <v>215.75</v>
      </c>
      <c r="I2">
        <f>H2*1.2</f>
        <v>258.89999999999998</v>
      </c>
      <c r="J2" s="61">
        <f>I2/9.5</f>
        <v>27.252631578947366</v>
      </c>
    </row>
    <row r="3" spans="1:10">
      <c r="A3" s="65" t="str">
        <f>'BOM_spec (Digikey)'!D4</f>
        <v>INA199A3DCKR</v>
      </c>
      <c r="B3">
        <f>'BOM_spec (Digikey)'!I4</f>
        <v>1</v>
      </c>
      <c r="C3" t="s">
        <v>202</v>
      </c>
      <c r="D3">
        <f>IF(C3="YES",B3*'Farnell Order'!$U$1,B3)</f>
        <v>4</v>
      </c>
      <c r="E3">
        <f>'BOM_spec (Digikey)'!F4</f>
        <v>1.2</v>
      </c>
      <c r="F3">
        <f t="shared" ref="F3:F8" si="0">ROUNDUP(D3*E3,0)</f>
        <v>5</v>
      </c>
      <c r="G3">
        <v>12.07</v>
      </c>
      <c r="H3">
        <f t="shared" ref="H3:H8" si="1">G3*F3</f>
        <v>60.35</v>
      </c>
      <c r="I3">
        <f t="shared" ref="I3:I8" si="2">H3*1.2</f>
        <v>72.42</v>
      </c>
      <c r="J3" s="61">
        <f t="shared" ref="J3:J8" si="3">I3/9.5</f>
        <v>7.6231578947368419</v>
      </c>
    </row>
    <row r="4" spans="1:10">
      <c r="A4" s="65" t="str">
        <f>'BOM_spec (Digikey)'!D5</f>
        <v>Si7288DP</v>
      </c>
      <c r="B4">
        <f>'BOM_spec (Digikey)'!I5</f>
        <v>1</v>
      </c>
      <c r="C4" t="s">
        <v>202</v>
      </c>
      <c r="D4">
        <f>IF(C4="YES",B4*'Farnell Order'!$U$1,B4)</f>
        <v>4</v>
      </c>
      <c r="E4">
        <f>'BOM_spec (Digikey)'!F5</f>
        <v>1.2</v>
      </c>
      <c r="F4">
        <f t="shared" si="0"/>
        <v>5</v>
      </c>
      <c r="G4">
        <v>13.71</v>
      </c>
      <c r="H4">
        <f t="shared" si="1"/>
        <v>68.550000000000011</v>
      </c>
      <c r="I4">
        <f t="shared" si="2"/>
        <v>82.26</v>
      </c>
      <c r="J4" s="61">
        <f t="shared" si="3"/>
        <v>8.6589473684210532</v>
      </c>
    </row>
    <row r="5" spans="1:10">
      <c r="A5" s="65" t="str">
        <f>'BOM_spec (Digikey)'!D6</f>
        <v>SI4425DDY-T1-GE3</v>
      </c>
      <c r="B5">
        <f>'BOM_spec (Digikey)'!I6</f>
        <v>1</v>
      </c>
      <c r="C5" t="s">
        <v>287</v>
      </c>
      <c r="D5">
        <f>IF(C5="YES",B5*'Farnell Order'!$U$1,B5)</f>
        <v>1</v>
      </c>
      <c r="E5">
        <f>'BOM_spec (Digikey)'!F6</f>
        <v>1</v>
      </c>
      <c r="F5">
        <f t="shared" si="0"/>
        <v>1</v>
      </c>
      <c r="G5">
        <v>11.48</v>
      </c>
      <c r="H5">
        <f t="shared" si="1"/>
        <v>11.48</v>
      </c>
      <c r="I5">
        <f t="shared" si="2"/>
        <v>13.776</v>
      </c>
      <c r="J5" s="61">
        <f t="shared" si="3"/>
        <v>1.4501052631578948</v>
      </c>
    </row>
    <row r="6" spans="1:10">
      <c r="A6" s="65" t="str">
        <f>'BOM_spec (Digikey)'!D7</f>
        <v>AON6413</v>
      </c>
      <c r="B6">
        <f>'BOM_spec (Digikey)'!I7</f>
        <v>1</v>
      </c>
      <c r="C6" t="s">
        <v>287</v>
      </c>
      <c r="D6">
        <f>IF(C6="YES",B6*'Farnell Order'!$U$1,B6)</f>
        <v>1</v>
      </c>
      <c r="E6">
        <f>'BOM_spec (Digikey)'!F7</f>
        <v>1</v>
      </c>
      <c r="F6">
        <f t="shared" si="0"/>
        <v>1</v>
      </c>
      <c r="G6">
        <v>5.22</v>
      </c>
      <c r="H6">
        <f t="shared" si="1"/>
        <v>5.22</v>
      </c>
      <c r="I6">
        <f t="shared" si="2"/>
        <v>6.2639999999999993</v>
      </c>
      <c r="J6" s="61">
        <f t="shared" si="3"/>
        <v>0.65936842105263149</v>
      </c>
    </row>
    <row r="7" spans="1:10">
      <c r="A7" s="65" t="str">
        <f>'BOM_spec (Digikey)'!D8</f>
        <v>SI7149ADP-T1-GE3</v>
      </c>
      <c r="B7">
        <f>'BOM_spec (Digikey)'!I8</f>
        <v>1</v>
      </c>
      <c r="C7" t="s">
        <v>287</v>
      </c>
      <c r="D7">
        <f>IF(C7="YES",B7*'Farnell Order'!$U$1,B7)</f>
        <v>1</v>
      </c>
      <c r="E7">
        <f>'BOM_spec (Digikey)'!F8</f>
        <v>1</v>
      </c>
      <c r="F7">
        <f t="shared" si="0"/>
        <v>1</v>
      </c>
      <c r="G7">
        <v>7.08</v>
      </c>
      <c r="H7">
        <f t="shared" si="1"/>
        <v>7.08</v>
      </c>
      <c r="I7">
        <f t="shared" si="2"/>
        <v>8.4960000000000004</v>
      </c>
      <c r="J7" s="61">
        <f t="shared" si="3"/>
        <v>0.89431578947368429</v>
      </c>
    </row>
    <row r="8" spans="1:10">
      <c r="A8" s="65" t="s">
        <v>175</v>
      </c>
      <c r="B8">
        <v>1</v>
      </c>
      <c r="C8" t="s">
        <v>287</v>
      </c>
      <c r="D8">
        <f>IF(C8="YES",B8*'Farnell Order'!$U$1,B8)</f>
        <v>1</v>
      </c>
      <c r="E8">
        <v>1</v>
      </c>
      <c r="F8">
        <f t="shared" si="0"/>
        <v>1</v>
      </c>
      <c r="G8">
        <v>148.66999999999999</v>
      </c>
      <c r="H8">
        <f t="shared" si="1"/>
        <v>148.66999999999999</v>
      </c>
      <c r="I8">
        <f t="shared" si="2"/>
        <v>178.40399999999997</v>
      </c>
      <c r="J8" s="61">
        <f t="shared" si="3"/>
        <v>18.779368421052627</v>
      </c>
    </row>
    <row r="10" spans="1:10">
      <c r="J10" s="61">
        <f>SUM(J2:J9)</f>
        <v>65.317894736842106</v>
      </c>
    </row>
    <row r="14" spans="1:10">
      <c r="A14" t="s">
        <v>80</v>
      </c>
    </row>
    <row r="15" spans="1:10">
      <c r="A15" t="s">
        <v>312</v>
      </c>
    </row>
    <row r="16" spans="1:10">
      <c r="A16" t="s">
        <v>120</v>
      </c>
    </row>
    <row r="17" spans="1:1">
      <c r="A17" t="s">
        <v>166</v>
      </c>
    </row>
    <row r="18" spans="1:1">
      <c r="A18" t="s">
        <v>168</v>
      </c>
    </row>
    <row r="19" spans="1:1">
      <c r="A1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 Matos</cp:lastModifiedBy>
  <cp:revision/>
  <dcterms:created xsi:type="dcterms:W3CDTF">2006-09-16T00:00:00Z</dcterms:created>
  <dcterms:modified xsi:type="dcterms:W3CDTF">2017-06-20T13:56:01Z</dcterms:modified>
  <cp:category/>
  <cp:contentStatus/>
</cp:coreProperties>
</file>