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ddie\OneDrive\Shamba Technologies\03 Product development\IO3.1\01 Designs\03 Bill of materials (electronics)\Starter\"/>
    </mc:Choice>
  </mc:AlternateContent>
  <bookViews>
    <workbookView xWindow="0" yWindow="0" windowWidth="1704" windowHeight="0" activeTab="1"/>
  </bookViews>
  <sheets>
    <sheet name="PCB_spec" sheetId="2" r:id="rId1"/>
    <sheet name="BOM_spec" sheetId="1" r:id="rId2"/>
    <sheet name="BOM_EM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4" l="1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17" i="4"/>
  <c r="T17" i="4"/>
  <c r="S16" i="4"/>
  <c r="T16" i="4"/>
  <c r="U23" i="4" l="1"/>
  <c r="U19" i="4"/>
  <c r="U17" i="4"/>
  <c r="U25" i="4"/>
  <c r="U24" i="4"/>
  <c r="U21" i="4"/>
  <c r="U20" i="4"/>
  <c r="U22" i="4"/>
  <c r="U26" i="4"/>
  <c r="U18" i="4"/>
  <c r="U16" i="4"/>
  <c r="S15" i="4"/>
  <c r="T15" i="4"/>
  <c r="U15" i="4" l="1"/>
  <c r="S14" i="4" l="1"/>
  <c r="T14" i="4"/>
  <c r="S13" i="4"/>
  <c r="T13" i="4"/>
  <c r="S12" i="4"/>
  <c r="T12" i="4"/>
  <c r="S11" i="4"/>
  <c r="T11" i="4"/>
  <c r="S10" i="4"/>
  <c r="T10" i="4"/>
  <c r="S9" i="4"/>
  <c r="T9" i="4"/>
  <c r="S8" i="4"/>
  <c r="T8" i="4"/>
  <c r="U10" i="4" l="1"/>
  <c r="U12" i="4"/>
  <c r="U11" i="4"/>
  <c r="U13" i="4"/>
  <c r="U14" i="4"/>
  <c r="U8" i="4"/>
  <c r="U9" i="4"/>
  <c r="S7" i="4" l="1"/>
  <c r="T7" i="4"/>
  <c r="S6" i="4"/>
  <c r="T6" i="4"/>
  <c r="S5" i="4"/>
  <c r="T5" i="4"/>
  <c r="U7" i="4" l="1"/>
  <c r="U6" i="4"/>
  <c r="U5" i="4"/>
  <c r="S4" i="4" l="1"/>
  <c r="T4" i="4"/>
  <c r="T3" i="4"/>
  <c r="S3" i="4"/>
  <c r="R3" i="4"/>
  <c r="U4" i="4" l="1"/>
  <c r="U3" i="4"/>
  <c r="V3" i="4" s="1"/>
  <c r="W3" i="4" s="1"/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C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D2" i="4"/>
  <c r="R16" i="4" l="1"/>
  <c r="V16" i="4"/>
  <c r="W16" i="4" l="1"/>
  <c r="G10" i="1"/>
  <c r="C10" i="4" s="1"/>
  <c r="G14" i="1"/>
  <c r="C14" i="4" s="1"/>
  <c r="G9" i="1"/>
  <c r="C9" i="4" s="1"/>
  <c r="R9" i="4" l="1"/>
  <c r="V9" i="4"/>
  <c r="R14" i="4"/>
  <c r="V14" i="4"/>
  <c r="R10" i="4"/>
  <c r="V10" i="4"/>
  <c r="G25" i="1"/>
  <c r="C25" i="4" s="1"/>
  <c r="G24" i="1"/>
  <c r="C24" i="4" s="1"/>
  <c r="G23" i="1"/>
  <c r="C23" i="4" s="1"/>
  <c r="G22" i="1"/>
  <c r="C22" i="4" s="1"/>
  <c r="G21" i="1"/>
  <c r="C21" i="4" s="1"/>
  <c r="W9" i="4" l="1"/>
  <c r="W10" i="4"/>
  <c r="W14" i="4"/>
  <c r="R21" i="4"/>
  <c r="V21" i="4"/>
  <c r="R25" i="4"/>
  <c r="V25" i="4"/>
  <c r="R22" i="4"/>
  <c r="V22" i="4"/>
  <c r="R24" i="4"/>
  <c r="V24" i="4"/>
  <c r="R23" i="4"/>
  <c r="V23" i="4"/>
  <c r="G7" i="1"/>
  <c r="C7" i="4" s="1"/>
  <c r="W23" i="4" l="1"/>
  <c r="W22" i="4"/>
  <c r="W21" i="4"/>
  <c r="W24" i="4"/>
  <c r="W25" i="4"/>
  <c r="R7" i="4"/>
  <c r="V7" i="4"/>
  <c r="G8" i="1"/>
  <c r="C8" i="4" s="1"/>
  <c r="W7" i="4" l="1"/>
  <c r="R8" i="4"/>
  <c r="V8" i="4"/>
  <c r="G26" i="1"/>
  <c r="C26" i="4" s="1"/>
  <c r="G20" i="1"/>
  <c r="C20" i="4" s="1"/>
  <c r="G19" i="1"/>
  <c r="C19" i="4" s="1"/>
  <c r="G18" i="1"/>
  <c r="C18" i="4" s="1"/>
  <c r="G17" i="1"/>
  <c r="C17" i="4" s="1"/>
  <c r="G15" i="1"/>
  <c r="C15" i="4" s="1"/>
  <c r="G13" i="1"/>
  <c r="C13" i="4" s="1"/>
  <c r="G12" i="1"/>
  <c r="C12" i="4" s="1"/>
  <c r="G11" i="1"/>
  <c r="C11" i="4" s="1"/>
  <c r="G6" i="1"/>
  <c r="C6" i="4" s="1"/>
  <c r="G5" i="1"/>
  <c r="C5" i="4" s="1"/>
  <c r="G4" i="1"/>
  <c r="C4" i="4" s="1"/>
  <c r="G3" i="1"/>
  <c r="W8" i="4" l="1"/>
  <c r="R15" i="4"/>
  <c r="V15" i="4"/>
  <c r="R20" i="4"/>
  <c r="V20" i="4"/>
  <c r="R11" i="4"/>
  <c r="V11" i="4"/>
  <c r="R17" i="4"/>
  <c r="V17" i="4"/>
  <c r="R26" i="4"/>
  <c r="V26" i="4"/>
  <c r="R6" i="4"/>
  <c r="V6" i="4"/>
  <c r="R18" i="4"/>
  <c r="V18" i="4"/>
  <c r="R4" i="4"/>
  <c r="V4" i="4"/>
  <c r="R12" i="4"/>
  <c r="V12" i="4"/>
  <c r="R5" i="4"/>
  <c r="V5" i="4"/>
  <c r="R13" i="4"/>
  <c r="V13" i="4"/>
  <c r="R19" i="4"/>
  <c r="V19" i="4"/>
  <c r="W20" i="4" l="1"/>
  <c r="W19" i="4"/>
  <c r="W5" i="4"/>
  <c r="W6" i="4"/>
  <c r="W17" i="4"/>
  <c r="W15" i="4"/>
  <c r="R31" i="4"/>
  <c r="W4" i="4"/>
  <c r="V31" i="4"/>
  <c r="W13" i="4"/>
  <c r="W12" i="4"/>
  <c r="W18" i="4"/>
  <c r="W26" i="4"/>
  <c r="W11" i="4"/>
  <c r="W31" i="4" l="1"/>
</calcChain>
</file>

<file path=xl/sharedStrings.xml><?xml version="1.0" encoding="utf-8"?>
<sst xmlns="http://schemas.openxmlformats.org/spreadsheetml/2006/main" count="454" uniqueCount="195">
  <si>
    <t>Model</t>
  </si>
  <si>
    <t>Manufacturer</t>
  </si>
  <si>
    <t>Value (min)</t>
  </si>
  <si>
    <t>Value (max)</t>
  </si>
  <si>
    <t>PCS</t>
  </si>
  <si>
    <t>IC1</t>
  </si>
  <si>
    <t>Samtec</t>
  </si>
  <si>
    <t>Capacitor (MLCC)</t>
  </si>
  <si>
    <t>Schottky diode, low Vf</t>
  </si>
  <si>
    <t>DC barrel connector, 1.7mm, CUI, PJ-018</t>
  </si>
  <si>
    <t>Inductor</t>
  </si>
  <si>
    <t>Capacitor (Aluminium electrolytic)</t>
  </si>
  <si>
    <t>Resistor</t>
  </si>
  <si>
    <t>Tolerance</t>
  </si>
  <si>
    <t>TI</t>
  </si>
  <si>
    <t>MC33063AD</t>
  </si>
  <si>
    <t>DC/DC Converter controller</t>
  </si>
  <si>
    <t>Part ID</t>
  </si>
  <si>
    <t>Part description</t>
  </si>
  <si>
    <t>Spec 3</t>
  </si>
  <si>
    <t>Spec 2</t>
  </si>
  <si>
    <t>Spec 1</t>
  </si>
  <si>
    <t>Spec 4</t>
  </si>
  <si>
    <t>Spec 5</t>
  </si>
  <si>
    <t>Long header connector, Samtec, 3-way</t>
  </si>
  <si>
    <t>B2.2.1</t>
  </si>
  <si>
    <t>Pre-assembled PCB-A</t>
  </si>
  <si>
    <t>B2.2.1_handling</t>
  </si>
  <si>
    <t>Normal precautions against electro-static discharge (ESD) shall be put into effect during handling and assembly of the PCB-As.</t>
  </si>
  <si>
    <t>Part number</t>
  </si>
  <si>
    <t>Part name</t>
  </si>
  <si>
    <t>Spec ID</t>
  </si>
  <si>
    <t>Spec description</t>
  </si>
  <si>
    <t>B2.2.1_width</t>
  </si>
  <si>
    <t>B2.2.1_length</t>
  </si>
  <si>
    <t>The width of the PCB shall be 35.0mm</t>
  </si>
  <si>
    <t>The material of the PCB shall be FR4.</t>
  </si>
  <si>
    <t>The PCB shall have two layers (top and bottom)</t>
  </si>
  <si>
    <t>The PCB assembly shall be RoHS compliant.</t>
  </si>
  <si>
    <t>The copper layer thickness shall be 35 microns (1oz/ft²).</t>
  </si>
  <si>
    <t>The soldermask colour shall be green.</t>
  </si>
  <si>
    <t>The silkscreen printing shall be white.</t>
  </si>
  <si>
    <t>A basic protective conformal coating is desirable. Please advise with information about protective conformal coating options and their costs.</t>
  </si>
  <si>
    <t>B2.2.2</t>
  </si>
  <si>
    <t>B2.2.3</t>
  </si>
  <si>
    <t>B2.2.4</t>
  </si>
  <si>
    <t>B2.2.5</t>
  </si>
  <si>
    <t>B2.2.6</t>
  </si>
  <si>
    <t>B2.2.7</t>
  </si>
  <si>
    <t>B2.2.8</t>
  </si>
  <si>
    <t>B2.2.9</t>
  </si>
  <si>
    <t>B2.2.10</t>
  </si>
  <si>
    <t>B2.2.11</t>
  </si>
  <si>
    <t>B2.2.4_thickness</t>
  </si>
  <si>
    <t>B2.2.5_material</t>
  </si>
  <si>
    <t>B2.2.6_layers</t>
  </si>
  <si>
    <t>B2.2.7_copper</t>
  </si>
  <si>
    <t>B2.2.8_rohs</t>
  </si>
  <si>
    <t>B2.2.9_soldermask</t>
  </si>
  <si>
    <t>B2.2.10_silkscreen</t>
  </si>
  <si>
    <t>B2.2.11_coating</t>
  </si>
  <si>
    <t>V_max (V)</t>
  </si>
  <si>
    <t>Height (mm)</t>
  </si>
  <si>
    <t>Diameter (mm)</t>
  </si>
  <si>
    <t>Ir_max (mA)</t>
  </si>
  <si>
    <t>V_f @ 0.2A, 85C (V)</t>
  </si>
  <si>
    <t>I_fmax (av.) (A)</t>
  </si>
  <si>
    <t>I_frm (A)</t>
  </si>
  <si>
    <t>Capacitance (F)</t>
  </si>
  <si>
    <t>Resistance (Ω)</t>
  </si>
  <si>
    <t>I_max (A)</t>
  </si>
  <si>
    <t>R_dc_max (Ω)</t>
  </si>
  <si>
    <t>P_max (W)</t>
  </si>
  <si>
    <t>I_rms_max (A)</t>
  </si>
  <si>
    <t>Vr_max (V)</t>
  </si>
  <si>
    <t>Inductance (uH)</t>
  </si>
  <si>
    <t>BOM Specification</t>
  </si>
  <si>
    <t>ESQ-103-14-T-S</t>
  </si>
  <si>
    <t>The length of the PCB shall be 55.0mm.</t>
  </si>
  <si>
    <t>The total thickness of the PCB shall be 1.50mm.</t>
  </si>
  <si>
    <t>R1</t>
  </si>
  <si>
    <t>C1</t>
  </si>
  <si>
    <t>D1</t>
  </si>
  <si>
    <t>R3</t>
  </si>
  <si>
    <t>R2</t>
  </si>
  <si>
    <t>PMEG3010BEA</t>
  </si>
  <si>
    <t>D3,5,6</t>
  </si>
  <si>
    <t>CA035M0100REH-0607</t>
  </si>
  <si>
    <t>C3</t>
  </si>
  <si>
    <t>C2</t>
  </si>
  <si>
    <t>VZH101M1CTR-0606</t>
  </si>
  <si>
    <t>BC847B NPN transistor</t>
  </si>
  <si>
    <t>BC847B</t>
  </si>
  <si>
    <t>NXP</t>
  </si>
  <si>
    <t>BC857BS Dual PNP transistor</t>
  </si>
  <si>
    <t>Q2</t>
  </si>
  <si>
    <t>Q1(A/B)</t>
  </si>
  <si>
    <t>BC857BS</t>
  </si>
  <si>
    <t>R12</t>
  </si>
  <si>
    <t>R8</t>
  </si>
  <si>
    <t>R5,9,11,13</t>
  </si>
  <si>
    <t>R4,6</t>
  </si>
  <si>
    <t>R7</t>
  </si>
  <si>
    <t>R10</t>
  </si>
  <si>
    <t>C4</t>
  </si>
  <si>
    <t>D2,4</t>
  </si>
  <si>
    <t>Small signal, TS4148 RY</t>
  </si>
  <si>
    <t>TS4148 RY</t>
  </si>
  <si>
    <t>TS4148 RY (0805)</t>
  </si>
  <si>
    <t>Taiwan Semiconductor</t>
  </si>
  <si>
    <t>PJ-018</t>
  </si>
  <si>
    <t>NPIS65LS221MTRF</t>
  </si>
  <si>
    <t>J1</t>
  </si>
  <si>
    <t>J2</t>
  </si>
  <si>
    <t>J3</t>
  </si>
  <si>
    <t>A-USBSA</t>
  </si>
  <si>
    <t>L1</t>
  </si>
  <si>
    <t>D7</t>
  </si>
  <si>
    <t>BZX84-B15</t>
  </si>
  <si>
    <t>Zener diode, 15V, 2%</t>
  </si>
  <si>
    <t>EM sourcing</t>
  </si>
  <si>
    <t>Value</t>
  </si>
  <si>
    <t>Source</t>
  </si>
  <si>
    <t>Order code</t>
  </si>
  <si>
    <t>Price (1000pcs)</t>
  </si>
  <si>
    <t>Currency</t>
  </si>
  <si>
    <t>Total component price (USD)</t>
  </si>
  <si>
    <t>Assembly points</t>
  </si>
  <si>
    <t>Assembly type</t>
  </si>
  <si>
    <t>Unit assembly cost (USD)</t>
  </si>
  <si>
    <t>Total assembly price (USD)</t>
  </si>
  <si>
    <t>Total price (USD)</t>
  </si>
  <si>
    <t>Package size</t>
  </si>
  <si>
    <t>CNY</t>
  </si>
  <si>
    <t>Farnell</t>
  </si>
  <si>
    <t>0603</t>
  </si>
  <si>
    <t>USD</t>
  </si>
  <si>
    <t>0805</t>
  </si>
  <si>
    <t>-</t>
  </si>
  <si>
    <t>SOD-323</t>
  </si>
  <si>
    <t>14.5mm x 9.0mm</t>
  </si>
  <si>
    <t>3 x 2.54mm</t>
  </si>
  <si>
    <t>DigiKey</t>
  </si>
  <si>
    <t>CP-018PJ-ND</t>
  </si>
  <si>
    <t>GBP</t>
  </si>
  <si>
    <t>EEE1VA101XP</t>
  </si>
  <si>
    <t>6.3MM Radial Can SMD</t>
  </si>
  <si>
    <t>SOT-23</t>
  </si>
  <si>
    <t>SOIC-8</t>
  </si>
  <si>
    <t>USB 2.0 type A, right-angle, through-hole</t>
  </si>
  <si>
    <t>USB2.0A</t>
  </si>
  <si>
    <t>Inductor, 12.95x9.40</t>
  </si>
  <si>
    <t>MCPD3316MT221</t>
  </si>
  <si>
    <t>SOT-363</t>
  </si>
  <si>
    <t>1206</t>
  </si>
  <si>
    <t>already have!</t>
  </si>
  <si>
    <t>Replacable?</t>
  </si>
  <si>
    <t>Any</t>
  </si>
  <si>
    <t>Yes</t>
  </si>
  <si>
    <t>Lelon</t>
  </si>
  <si>
    <t>No</t>
  </si>
  <si>
    <t>CUI</t>
  </si>
  <si>
    <t>NIC</t>
  </si>
  <si>
    <t>Taiwan Semi</t>
  </si>
  <si>
    <t>USB-A-S-F-B-TH</t>
  </si>
  <si>
    <t>Connector type</t>
  </si>
  <si>
    <t>USB 2.0, type A</t>
  </si>
  <si>
    <t>Orientation</t>
  </si>
  <si>
    <t>Right-angle</t>
  </si>
  <si>
    <t>Mounting</t>
  </si>
  <si>
    <t>Lifetime (hours)</t>
  </si>
  <si>
    <t>VZH101M1VTR-0810</t>
  </si>
  <si>
    <t>100UF 35V 20% 8*10.2MM 
PN:SANYO 35CE100AX  (ROHS)</t>
  </si>
  <si>
    <t>NXP PMEG3010BEA SOD323 (ROHS)</t>
  </si>
  <si>
    <t>TAIWAN SEMI TS4148 RXG 1206 (ROHS)</t>
  </si>
  <si>
    <t>Power Socket  ø1.65MM (PN:PJ-018）(ROHS)</t>
  </si>
  <si>
    <t>SAMTEC 180Degree 1*3PIN 2.54MM PN:ESQ-103-14-T-S/ESQ-103-14-L-S(ROHS)</t>
  </si>
  <si>
    <t>USB2.0 Femal A  90 Degree PN:SAMTEC USB-A-S-F-B-TH (ROHS)</t>
  </si>
  <si>
    <t>NXP BC857BS SOT363 (ROHS)</t>
  </si>
  <si>
    <t>0603 100K 1% (ROHS)</t>
  </si>
  <si>
    <t>0603 4.7K 1% (ROHS)</t>
  </si>
  <si>
    <t>0603 680PF 50V X5R 5% (ROHS)</t>
  </si>
  <si>
    <t>0603 10NF 25V 10% (ROHS)</t>
  </si>
  <si>
    <t>NXP BZX84-B15 SOT23 (ROHS)</t>
  </si>
  <si>
    <t>TI MC33063AD SOIC-8 (ROHS)</t>
  </si>
  <si>
    <t>220UH 20% 6*6*4.5MM PN:NIC COMPONENTS NPIS65LS221MTRF(ROHS)</t>
  </si>
  <si>
    <t>NXP BC847B SOT-23 (ROHS)</t>
  </si>
  <si>
    <t>1206 0.33R 1% (ROHS)</t>
  </si>
  <si>
    <t>0603 3.6K 1% (ROHS)</t>
  </si>
  <si>
    <t>0603 1.2K 1% (ROHS)</t>
  </si>
  <si>
    <t>0603 10K 1% (ROHS)</t>
  </si>
  <si>
    <t>0603 1K 1% (ROHS)</t>
  </si>
  <si>
    <t>0603 330R 1% (ROHS)</t>
  </si>
  <si>
    <t>0603 470R 1% (ROHS)</t>
  </si>
  <si>
    <t>Leadsintec spec (green - approved)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</si>
</sst>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##0.0E+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6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7" xfId="0" applyFont="1" applyFill="1" applyBorder="1" applyAlignment="1"/>
    <xf numFmtId="9" fontId="2" fillId="0" borderId="7" xfId="0" applyNumberFormat="1" applyFont="1" applyFill="1" applyBorder="1" applyAlignment="1">
      <alignment horizontal="left"/>
    </xf>
    <xf numFmtId="0" fontId="2" fillId="0" borderId="8" xfId="0" applyFont="1" applyFill="1" applyBorder="1"/>
    <xf numFmtId="0" fontId="2" fillId="0" borderId="9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9" fontId="2" fillId="0" borderId="9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3" borderId="4" xfId="0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9" fontId="2" fillId="0" borderId="13" xfId="0" applyNumberFormat="1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/>
    <xf numFmtId="0" fontId="2" fillId="0" borderId="5" xfId="0" applyFont="1" applyFill="1" applyBorder="1"/>
    <xf numFmtId="16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49" fontId="2" fillId="0" borderId="20" xfId="0" applyNumberFormat="1" applyFont="1" applyFill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3" fillId="4" borderId="3" xfId="0" applyNumberFormat="1" applyFont="1" applyFill="1" applyBorder="1" applyAlignment="1">
      <alignment horizontal="center" vertical="center" wrapText="1"/>
    </xf>
    <xf numFmtId="165" fontId="2" fillId="0" borderId="20" xfId="0" applyNumberFormat="1" applyFont="1" applyFill="1" applyBorder="1" applyAlignment="1">
      <alignment horizontal="center"/>
    </xf>
    <xf numFmtId="0" fontId="2" fillId="0" borderId="26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166" fontId="2" fillId="0" borderId="11" xfId="0" applyNumberFormat="1" applyFont="1" applyFill="1" applyBorder="1" applyAlignment="1">
      <alignment horizontal="center"/>
    </xf>
    <xf numFmtId="166" fontId="2" fillId="0" borderId="12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7bfa690bccb742/Shamba%20Technologies/03%20Product%20development/IO3.1/03%20Production/FastPCB_assembly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">
          <cell r="A4" t="str">
            <v>0603</v>
          </cell>
          <cell r="C4">
            <v>1</v>
          </cell>
          <cell r="D4" t="str">
            <v>smt</v>
          </cell>
        </row>
        <row r="5">
          <cell r="A5" t="str">
            <v>0805</v>
          </cell>
          <cell r="C5">
            <v>1</v>
          </cell>
          <cell r="D5" t="str">
            <v>smt</v>
          </cell>
        </row>
        <row r="6">
          <cell r="A6" t="str">
            <v>11.4mm x 5.0mm</v>
          </cell>
          <cell r="C6">
            <v>2</v>
          </cell>
          <cell r="D6" t="str">
            <v>pth</v>
          </cell>
        </row>
        <row r="7">
          <cell r="A7" t="str">
            <v>1206</v>
          </cell>
          <cell r="C7">
            <v>2</v>
          </cell>
          <cell r="D7" t="str">
            <v>smt</v>
          </cell>
        </row>
        <row r="8">
          <cell r="A8" t="str">
            <v>14.5mm x 9.0mm</v>
          </cell>
          <cell r="C8">
            <v>3</v>
          </cell>
          <cell r="D8" t="str">
            <v>pth</v>
          </cell>
        </row>
        <row r="9">
          <cell r="A9" t="str">
            <v>1812</v>
          </cell>
          <cell r="C9">
            <v>2</v>
          </cell>
          <cell r="D9" t="str">
            <v>smt</v>
          </cell>
        </row>
        <row r="10">
          <cell r="A10" t="str">
            <v>3 x 2.54mm</v>
          </cell>
          <cell r="C10">
            <v>3</v>
          </cell>
          <cell r="D10" t="str">
            <v>pth</v>
          </cell>
        </row>
        <row r="11">
          <cell r="A11" t="str">
            <v>3MM (T1)</v>
          </cell>
          <cell r="C11">
            <v>3</v>
          </cell>
          <cell r="D11" t="str">
            <v>pth</v>
          </cell>
        </row>
        <row r="12">
          <cell r="A12" t="str">
            <v>5 x 2.0mm</v>
          </cell>
          <cell r="C12">
            <v>5</v>
          </cell>
          <cell r="D12" t="str">
            <v>pth</v>
          </cell>
        </row>
        <row r="13">
          <cell r="A13" t="str">
            <v>6.3Lx6.3Wx4.5Hmm</v>
          </cell>
          <cell r="C13">
            <v>2</v>
          </cell>
          <cell r="D13" t="str">
            <v>smt</v>
          </cell>
        </row>
        <row r="14">
          <cell r="A14" t="str">
            <v>6.3MM Radial Can SMD</v>
          </cell>
          <cell r="C14">
            <v>1</v>
          </cell>
          <cell r="D14" t="str">
            <v>smt</v>
          </cell>
        </row>
        <row r="15">
          <cell r="A15" t="str">
            <v>8MM Radial Can SMD</v>
          </cell>
          <cell r="C15">
            <v>1</v>
          </cell>
          <cell r="D15" t="str">
            <v>smt</v>
          </cell>
        </row>
        <row r="16">
          <cell r="A16" t="str">
            <v>Inductor, 12.95x9.40</v>
          </cell>
          <cell r="C16">
            <v>2</v>
          </cell>
          <cell r="D16" t="str">
            <v>smt</v>
          </cell>
        </row>
        <row r="17">
          <cell r="A17" t="str">
            <v>SC-59</v>
          </cell>
          <cell r="C17">
            <v>1.5</v>
          </cell>
          <cell r="D17" t="str">
            <v>smt</v>
          </cell>
        </row>
        <row r="18">
          <cell r="A18" t="str">
            <v>SC-70-5</v>
          </cell>
          <cell r="C18">
            <v>2.5</v>
          </cell>
          <cell r="D18" t="str">
            <v>smt</v>
          </cell>
        </row>
        <row r="19">
          <cell r="A19" t="str">
            <v>SMC (6mm x 7mm)</v>
          </cell>
          <cell r="C19">
            <v>1.5</v>
          </cell>
          <cell r="D19" t="str">
            <v>smt</v>
          </cell>
        </row>
        <row r="20">
          <cell r="A20" t="str">
            <v>SOD-123</v>
          </cell>
          <cell r="C20">
            <v>1</v>
          </cell>
          <cell r="D20" t="str">
            <v>smt</v>
          </cell>
        </row>
        <row r="21">
          <cell r="A21" t="str">
            <v>SOD-323</v>
          </cell>
          <cell r="C21">
            <v>1.5</v>
          </cell>
          <cell r="D21" t="str">
            <v>smt</v>
          </cell>
        </row>
        <row r="22">
          <cell r="A22" t="str">
            <v>SOIC-08</v>
          </cell>
          <cell r="C22">
            <v>4</v>
          </cell>
          <cell r="D22" t="str">
            <v>smt</v>
          </cell>
        </row>
        <row r="23">
          <cell r="A23" t="str">
            <v>SOT-23</v>
          </cell>
          <cell r="C23">
            <v>1.5</v>
          </cell>
          <cell r="D23" t="str">
            <v>smt</v>
          </cell>
        </row>
        <row r="24">
          <cell r="A24" t="str">
            <v>SOT-323</v>
          </cell>
          <cell r="C24">
            <v>1.5</v>
          </cell>
          <cell r="D24" t="str">
            <v>smt</v>
          </cell>
        </row>
        <row r="25">
          <cell r="A25" t="str">
            <v>SOT-363</v>
          </cell>
          <cell r="C25">
            <v>3</v>
          </cell>
          <cell r="D25" t="str">
            <v>smt</v>
          </cell>
        </row>
        <row r="26">
          <cell r="A26" t="str">
            <v>SOT-666</v>
          </cell>
          <cell r="C26">
            <v>3</v>
          </cell>
          <cell r="D26" t="str">
            <v>smt</v>
          </cell>
        </row>
        <row r="27">
          <cell r="A27" t="str">
            <v>TSSOP-20</v>
          </cell>
          <cell r="C27">
            <v>10</v>
          </cell>
          <cell r="D27" t="str">
            <v>smt</v>
          </cell>
        </row>
        <row r="28">
          <cell r="A28" t="str">
            <v>USB2.0A</v>
          </cell>
          <cell r="C28">
            <v>6</v>
          </cell>
          <cell r="D28" t="str">
            <v>pth</v>
          </cell>
        </row>
        <row r="29">
          <cell r="A29">
            <v>0</v>
          </cell>
          <cell r="D29">
            <v>0</v>
          </cell>
        </row>
        <row r="30">
          <cell r="A30">
            <v>0</v>
          </cell>
          <cell r="D30">
            <v>0</v>
          </cell>
        </row>
        <row r="31">
          <cell r="A31">
            <v>0</v>
          </cell>
          <cell r="D31">
            <v>0</v>
          </cell>
        </row>
        <row r="32">
          <cell r="A32">
            <v>0</v>
          </cell>
          <cell r="D32">
            <v>0</v>
          </cell>
        </row>
        <row r="33">
          <cell r="A33">
            <v>0</v>
          </cell>
          <cell r="D33">
            <v>0</v>
          </cell>
        </row>
        <row r="34">
          <cell r="A34">
            <v>0</v>
          </cell>
          <cell r="D34">
            <v>0</v>
          </cell>
        </row>
      </sheetData>
      <sheetData sheetId="1">
        <row r="4">
          <cell r="B4" t="str">
            <v>pth</v>
          </cell>
          <cell r="C4">
            <v>1.4E-2</v>
          </cell>
        </row>
        <row r="5">
          <cell r="B5" t="str">
            <v>smt</v>
          </cell>
          <cell r="C5">
            <v>7.0000000000000001E-3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workbookViewId="0">
      <selection activeCell="B27" sqref="B27"/>
    </sheetView>
  </sheetViews>
  <sheetFormatPr defaultRowHeight="14.4" x14ac:dyDescent="0.3"/>
  <cols>
    <col min="1" max="1" width="12" bestFit="1" customWidth="1"/>
    <col min="2" max="2" width="25.5546875" bestFit="1" customWidth="1"/>
    <col min="3" max="3" width="25" bestFit="1" customWidth="1"/>
    <col min="4" max="4" width="76.5546875" style="25" customWidth="1"/>
  </cols>
  <sheetData>
    <row r="1" spans="1:4" x14ac:dyDescent="0.3">
      <c r="A1" s="23" t="s">
        <v>29</v>
      </c>
      <c r="B1" s="23" t="s">
        <v>30</v>
      </c>
      <c r="C1" s="24" t="s">
        <v>31</v>
      </c>
      <c r="D1" s="24" t="s">
        <v>32</v>
      </c>
    </row>
    <row r="2" spans="1:4" s="26" customFormat="1" ht="28.8" x14ac:dyDescent="0.3">
      <c r="A2" s="26" t="s">
        <v>25</v>
      </c>
      <c r="B2" s="26" t="s">
        <v>26</v>
      </c>
      <c r="C2" s="26" t="s">
        <v>27</v>
      </c>
      <c r="D2" s="27" t="s">
        <v>28</v>
      </c>
    </row>
    <row r="3" spans="1:4" s="26" customFormat="1" x14ac:dyDescent="0.3">
      <c r="A3" s="26" t="s">
        <v>43</v>
      </c>
      <c r="B3" s="26" t="s">
        <v>26</v>
      </c>
      <c r="C3" s="26" t="s">
        <v>33</v>
      </c>
      <c r="D3" s="27" t="s">
        <v>35</v>
      </c>
    </row>
    <row r="4" spans="1:4" s="26" customFormat="1" x14ac:dyDescent="0.3">
      <c r="A4" s="26" t="s">
        <v>44</v>
      </c>
      <c r="B4" s="26" t="s">
        <v>26</v>
      </c>
      <c r="C4" s="26" t="s">
        <v>34</v>
      </c>
      <c r="D4" s="27" t="s">
        <v>78</v>
      </c>
    </row>
    <row r="5" spans="1:4" s="26" customFormat="1" x14ac:dyDescent="0.3">
      <c r="A5" s="26" t="s">
        <v>45</v>
      </c>
      <c r="B5" s="26" t="s">
        <v>26</v>
      </c>
      <c r="C5" s="26" t="s">
        <v>53</v>
      </c>
      <c r="D5" s="27" t="s">
        <v>79</v>
      </c>
    </row>
    <row r="6" spans="1:4" s="26" customFormat="1" x14ac:dyDescent="0.3">
      <c r="A6" s="26" t="s">
        <v>46</v>
      </c>
      <c r="B6" s="26" t="s">
        <v>26</v>
      </c>
      <c r="C6" s="26" t="s">
        <v>54</v>
      </c>
      <c r="D6" s="27" t="s">
        <v>36</v>
      </c>
    </row>
    <row r="7" spans="1:4" s="26" customFormat="1" x14ac:dyDescent="0.3">
      <c r="A7" s="26" t="s">
        <v>47</v>
      </c>
      <c r="B7" s="26" t="s">
        <v>26</v>
      </c>
      <c r="C7" s="26" t="s">
        <v>55</v>
      </c>
      <c r="D7" s="27" t="s">
        <v>37</v>
      </c>
    </row>
    <row r="8" spans="1:4" s="26" customFormat="1" x14ac:dyDescent="0.3">
      <c r="A8" s="26" t="s">
        <v>48</v>
      </c>
      <c r="B8" s="26" t="s">
        <v>26</v>
      </c>
      <c r="C8" s="26" t="s">
        <v>56</v>
      </c>
      <c r="D8" s="27" t="s">
        <v>39</v>
      </c>
    </row>
    <row r="9" spans="1:4" s="26" customFormat="1" x14ac:dyDescent="0.3">
      <c r="A9" s="26" t="s">
        <v>49</v>
      </c>
      <c r="B9" s="26" t="s">
        <v>26</v>
      </c>
      <c r="C9" s="26" t="s">
        <v>57</v>
      </c>
      <c r="D9" s="27" t="s">
        <v>38</v>
      </c>
    </row>
    <row r="10" spans="1:4" s="26" customFormat="1" x14ac:dyDescent="0.3">
      <c r="A10" s="26" t="s">
        <v>50</v>
      </c>
      <c r="B10" s="26" t="s">
        <v>26</v>
      </c>
      <c r="C10" s="26" t="s">
        <v>58</v>
      </c>
      <c r="D10" s="27" t="s">
        <v>40</v>
      </c>
    </row>
    <row r="11" spans="1:4" s="26" customFormat="1" x14ac:dyDescent="0.3">
      <c r="A11" s="26" t="s">
        <v>51</v>
      </c>
      <c r="B11" s="26" t="s">
        <v>26</v>
      </c>
      <c r="C11" s="26" t="s">
        <v>59</v>
      </c>
      <c r="D11" s="27" t="s">
        <v>41</v>
      </c>
    </row>
    <row r="12" spans="1:4" s="26" customFormat="1" ht="28.8" x14ac:dyDescent="0.3">
      <c r="A12" s="26" t="s">
        <v>52</v>
      </c>
      <c r="B12" s="26" t="s">
        <v>26</v>
      </c>
      <c r="C12" s="26" t="s">
        <v>60</v>
      </c>
      <c r="D12" s="2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59999389629810485"/>
    <pageSetUpPr fitToPage="1"/>
  </sheetPr>
  <dimension ref="A1:V26"/>
  <sheetViews>
    <sheetView showGridLine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4" x14ac:dyDescent="0.3"/>
  <cols>
    <col min="1" max="1" width="22.5546875" style="4" bestFit="1" customWidth="1"/>
    <col min="2" max="2" width="37.33203125" style="4" bestFit="1" customWidth="1"/>
    <col min="3" max="3" width="14.5546875" style="4" bestFit="1" customWidth="1"/>
    <col min="4" max="4" width="27.44140625" style="4" customWidth="1"/>
    <col min="5" max="5" width="53.21875" style="4" customWidth="1"/>
    <col min="6" max="6" width="13.44140625" style="4" bestFit="1" customWidth="1"/>
    <col min="7" max="7" width="6.88671875" style="18" customWidth="1"/>
    <col min="8" max="8" width="20.77734375" style="19" customWidth="1"/>
    <col min="9" max="10" width="9.5546875" style="19" customWidth="1"/>
    <col min="11" max="11" width="20.77734375" style="19" customWidth="1"/>
    <col min="12" max="13" width="9.5546875" style="19" customWidth="1"/>
    <col min="14" max="14" width="20.77734375" style="19" customWidth="1"/>
    <col min="15" max="16" width="9.5546875" style="19" customWidth="1"/>
    <col min="17" max="17" width="20.77734375" style="19" customWidth="1"/>
    <col min="18" max="19" width="9.5546875" style="19" customWidth="1"/>
    <col min="20" max="20" width="20.77734375" style="19" customWidth="1"/>
    <col min="21" max="22" width="8.88671875" style="19" customWidth="1"/>
    <col min="23" max="16384" width="8.88671875" style="4"/>
  </cols>
  <sheetData>
    <row r="1" spans="1:22" ht="34.200000000000003" thickBot="1" x14ac:dyDescent="0.7">
      <c r="A1" s="31" t="s">
        <v>76</v>
      </c>
    </row>
    <row r="2" spans="1:22" s="2" customFormat="1" ht="29.4" thickBot="1" x14ac:dyDescent="0.35">
      <c r="A2" s="28" t="s">
        <v>17</v>
      </c>
      <c r="B2" s="32" t="s">
        <v>18</v>
      </c>
      <c r="C2" s="32" t="s">
        <v>1</v>
      </c>
      <c r="D2" s="32" t="s">
        <v>29</v>
      </c>
      <c r="E2" s="32" t="s">
        <v>194</v>
      </c>
      <c r="F2" s="32" t="s">
        <v>156</v>
      </c>
      <c r="G2" s="32" t="s">
        <v>4</v>
      </c>
      <c r="H2" s="32" t="s">
        <v>21</v>
      </c>
      <c r="I2" s="33" t="s">
        <v>2</v>
      </c>
      <c r="J2" s="28" t="s">
        <v>3</v>
      </c>
      <c r="K2" s="32" t="s">
        <v>20</v>
      </c>
      <c r="L2" s="33" t="s">
        <v>2</v>
      </c>
      <c r="M2" s="28" t="s">
        <v>3</v>
      </c>
      <c r="N2" s="32" t="s">
        <v>19</v>
      </c>
      <c r="O2" s="33" t="s">
        <v>2</v>
      </c>
      <c r="P2" s="28" t="s">
        <v>3</v>
      </c>
      <c r="Q2" s="32" t="s">
        <v>22</v>
      </c>
      <c r="R2" s="33" t="s">
        <v>2</v>
      </c>
      <c r="S2" s="28" t="s">
        <v>3</v>
      </c>
      <c r="T2" s="32" t="s">
        <v>23</v>
      </c>
      <c r="U2" s="33" t="s">
        <v>2</v>
      </c>
      <c r="V2" s="28" t="s">
        <v>3</v>
      </c>
    </row>
    <row r="3" spans="1:22" x14ac:dyDescent="0.3">
      <c r="A3" s="5" t="s">
        <v>81</v>
      </c>
      <c r="B3" s="1" t="s">
        <v>7</v>
      </c>
      <c r="C3" s="56" t="s">
        <v>157</v>
      </c>
      <c r="D3" s="56" t="s">
        <v>135</v>
      </c>
      <c r="E3" s="80" t="s">
        <v>181</v>
      </c>
      <c r="F3" s="56" t="s">
        <v>158</v>
      </c>
      <c r="G3" s="6">
        <f t="shared" ref="G3:G26" si="0">1+LEN(A3)-LEN(SUBSTITUTE(A3,",",""))</f>
        <v>1</v>
      </c>
      <c r="H3" s="20" t="s">
        <v>68</v>
      </c>
      <c r="I3" s="82">
        <v>6.8000000000000003E-10</v>
      </c>
      <c r="J3" s="83"/>
      <c r="K3" s="20" t="s">
        <v>61</v>
      </c>
      <c r="L3" s="7">
        <v>5</v>
      </c>
      <c r="M3" s="8"/>
      <c r="N3" s="21"/>
      <c r="O3" s="7"/>
      <c r="P3" s="8"/>
      <c r="Q3" s="21"/>
      <c r="R3" s="7"/>
      <c r="S3" s="8"/>
      <c r="T3" s="21"/>
      <c r="U3" s="7"/>
      <c r="V3" s="8"/>
    </row>
    <row r="4" spans="1:22" x14ac:dyDescent="0.3">
      <c r="A4" s="5" t="s">
        <v>104</v>
      </c>
      <c r="B4" s="1" t="s">
        <v>7</v>
      </c>
      <c r="C4" s="56" t="s">
        <v>157</v>
      </c>
      <c r="D4" s="56" t="s">
        <v>135</v>
      </c>
      <c r="E4" s="80" t="s">
        <v>182</v>
      </c>
      <c r="F4" s="1" t="s">
        <v>158</v>
      </c>
      <c r="G4" s="6">
        <f t="shared" si="0"/>
        <v>1</v>
      </c>
      <c r="H4" s="20" t="s">
        <v>68</v>
      </c>
      <c r="I4" s="82">
        <v>1E-8</v>
      </c>
      <c r="J4" s="83"/>
      <c r="K4" s="20" t="s">
        <v>61</v>
      </c>
      <c r="L4" s="7">
        <v>25</v>
      </c>
      <c r="M4" s="8"/>
      <c r="N4" s="21"/>
      <c r="O4" s="7"/>
      <c r="P4" s="8"/>
      <c r="Q4" s="21"/>
      <c r="R4" s="7"/>
      <c r="S4" s="8"/>
      <c r="T4" s="21"/>
      <c r="U4" s="7"/>
      <c r="V4" s="8"/>
    </row>
    <row r="5" spans="1:22" x14ac:dyDescent="0.3">
      <c r="A5" s="5" t="s">
        <v>89</v>
      </c>
      <c r="B5" s="1" t="s">
        <v>11</v>
      </c>
      <c r="C5" s="56" t="s">
        <v>159</v>
      </c>
      <c r="D5" s="56" t="s">
        <v>171</v>
      </c>
      <c r="E5" s="80" t="s">
        <v>172</v>
      </c>
      <c r="F5" s="1" t="s">
        <v>158</v>
      </c>
      <c r="G5" s="6">
        <f>1+LEN(A5)-LEN(SUBSTITUTE(A5,",",""))</f>
        <v>1</v>
      </c>
      <c r="H5" s="20" t="s">
        <v>68</v>
      </c>
      <c r="I5" s="82">
        <v>1E-4</v>
      </c>
      <c r="J5" s="83"/>
      <c r="K5" s="20" t="s">
        <v>61</v>
      </c>
      <c r="L5" s="7">
        <v>25</v>
      </c>
      <c r="M5" s="8"/>
      <c r="N5" s="21" t="s">
        <v>62</v>
      </c>
      <c r="O5" s="7"/>
      <c r="P5" s="29">
        <v>11</v>
      </c>
      <c r="Q5" s="21"/>
      <c r="R5" s="7"/>
      <c r="S5" s="29"/>
      <c r="T5" s="21"/>
      <c r="U5" s="7"/>
      <c r="V5" s="8"/>
    </row>
    <row r="6" spans="1:22" x14ac:dyDescent="0.3">
      <c r="A6" s="5" t="s">
        <v>88</v>
      </c>
      <c r="B6" s="1" t="s">
        <v>11</v>
      </c>
      <c r="C6" s="56" t="s">
        <v>159</v>
      </c>
      <c r="D6" s="56" t="s">
        <v>171</v>
      </c>
      <c r="E6" s="80" t="s">
        <v>172</v>
      </c>
      <c r="F6" s="1" t="s">
        <v>158</v>
      </c>
      <c r="G6" s="6">
        <f>1+LEN(A6)-LEN(SUBSTITUTE(A6,",",""))</f>
        <v>1</v>
      </c>
      <c r="H6" s="20" t="s">
        <v>68</v>
      </c>
      <c r="I6" s="82">
        <v>1E-4</v>
      </c>
      <c r="J6" s="83"/>
      <c r="K6" s="20" t="s">
        <v>61</v>
      </c>
      <c r="L6" s="7">
        <v>10</v>
      </c>
      <c r="M6" s="8"/>
      <c r="N6" s="21" t="s">
        <v>62</v>
      </c>
      <c r="O6" s="7"/>
      <c r="P6" s="29">
        <v>11</v>
      </c>
      <c r="Q6" s="21" t="s">
        <v>170</v>
      </c>
      <c r="R6" s="7">
        <v>5000</v>
      </c>
      <c r="S6" s="29"/>
      <c r="T6" s="21" t="s">
        <v>64</v>
      </c>
      <c r="U6" s="7">
        <v>270</v>
      </c>
      <c r="V6" s="8"/>
    </row>
    <row r="7" spans="1:22" x14ac:dyDescent="0.3">
      <c r="A7" s="5" t="s">
        <v>82</v>
      </c>
      <c r="B7" s="1" t="s">
        <v>8</v>
      </c>
      <c r="C7" s="56" t="s">
        <v>93</v>
      </c>
      <c r="D7" s="56" t="s">
        <v>85</v>
      </c>
      <c r="E7" s="80" t="s">
        <v>173</v>
      </c>
      <c r="F7" s="1" t="s">
        <v>158</v>
      </c>
      <c r="G7" s="6">
        <f t="shared" si="0"/>
        <v>1</v>
      </c>
      <c r="H7" s="21" t="s">
        <v>65</v>
      </c>
      <c r="I7" s="7"/>
      <c r="J7" s="8">
        <v>0.4</v>
      </c>
      <c r="K7" s="21" t="s">
        <v>66</v>
      </c>
      <c r="L7" s="7">
        <v>0.7</v>
      </c>
      <c r="M7" s="8"/>
      <c r="N7" s="21" t="s">
        <v>67</v>
      </c>
      <c r="O7" s="7">
        <v>3</v>
      </c>
      <c r="P7" s="8"/>
      <c r="Q7" s="21" t="s">
        <v>74</v>
      </c>
      <c r="R7" s="7">
        <v>10</v>
      </c>
      <c r="S7" s="8"/>
      <c r="T7" s="21"/>
      <c r="U7" s="7"/>
      <c r="V7" s="8"/>
    </row>
    <row r="8" spans="1:22" x14ac:dyDescent="0.3">
      <c r="A8" s="5" t="s">
        <v>86</v>
      </c>
      <c r="B8" s="1" t="s">
        <v>8</v>
      </c>
      <c r="C8" s="56" t="s">
        <v>93</v>
      </c>
      <c r="D8" s="56" t="s">
        <v>85</v>
      </c>
      <c r="E8" s="80" t="s">
        <v>173</v>
      </c>
      <c r="F8" s="1" t="s">
        <v>158</v>
      </c>
      <c r="G8" s="6">
        <f>1+LEN(A8)-LEN(SUBSTITUTE(A8,",",""))</f>
        <v>3</v>
      </c>
      <c r="H8" s="21" t="s">
        <v>65</v>
      </c>
      <c r="I8" s="7"/>
      <c r="J8" s="8">
        <v>0.4</v>
      </c>
      <c r="K8" s="21" t="s">
        <v>66</v>
      </c>
      <c r="L8" s="7">
        <v>0.5</v>
      </c>
      <c r="M8" s="8"/>
      <c r="N8" s="21"/>
      <c r="O8" s="7"/>
      <c r="P8" s="8"/>
      <c r="Q8" s="21" t="s">
        <v>74</v>
      </c>
      <c r="R8" s="7">
        <v>30</v>
      </c>
      <c r="S8" s="8"/>
      <c r="T8" s="21"/>
      <c r="U8" s="7"/>
      <c r="V8" s="8"/>
    </row>
    <row r="9" spans="1:22" x14ac:dyDescent="0.3">
      <c r="A9" s="5" t="s">
        <v>105</v>
      </c>
      <c r="B9" s="1" t="s">
        <v>106</v>
      </c>
      <c r="C9" s="1" t="s">
        <v>163</v>
      </c>
      <c r="D9" s="1" t="s">
        <v>107</v>
      </c>
      <c r="E9" s="80" t="s">
        <v>174</v>
      </c>
      <c r="F9" s="1" t="s">
        <v>160</v>
      </c>
      <c r="G9" s="6">
        <f>1+LEN(A9)-LEN(SUBSTITUTE(A9,",",""))</f>
        <v>2</v>
      </c>
      <c r="H9" s="21"/>
      <c r="I9" s="9"/>
      <c r="J9" s="10"/>
      <c r="K9" s="21"/>
      <c r="L9" s="9"/>
      <c r="M9" s="10"/>
      <c r="N9" s="21"/>
      <c r="O9" s="7"/>
      <c r="P9" s="8"/>
      <c r="Q9" s="21"/>
      <c r="R9" s="7"/>
      <c r="S9" s="8"/>
      <c r="T9" s="21"/>
      <c r="U9" s="7"/>
      <c r="V9" s="8"/>
    </row>
    <row r="10" spans="1:22" x14ac:dyDescent="0.3">
      <c r="A10" s="5" t="s">
        <v>117</v>
      </c>
      <c r="B10" s="1" t="s">
        <v>119</v>
      </c>
      <c r="C10" s="1" t="s">
        <v>157</v>
      </c>
      <c r="D10" s="1" t="s">
        <v>118</v>
      </c>
      <c r="E10" s="80" t="s">
        <v>183</v>
      </c>
      <c r="F10" s="1" t="s">
        <v>160</v>
      </c>
      <c r="G10" s="6">
        <f>1+LEN(A10)-LEN(SUBSTITUTE(A10,",",""))</f>
        <v>1</v>
      </c>
      <c r="H10" s="21"/>
      <c r="I10" s="9"/>
      <c r="J10" s="10"/>
      <c r="K10" s="21"/>
      <c r="L10" s="9"/>
      <c r="M10" s="10"/>
      <c r="N10" s="21"/>
      <c r="O10" s="7"/>
      <c r="P10" s="8"/>
      <c r="Q10" s="21"/>
      <c r="R10" s="7"/>
      <c r="S10" s="8"/>
      <c r="T10" s="21"/>
      <c r="U10" s="7"/>
      <c r="V10" s="8"/>
    </row>
    <row r="11" spans="1:22" x14ac:dyDescent="0.3">
      <c r="A11" s="5" t="s">
        <v>5</v>
      </c>
      <c r="B11" s="1" t="s">
        <v>16</v>
      </c>
      <c r="C11" s="1" t="s">
        <v>14</v>
      </c>
      <c r="D11" s="1" t="s">
        <v>15</v>
      </c>
      <c r="E11" s="80" t="s">
        <v>184</v>
      </c>
      <c r="F11" s="1" t="s">
        <v>160</v>
      </c>
      <c r="G11" s="6">
        <f t="shared" si="0"/>
        <v>1</v>
      </c>
      <c r="H11" s="21"/>
      <c r="I11" s="9"/>
      <c r="J11" s="10"/>
      <c r="K11" s="21"/>
      <c r="L11" s="9"/>
      <c r="M11" s="10"/>
      <c r="N11" s="21"/>
      <c r="O11" s="7"/>
      <c r="P11" s="8"/>
      <c r="Q11" s="21"/>
      <c r="R11" s="7"/>
      <c r="S11" s="8"/>
      <c r="T11" s="21"/>
      <c r="U11" s="7"/>
      <c r="V11" s="8"/>
    </row>
    <row r="12" spans="1:22" x14ac:dyDescent="0.3">
      <c r="A12" s="5" t="s">
        <v>112</v>
      </c>
      <c r="B12" s="1" t="s">
        <v>9</v>
      </c>
      <c r="C12" s="1" t="s">
        <v>161</v>
      </c>
      <c r="D12" s="1" t="s">
        <v>110</v>
      </c>
      <c r="E12" s="81" t="s">
        <v>175</v>
      </c>
      <c r="F12" s="1" t="s">
        <v>158</v>
      </c>
      <c r="G12" s="6">
        <f t="shared" si="0"/>
        <v>1</v>
      </c>
      <c r="H12" s="21" t="s">
        <v>61</v>
      </c>
      <c r="I12" s="7">
        <v>25</v>
      </c>
      <c r="J12" s="8"/>
      <c r="K12" s="21" t="s">
        <v>70</v>
      </c>
      <c r="L12" s="7">
        <v>1</v>
      </c>
      <c r="M12" s="8"/>
      <c r="N12" s="21"/>
      <c r="O12" s="9"/>
      <c r="P12" s="10"/>
      <c r="Q12" s="21"/>
      <c r="R12" s="7"/>
      <c r="S12" s="8"/>
      <c r="T12" s="21"/>
      <c r="U12" s="7"/>
      <c r="V12" s="8"/>
    </row>
    <row r="13" spans="1:22" x14ac:dyDescent="0.3">
      <c r="A13" s="5" t="s">
        <v>113</v>
      </c>
      <c r="B13" s="1" t="s">
        <v>24</v>
      </c>
      <c r="C13" s="1" t="s">
        <v>6</v>
      </c>
      <c r="D13" s="1" t="s">
        <v>77</v>
      </c>
      <c r="E13" s="80" t="s">
        <v>176</v>
      </c>
      <c r="F13" s="1" t="s">
        <v>160</v>
      </c>
      <c r="G13" s="6">
        <f t="shared" si="0"/>
        <v>1</v>
      </c>
      <c r="H13" s="21"/>
      <c r="I13" s="9"/>
      <c r="J13" s="10"/>
      <c r="K13" s="21"/>
      <c r="L13" s="9"/>
      <c r="M13" s="10"/>
      <c r="N13" s="21"/>
      <c r="O13" s="7"/>
      <c r="P13" s="8"/>
      <c r="Q13" s="21"/>
      <c r="R13" s="7"/>
      <c r="S13" s="8"/>
      <c r="T13" s="21"/>
      <c r="U13" s="7"/>
      <c r="V13" s="8"/>
    </row>
    <row r="14" spans="1:22" x14ac:dyDescent="0.3">
      <c r="A14" s="5" t="s">
        <v>114</v>
      </c>
      <c r="B14" s="1" t="s">
        <v>149</v>
      </c>
      <c r="C14" s="1" t="s">
        <v>6</v>
      </c>
      <c r="D14" s="1" t="s">
        <v>164</v>
      </c>
      <c r="E14" s="80" t="s">
        <v>177</v>
      </c>
      <c r="F14" s="1" t="s">
        <v>158</v>
      </c>
      <c r="G14" s="6">
        <f t="shared" si="0"/>
        <v>1</v>
      </c>
      <c r="H14" s="21" t="s">
        <v>165</v>
      </c>
      <c r="I14" s="84" t="s">
        <v>166</v>
      </c>
      <c r="J14" s="85"/>
      <c r="K14" s="21" t="s">
        <v>167</v>
      </c>
      <c r="L14" s="84" t="s">
        <v>168</v>
      </c>
      <c r="M14" s="85"/>
      <c r="N14" s="21" t="s">
        <v>169</v>
      </c>
      <c r="O14" s="84" t="s">
        <v>157</v>
      </c>
      <c r="P14" s="85"/>
      <c r="Q14" s="21"/>
      <c r="R14" s="7"/>
      <c r="S14" s="8"/>
      <c r="T14" s="21"/>
      <c r="U14" s="7"/>
      <c r="V14" s="8"/>
    </row>
    <row r="15" spans="1:22" x14ac:dyDescent="0.3">
      <c r="A15" s="5" t="s">
        <v>116</v>
      </c>
      <c r="B15" s="1" t="s">
        <v>10</v>
      </c>
      <c r="C15" s="1" t="s">
        <v>162</v>
      </c>
      <c r="D15" s="1" t="s">
        <v>111</v>
      </c>
      <c r="E15" s="80" t="s">
        <v>185</v>
      </c>
      <c r="F15" s="1" t="s">
        <v>158</v>
      </c>
      <c r="G15" s="6">
        <f t="shared" si="0"/>
        <v>1</v>
      </c>
      <c r="H15" s="21" t="s">
        <v>75</v>
      </c>
      <c r="I15" s="7">
        <v>220</v>
      </c>
      <c r="J15" s="8"/>
      <c r="K15" s="21" t="s">
        <v>71</v>
      </c>
      <c r="L15" s="7"/>
      <c r="M15" s="8">
        <v>1</v>
      </c>
      <c r="N15" s="21" t="s">
        <v>73</v>
      </c>
      <c r="O15" s="7">
        <v>0.6</v>
      </c>
      <c r="P15" s="8"/>
      <c r="Q15" s="21" t="s">
        <v>63</v>
      </c>
      <c r="R15" s="7"/>
      <c r="S15" s="29">
        <v>13</v>
      </c>
      <c r="T15" s="21" t="s">
        <v>62</v>
      </c>
      <c r="U15" s="7"/>
      <c r="V15" s="29">
        <v>11</v>
      </c>
    </row>
    <row r="16" spans="1:22" x14ac:dyDescent="0.3">
      <c r="A16" s="5" t="s">
        <v>96</v>
      </c>
      <c r="B16" s="1" t="s">
        <v>94</v>
      </c>
      <c r="C16" s="1" t="s">
        <v>93</v>
      </c>
      <c r="D16" s="1" t="s">
        <v>97</v>
      </c>
      <c r="E16" s="80" t="s">
        <v>178</v>
      </c>
      <c r="F16" s="1" t="s">
        <v>160</v>
      </c>
      <c r="G16" s="6">
        <v>1</v>
      </c>
      <c r="H16" s="21"/>
      <c r="I16" s="9"/>
      <c r="J16" s="10"/>
      <c r="K16" s="21"/>
      <c r="L16" s="9"/>
      <c r="M16" s="10"/>
      <c r="N16" s="21"/>
      <c r="O16" s="7"/>
      <c r="P16" s="8"/>
      <c r="Q16" s="21"/>
      <c r="R16" s="7"/>
      <c r="S16" s="8"/>
      <c r="T16" s="21"/>
      <c r="U16" s="7"/>
      <c r="V16" s="8"/>
    </row>
    <row r="17" spans="1:22" x14ac:dyDescent="0.3">
      <c r="A17" s="5" t="s">
        <v>95</v>
      </c>
      <c r="B17" s="1" t="s">
        <v>91</v>
      </c>
      <c r="C17" s="1" t="s">
        <v>93</v>
      </c>
      <c r="D17" s="1" t="s">
        <v>92</v>
      </c>
      <c r="E17" s="80" t="s">
        <v>186</v>
      </c>
      <c r="F17" s="1" t="s">
        <v>160</v>
      </c>
      <c r="G17" s="6">
        <f t="shared" si="0"/>
        <v>1</v>
      </c>
      <c r="H17" s="21"/>
      <c r="I17" s="9"/>
      <c r="J17" s="10"/>
      <c r="K17" s="21"/>
      <c r="L17" s="9"/>
      <c r="M17" s="10"/>
      <c r="N17" s="21"/>
      <c r="O17" s="7"/>
      <c r="P17" s="8"/>
      <c r="Q17" s="21"/>
      <c r="R17" s="7"/>
      <c r="S17" s="8"/>
      <c r="T17" s="21"/>
      <c r="U17" s="7"/>
      <c r="V17" s="8"/>
    </row>
    <row r="18" spans="1:22" x14ac:dyDescent="0.3">
      <c r="A18" s="5" t="s">
        <v>80</v>
      </c>
      <c r="B18" s="1" t="s">
        <v>12</v>
      </c>
      <c r="C18" s="56" t="s">
        <v>157</v>
      </c>
      <c r="D18" s="1" t="s">
        <v>154</v>
      </c>
      <c r="E18" s="80" t="s">
        <v>187</v>
      </c>
      <c r="F18" s="1" t="s">
        <v>158</v>
      </c>
      <c r="G18" s="6">
        <f t="shared" si="0"/>
        <v>1</v>
      </c>
      <c r="H18" s="21" t="s">
        <v>69</v>
      </c>
      <c r="I18" s="82">
        <v>0.33</v>
      </c>
      <c r="J18" s="83"/>
      <c r="K18" s="21" t="s">
        <v>13</v>
      </c>
      <c r="L18" s="7"/>
      <c r="M18" s="11">
        <v>0.05</v>
      </c>
      <c r="N18" s="21" t="s">
        <v>72</v>
      </c>
      <c r="O18" s="30">
        <v>0.25</v>
      </c>
      <c r="P18" s="8"/>
      <c r="Q18" s="21"/>
      <c r="R18" s="7"/>
      <c r="S18" s="8"/>
      <c r="T18" s="21"/>
      <c r="U18" s="7"/>
      <c r="V18" s="8"/>
    </row>
    <row r="19" spans="1:22" x14ac:dyDescent="0.3">
      <c r="A19" s="5" t="s">
        <v>83</v>
      </c>
      <c r="B19" s="1" t="s">
        <v>12</v>
      </c>
      <c r="C19" s="1" t="s">
        <v>157</v>
      </c>
      <c r="D19" s="1" t="s">
        <v>135</v>
      </c>
      <c r="E19" s="80" t="s">
        <v>188</v>
      </c>
      <c r="F19" s="1" t="s">
        <v>158</v>
      </c>
      <c r="G19" s="6">
        <f t="shared" si="0"/>
        <v>1</v>
      </c>
      <c r="H19" s="21" t="s">
        <v>69</v>
      </c>
      <c r="I19" s="82">
        <v>3600</v>
      </c>
      <c r="J19" s="83"/>
      <c r="K19" s="21" t="s">
        <v>13</v>
      </c>
      <c r="L19" s="7"/>
      <c r="M19" s="11">
        <v>0.01</v>
      </c>
      <c r="N19" s="21"/>
      <c r="O19" s="7"/>
      <c r="P19" s="8"/>
      <c r="Q19" s="21"/>
      <c r="R19" s="7"/>
      <c r="S19" s="8"/>
      <c r="T19" s="21"/>
      <c r="U19" s="7"/>
      <c r="V19" s="8"/>
    </row>
    <row r="20" spans="1:22" x14ac:dyDescent="0.3">
      <c r="A20" s="5" t="s">
        <v>84</v>
      </c>
      <c r="B20" s="1" t="s">
        <v>12</v>
      </c>
      <c r="C20" s="1" t="s">
        <v>157</v>
      </c>
      <c r="D20" s="1" t="s">
        <v>135</v>
      </c>
      <c r="E20" s="80" t="s">
        <v>189</v>
      </c>
      <c r="F20" s="1" t="s">
        <v>158</v>
      </c>
      <c r="G20" s="6">
        <f t="shared" si="0"/>
        <v>1</v>
      </c>
      <c r="H20" s="21" t="s">
        <v>69</v>
      </c>
      <c r="I20" s="82">
        <v>1200</v>
      </c>
      <c r="J20" s="83"/>
      <c r="K20" s="21" t="s">
        <v>13</v>
      </c>
      <c r="L20" s="7"/>
      <c r="M20" s="11">
        <v>0.01</v>
      </c>
      <c r="N20" s="21"/>
      <c r="O20" s="7"/>
      <c r="P20" s="8"/>
      <c r="Q20" s="21"/>
      <c r="R20" s="7"/>
      <c r="S20" s="8"/>
      <c r="T20" s="21"/>
      <c r="U20" s="7"/>
      <c r="V20" s="8"/>
    </row>
    <row r="21" spans="1:22" x14ac:dyDescent="0.3">
      <c r="A21" s="36" t="s">
        <v>100</v>
      </c>
      <c r="B21" s="1" t="s">
        <v>12</v>
      </c>
      <c r="C21" s="1" t="s">
        <v>157</v>
      </c>
      <c r="D21" s="1" t="s">
        <v>135</v>
      </c>
      <c r="E21" s="80" t="s">
        <v>179</v>
      </c>
      <c r="F21" s="1" t="s">
        <v>158</v>
      </c>
      <c r="G21" s="37">
        <f t="shared" si="0"/>
        <v>4</v>
      </c>
      <c r="H21" s="21" t="s">
        <v>69</v>
      </c>
      <c r="I21" s="82">
        <v>100000</v>
      </c>
      <c r="J21" s="83"/>
      <c r="K21" s="38" t="s">
        <v>13</v>
      </c>
      <c r="L21" s="39"/>
      <c r="M21" s="11">
        <v>0.01</v>
      </c>
      <c r="N21" s="38"/>
      <c r="O21" s="39"/>
      <c r="P21" s="41"/>
      <c r="Q21" s="38"/>
      <c r="R21" s="39"/>
      <c r="S21" s="41"/>
      <c r="T21" s="38"/>
      <c r="U21" s="39"/>
      <c r="V21" s="41"/>
    </row>
    <row r="22" spans="1:22" x14ac:dyDescent="0.3">
      <c r="A22" s="36" t="s">
        <v>98</v>
      </c>
      <c r="B22" s="1" t="s">
        <v>12</v>
      </c>
      <c r="C22" s="1" t="s">
        <v>157</v>
      </c>
      <c r="D22" s="1" t="s">
        <v>135</v>
      </c>
      <c r="E22" s="80" t="s">
        <v>190</v>
      </c>
      <c r="F22" s="1" t="s">
        <v>158</v>
      </c>
      <c r="G22" s="37">
        <f t="shared" si="0"/>
        <v>1</v>
      </c>
      <c r="H22" s="21" t="s">
        <v>69</v>
      </c>
      <c r="I22" s="82">
        <v>10000</v>
      </c>
      <c r="J22" s="83"/>
      <c r="K22" s="38" t="s">
        <v>13</v>
      </c>
      <c r="L22" s="39"/>
      <c r="M22" s="11">
        <v>0.01</v>
      </c>
      <c r="N22" s="38"/>
      <c r="O22" s="39"/>
      <c r="P22" s="41"/>
      <c r="Q22" s="38"/>
      <c r="R22" s="39"/>
      <c r="S22" s="41"/>
      <c r="T22" s="38"/>
      <c r="U22" s="39"/>
      <c r="V22" s="41"/>
    </row>
    <row r="23" spans="1:22" x14ac:dyDescent="0.3">
      <c r="A23" s="36" t="s">
        <v>99</v>
      </c>
      <c r="B23" s="1" t="s">
        <v>12</v>
      </c>
      <c r="C23" s="1" t="s">
        <v>157</v>
      </c>
      <c r="D23" s="1" t="s">
        <v>135</v>
      </c>
      <c r="E23" s="80" t="s">
        <v>191</v>
      </c>
      <c r="F23" s="1" t="s">
        <v>158</v>
      </c>
      <c r="G23" s="37">
        <f t="shared" si="0"/>
        <v>1</v>
      </c>
      <c r="H23" s="21" t="s">
        <v>69</v>
      </c>
      <c r="I23" s="82">
        <v>1000</v>
      </c>
      <c r="J23" s="83"/>
      <c r="K23" s="38" t="s">
        <v>13</v>
      </c>
      <c r="L23" s="39"/>
      <c r="M23" s="11">
        <v>0.01</v>
      </c>
      <c r="N23" s="38"/>
      <c r="O23" s="39"/>
      <c r="P23" s="41"/>
      <c r="Q23" s="38"/>
      <c r="R23" s="39"/>
      <c r="S23" s="41"/>
      <c r="T23" s="38"/>
      <c r="U23" s="39"/>
      <c r="V23" s="41"/>
    </row>
    <row r="24" spans="1:22" x14ac:dyDescent="0.3">
      <c r="A24" s="36" t="s">
        <v>101</v>
      </c>
      <c r="B24" s="1" t="s">
        <v>12</v>
      </c>
      <c r="C24" s="1" t="s">
        <v>157</v>
      </c>
      <c r="D24" s="1" t="s">
        <v>135</v>
      </c>
      <c r="E24" s="80" t="s">
        <v>180</v>
      </c>
      <c r="F24" s="1" t="s">
        <v>158</v>
      </c>
      <c r="G24" s="37">
        <f t="shared" si="0"/>
        <v>2</v>
      </c>
      <c r="H24" s="21" t="s">
        <v>69</v>
      </c>
      <c r="I24" s="82">
        <v>4700</v>
      </c>
      <c r="J24" s="83"/>
      <c r="K24" s="38" t="s">
        <v>13</v>
      </c>
      <c r="L24" s="39"/>
      <c r="M24" s="40">
        <v>0.01</v>
      </c>
      <c r="N24" s="38"/>
      <c r="O24" s="39"/>
      <c r="P24" s="41"/>
      <c r="Q24" s="38"/>
      <c r="R24" s="39"/>
      <c r="S24" s="41"/>
      <c r="T24" s="38"/>
      <c r="U24" s="39"/>
      <c r="V24" s="41"/>
    </row>
    <row r="25" spans="1:22" x14ac:dyDescent="0.3">
      <c r="A25" s="36" t="s">
        <v>102</v>
      </c>
      <c r="B25" s="1" t="s">
        <v>12</v>
      </c>
      <c r="C25" s="1" t="s">
        <v>157</v>
      </c>
      <c r="D25" s="1" t="s">
        <v>135</v>
      </c>
      <c r="E25" s="80" t="s">
        <v>192</v>
      </c>
      <c r="F25" s="1" t="s">
        <v>158</v>
      </c>
      <c r="G25" s="37">
        <f t="shared" si="0"/>
        <v>1</v>
      </c>
      <c r="H25" s="21" t="s">
        <v>69</v>
      </c>
      <c r="I25" s="82">
        <v>330</v>
      </c>
      <c r="J25" s="83"/>
      <c r="K25" s="38" t="s">
        <v>13</v>
      </c>
      <c r="L25" s="39"/>
      <c r="M25" s="40">
        <v>0.01</v>
      </c>
      <c r="N25" s="38"/>
      <c r="O25" s="39"/>
      <c r="P25" s="41"/>
      <c r="Q25" s="38"/>
      <c r="R25" s="39"/>
      <c r="S25" s="41"/>
      <c r="T25" s="38"/>
      <c r="U25" s="39"/>
      <c r="V25" s="41"/>
    </row>
    <row r="26" spans="1:22" ht="15" thickBot="1" x14ac:dyDescent="0.35">
      <c r="A26" s="13" t="s">
        <v>103</v>
      </c>
      <c r="B26" s="12" t="s">
        <v>12</v>
      </c>
      <c r="C26" s="12" t="s">
        <v>157</v>
      </c>
      <c r="D26" s="12" t="s">
        <v>135</v>
      </c>
      <c r="E26" s="80" t="s">
        <v>193</v>
      </c>
      <c r="F26" s="79" t="s">
        <v>158</v>
      </c>
      <c r="G26" s="14">
        <f t="shared" si="0"/>
        <v>1</v>
      </c>
      <c r="H26" s="22" t="s">
        <v>69</v>
      </c>
      <c r="I26" s="86">
        <v>470</v>
      </c>
      <c r="J26" s="87"/>
      <c r="K26" s="22" t="s">
        <v>13</v>
      </c>
      <c r="L26" s="15"/>
      <c r="M26" s="16">
        <v>0.01</v>
      </c>
      <c r="N26" s="22"/>
      <c r="O26" s="15"/>
      <c r="P26" s="17"/>
      <c r="Q26" s="22"/>
      <c r="R26" s="15"/>
      <c r="S26" s="17"/>
      <c r="T26" s="22"/>
      <c r="U26" s="15"/>
      <c r="V26" s="17"/>
    </row>
  </sheetData>
  <mergeCells count="16">
    <mergeCell ref="O14:P14"/>
    <mergeCell ref="I18:J18"/>
    <mergeCell ref="I22:J22"/>
    <mergeCell ref="I6:J6"/>
    <mergeCell ref="I5:J5"/>
    <mergeCell ref="I14:J14"/>
    <mergeCell ref="I3:J3"/>
    <mergeCell ref="I4:J4"/>
    <mergeCell ref="L14:M14"/>
    <mergeCell ref="I26:J26"/>
    <mergeCell ref="I25:J25"/>
    <mergeCell ref="I20:J20"/>
    <mergeCell ref="I19:J19"/>
    <mergeCell ref="I23:J23"/>
    <mergeCell ref="I24:J24"/>
    <mergeCell ref="I21:J21"/>
  </mergeCells>
  <conditionalFormatting sqref="F1:F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E31"/>
  <sheetViews>
    <sheetView showGridLines="0" zoomScale="70" zoomScaleNormal="70" workbookViewId="0">
      <pane xSplit="1" ySplit="2" topLeftCell="M3" activePane="bottomRight" state="frozen"/>
      <selection pane="topRight" activeCell="B1" sqref="B1"/>
      <selection pane="bottomLeft" activeCell="A2" sqref="A2"/>
      <selection pane="bottomRight" activeCell="O4" sqref="O4"/>
    </sheetView>
  </sheetViews>
  <sheetFormatPr defaultRowHeight="14.4" x14ac:dyDescent="0.3"/>
  <cols>
    <col min="1" max="1" width="22.5546875" style="4" bestFit="1" customWidth="1"/>
    <col min="2" max="2" width="37.33203125" style="4" bestFit="1" customWidth="1"/>
    <col min="3" max="3" width="6.88671875" style="18" customWidth="1"/>
    <col min="4" max="4" width="20.77734375" style="19" customWidth="1"/>
    <col min="5" max="5" width="19.21875" style="18" customWidth="1"/>
    <col min="6" max="6" width="20.77734375" style="19" customWidth="1"/>
    <col min="7" max="7" width="19.21875" style="18" customWidth="1"/>
    <col min="8" max="8" width="20.77734375" style="19" customWidth="1"/>
    <col min="9" max="9" width="19.21875" style="18" customWidth="1"/>
    <col min="10" max="10" width="20.77734375" style="19" customWidth="1"/>
    <col min="11" max="11" width="19.21875" style="18" customWidth="1"/>
    <col min="12" max="12" width="20.77734375" style="19" customWidth="1"/>
    <col min="13" max="15" width="18.33203125" style="18" customWidth="1"/>
    <col min="16" max="16" width="18.33203125" style="43" customWidth="1"/>
    <col min="17" max="18" width="18.33203125" style="18" customWidth="1"/>
    <col min="19" max="19" width="18.33203125" style="76" customWidth="1"/>
    <col min="20" max="20" width="18.33203125" style="18" customWidth="1"/>
    <col min="21" max="21" width="18.33203125" style="43" customWidth="1"/>
    <col min="22" max="22" width="18.33203125" style="18" customWidth="1"/>
    <col min="23" max="23" width="18.33203125" style="43" customWidth="1"/>
    <col min="24" max="24" width="28.21875" style="44" bestFit="1" customWidth="1"/>
    <col min="25" max="25" width="39.109375" style="45" bestFit="1" customWidth="1"/>
    <col min="26" max="26" width="10.88671875" style="4" customWidth="1"/>
    <col min="27" max="28" width="8.88671875" style="4"/>
    <col min="29" max="29" width="8.88671875" style="18"/>
    <col min="30" max="30" width="13.21875" style="4" bestFit="1" customWidth="1"/>
    <col min="31" max="16384" width="8.88671875" style="4"/>
  </cols>
  <sheetData>
    <row r="1" spans="1:31" ht="34.200000000000003" thickBot="1" x14ac:dyDescent="0.7">
      <c r="A1" s="31" t="s">
        <v>120</v>
      </c>
    </row>
    <row r="2" spans="1:31" s="2" customFormat="1" ht="29.4" customHeight="1" thickBot="1" x14ac:dyDescent="0.35">
      <c r="A2" s="46" t="s">
        <v>17</v>
      </c>
      <c r="B2" s="47" t="s">
        <v>18</v>
      </c>
      <c r="C2" s="47" t="s">
        <v>4</v>
      </c>
      <c r="D2" s="47" t="s">
        <v>21</v>
      </c>
      <c r="E2" s="48" t="s">
        <v>121</v>
      </c>
      <c r="F2" s="47" t="s">
        <v>20</v>
      </c>
      <c r="G2" s="48" t="s">
        <v>121</v>
      </c>
      <c r="H2" s="47" t="s">
        <v>19</v>
      </c>
      <c r="I2" s="48" t="s">
        <v>121</v>
      </c>
      <c r="J2" s="47" t="s">
        <v>22</v>
      </c>
      <c r="K2" s="48" t="s">
        <v>121</v>
      </c>
      <c r="L2" s="47" t="s">
        <v>23</v>
      </c>
      <c r="M2" s="49" t="s">
        <v>121</v>
      </c>
      <c r="N2" s="50" t="s">
        <v>122</v>
      </c>
      <c r="O2" s="51" t="s">
        <v>123</v>
      </c>
      <c r="P2" s="52" t="s">
        <v>124</v>
      </c>
      <c r="Q2" s="48" t="s">
        <v>125</v>
      </c>
      <c r="R2" s="48" t="s">
        <v>126</v>
      </c>
      <c r="S2" s="77" t="s">
        <v>127</v>
      </c>
      <c r="T2" s="48" t="s">
        <v>128</v>
      </c>
      <c r="U2" s="52" t="s">
        <v>129</v>
      </c>
      <c r="V2" s="48" t="s">
        <v>130</v>
      </c>
      <c r="W2" s="52" t="s">
        <v>131</v>
      </c>
      <c r="X2" s="53" t="s">
        <v>132</v>
      </c>
      <c r="Y2" s="54" t="s">
        <v>29</v>
      </c>
      <c r="AC2" s="2" t="s">
        <v>133</v>
      </c>
      <c r="AD2" s="2">
        <f>1/6.2</f>
        <v>0.16129032258064516</v>
      </c>
    </row>
    <row r="3" spans="1:31" x14ac:dyDescent="0.3">
      <c r="A3" s="55" t="str">
        <f>BOM_spec!A3</f>
        <v>C1</v>
      </c>
      <c r="B3" s="56" t="str">
        <f>BOM_spec!B3</f>
        <v>Capacitor (MLCC)</v>
      </c>
      <c r="C3" s="3">
        <v>1</v>
      </c>
      <c r="D3" s="20" t="s">
        <v>68</v>
      </c>
      <c r="E3" s="57">
        <v>6.8000000000000003E-10</v>
      </c>
      <c r="F3" s="20" t="s">
        <v>61</v>
      </c>
      <c r="G3" s="58">
        <v>50</v>
      </c>
      <c r="H3" s="20"/>
      <c r="I3" s="58"/>
      <c r="J3" s="20"/>
      <c r="K3" s="58"/>
      <c r="L3" s="20"/>
      <c r="M3" s="59"/>
      <c r="N3" s="60" t="s">
        <v>134</v>
      </c>
      <c r="O3" s="61">
        <v>1759083</v>
      </c>
      <c r="P3" s="62">
        <v>3.2000000000000002E-3</v>
      </c>
      <c r="Q3" s="58" t="s">
        <v>144</v>
      </c>
      <c r="R3" s="63">
        <f t="shared" ref="R3:R15" si="0">P3*C3*LOOKUP(Q3,$AC$2:$AC$4,$AD$2:$AD$4)</f>
        <v>4.96E-3</v>
      </c>
      <c r="S3" s="78">
        <f>LOOKUP(X3,[1]Sheet1!$A$4:$A$104,[1]Sheet1!$C$4:$C$104)</f>
        <v>1</v>
      </c>
      <c r="T3" s="63" t="str">
        <f>LOOKUP(X3,[1]Sheet1!$A$4:$A$104,[1]Sheet1!$D$4:$D$104)</f>
        <v>smt</v>
      </c>
      <c r="U3" s="62">
        <f>S3*LOOKUP(T3,[1]Sheet2!$B$4:$B$5,[1]Sheet2!$C$4:$C$5)</f>
        <v>7.0000000000000001E-3</v>
      </c>
      <c r="V3" s="63">
        <f t="shared" ref="V3:V15" si="1">U3*C3</f>
        <v>7.0000000000000001E-3</v>
      </c>
      <c r="W3" s="62">
        <f t="shared" ref="W3:W15" si="2">V3+R3</f>
        <v>1.196E-2</v>
      </c>
      <c r="X3" s="64" t="s">
        <v>135</v>
      </c>
      <c r="Y3" s="65"/>
      <c r="AC3" s="18" t="s">
        <v>144</v>
      </c>
      <c r="AD3" s="4">
        <v>1.55</v>
      </c>
    </row>
    <row r="4" spans="1:31" x14ac:dyDescent="0.3">
      <c r="A4" s="5" t="str">
        <f>BOM_spec!A4</f>
        <v>C4</v>
      </c>
      <c r="B4" s="1" t="str">
        <f>BOM_spec!B4</f>
        <v>Capacitor (MLCC)</v>
      </c>
      <c r="C4" s="6">
        <f>BOM_spec!G4</f>
        <v>1</v>
      </c>
      <c r="D4" s="21" t="s">
        <v>68</v>
      </c>
      <c r="E4" s="57">
        <v>9.9999999999999995E-7</v>
      </c>
      <c r="F4" s="21" t="s">
        <v>61</v>
      </c>
      <c r="G4" s="34">
        <v>25</v>
      </c>
      <c r="H4" s="21"/>
      <c r="I4" s="34"/>
      <c r="J4" s="21"/>
      <c r="K4" s="34"/>
      <c r="L4" s="21"/>
      <c r="M4" s="35"/>
      <c r="N4" s="60" t="s">
        <v>134</v>
      </c>
      <c r="O4" s="66">
        <v>1759039</v>
      </c>
      <c r="P4" s="67">
        <v>6.6E-3</v>
      </c>
      <c r="Q4" s="58" t="s">
        <v>144</v>
      </c>
      <c r="R4" s="63">
        <f t="shared" si="0"/>
        <v>1.023E-2</v>
      </c>
      <c r="S4" s="78">
        <f>LOOKUP(X4,[1]Sheet1!$A$4:$A$104,[1]Sheet1!$C$4:$C$104)</f>
        <v>1</v>
      </c>
      <c r="T4" s="63" t="str">
        <f>LOOKUP(X4,[1]Sheet1!$A$4:$A$104,[1]Sheet1!$D$4:$D$104)</f>
        <v>smt</v>
      </c>
      <c r="U4" s="62">
        <f>S4*LOOKUP(T4,[1]Sheet2!$B$4:$B$5,[1]Sheet2!$C$4:$C$5)</f>
        <v>7.0000000000000001E-3</v>
      </c>
      <c r="V4" s="63">
        <f t="shared" si="1"/>
        <v>7.0000000000000001E-3</v>
      </c>
      <c r="W4" s="62">
        <f t="shared" si="2"/>
        <v>1.7229999999999999E-2</v>
      </c>
      <c r="X4" s="68" t="s">
        <v>135</v>
      </c>
      <c r="Y4" s="65"/>
      <c r="AC4" s="18" t="s">
        <v>136</v>
      </c>
      <c r="AD4" s="4">
        <v>1</v>
      </c>
    </row>
    <row r="5" spans="1:31" x14ac:dyDescent="0.3">
      <c r="A5" s="5" t="str">
        <f>BOM_spec!A5</f>
        <v>C2</v>
      </c>
      <c r="B5" s="1" t="str">
        <f>BOM_spec!B5</f>
        <v>Capacitor (Aluminium electrolytic)</v>
      </c>
      <c r="C5" s="6">
        <f>BOM_spec!G5</f>
        <v>1</v>
      </c>
      <c r="D5" s="21" t="s">
        <v>68</v>
      </c>
      <c r="E5" s="57">
        <v>1E-4</v>
      </c>
      <c r="F5" s="21" t="s">
        <v>61</v>
      </c>
      <c r="G5" s="34">
        <v>35</v>
      </c>
      <c r="H5" s="21" t="s">
        <v>62</v>
      </c>
      <c r="I5" s="34">
        <v>7.7</v>
      </c>
      <c r="J5" s="21" t="s">
        <v>63</v>
      </c>
      <c r="K5" s="34">
        <v>6.3</v>
      </c>
      <c r="L5" s="21" t="s">
        <v>64</v>
      </c>
      <c r="M5" s="35">
        <v>132</v>
      </c>
      <c r="N5" s="60" t="s">
        <v>134</v>
      </c>
      <c r="O5" s="66">
        <v>2326172</v>
      </c>
      <c r="P5" s="67">
        <v>0.10199999999999999</v>
      </c>
      <c r="Q5" s="58" t="s">
        <v>144</v>
      </c>
      <c r="R5" s="63">
        <f t="shared" si="0"/>
        <v>0.15809999999999999</v>
      </c>
      <c r="S5" s="78">
        <f>LOOKUP(X5,[1]Sheet1!$A$4:$A$104,[1]Sheet1!$C$4:$C$104)</f>
        <v>1</v>
      </c>
      <c r="T5" s="63" t="str">
        <f>LOOKUP(X5,[1]Sheet1!$A$4:$A$104,[1]Sheet1!$D$4:$D$104)</f>
        <v>smt</v>
      </c>
      <c r="U5" s="62">
        <f>S5*LOOKUP(T5,[1]Sheet2!$B$4:$B$5,[1]Sheet2!$C$4:$C$5)</f>
        <v>7.0000000000000001E-3</v>
      </c>
      <c r="V5" s="63">
        <f t="shared" si="1"/>
        <v>7.0000000000000001E-3</v>
      </c>
      <c r="W5" s="62">
        <f t="shared" si="2"/>
        <v>0.1651</v>
      </c>
      <c r="X5" s="68" t="s">
        <v>146</v>
      </c>
      <c r="Y5" s="65" t="s">
        <v>145</v>
      </c>
      <c r="Z5" s="4" t="s">
        <v>87</v>
      </c>
    </row>
    <row r="6" spans="1:31" x14ac:dyDescent="0.3">
      <c r="A6" s="5" t="str">
        <f>BOM_spec!A6</f>
        <v>C3</v>
      </c>
      <c r="B6" s="1" t="str">
        <f>BOM_spec!B6</f>
        <v>Capacitor (Aluminium electrolytic)</v>
      </c>
      <c r="C6" s="6">
        <f>BOM_spec!G6</f>
        <v>1</v>
      </c>
      <c r="D6" s="21" t="s">
        <v>68</v>
      </c>
      <c r="E6" s="57">
        <v>1E-4</v>
      </c>
      <c r="F6" s="21" t="s">
        <v>61</v>
      </c>
      <c r="G6" s="34">
        <v>35</v>
      </c>
      <c r="H6" s="21" t="s">
        <v>62</v>
      </c>
      <c r="I6" s="34">
        <v>7.7</v>
      </c>
      <c r="J6" s="21" t="s">
        <v>63</v>
      </c>
      <c r="K6" s="34">
        <v>6.3</v>
      </c>
      <c r="L6" s="21" t="s">
        <v>64</v>
      </c>
      <c r="M6" s="35">
        <v>132</v>
      </c>
      <c r="N6" s="60" t="s">
        <v>134</v>
      </c>
      <c r="O6" s="66">
        <v>2326172</v>
      </c>
      <c r="P6" s="67">
        <v>0.10199999999999999</v>
      </c>
      <c r="Q6" s="58" t="s">
        <v>144</v>
      </c>
      <c r="R6" s="63">
        <f t="shared" si="0"/>
        <v>0.15809999999999999</v>
      </c>
      <c r="S6" s="78">
        <f>LOOKUP(X6,[1]Sheet1!$A$4:$A$104,[1]Sheet1!$C$4:$C$104)</f>
        <v>1</v>
      </c>
      <c r="T6" s="63" t="str">
        <f>LOOKUP(X6,[1]Sheet1!$A$4:$A$104,[1]Sheet1!$D$4:$D$104)</f>
        <v>smt</v>
      </c>
      <c r="U6" s="62">
        <f>S6*LOOKUP(T6,[1]Sheet2!$B$4:$B$5,[1]Sheet2!$C$4:$C$5)</f>
        <v>7.0000000000000001E-3</v>
      </c>
      <c r="V6" s="63">
        <f t="shared" si="1"/>
        <v>7.0000000000000001E-3</v>
      </c>
      <c r="W6" s="62">
        <f t="shared" si="2"/>
        <v>0.1651</v>
      </c>
      <c r="X6" s="68" t="s">
        <v>146</v>
      </c>
      <c r="Y6" s="65" t="s">
        <v>90</v>
      </c>
    </row>
    <row r="7" spans="1:31" x14ac:dyDescent="0.3">
      <c r="A7" s="5" t="str">
        <f>BOM_spec!A7</f>
        <v>D1</v>
      </c>
      <c r="B7" s="1" t="str">
        <f>BOM_spec!B7</f>
        <v>Schottky diode, low Vf</v>
      </c>
      <c r="C7" s="6">
        <f>BOM_spec!G7</f>
        <v>1</v>
      </c>
      <c r="D7" s="21" t="s">
        <v>65</v>
      </c>
      <c r="E7" s="57">
        <v>0.24</v>
      </c>
      <c r="F7" s="21" t="s">
        <v>66</v>
      </c>
      <c r="G7" s="34">
        <v>1</v>
      </c>
      <c r="H7" s="21" t="s">
        <v>67</v>
      </c>
      <c r="I7" s="34">
        <v>3.5</v>
      </c>
      <c r="J7" s="21" t="s">
        <v>74</v>
      </c>
      <c r="K7" s="34">
        <v>30</v>
      </c>
      <c r="L7" s="21"/>
      <c r="M7" s="35"/>
      <c r="N7" s="60" t="s">
        <v>134</v>
      </c>
      <c r="O7" s="66">
        <v>8737991</v>
      </c>
      <c r="P7" s="67">
        <v>7.7299999999999994E-2</v>
      </c>
      <c r="Q7" s="58" t="s">
        <v>144</v>
      </c>
      <c r="R7" s="63">
        <f t="shared" si="0"/>
        <v>0.11981499999999999</v>
      </c>
      <c r="S7" s="78">
        <f>LOOKUP(X7,[1]Sheet1!$A$4:$A$104,[1]Sheet1!$C$4:$C$104)</f>
        <v>1.5</v>
      </c>
      <c r="T7" s="63" t="str">
        <f>LOOKUP(X7,[1]Sheet1!$A$4:$A$104,[1]Sheet1!$D$4:$D$104)</f>
        <v>smt</v>
      </c>
      <c r="U7" s="62">
        <f>S7*LOOKUP(T7,[1]Sheet2!$B$4:$B$5,[1]Sheet2!$C$4:$C$5)</f>
        <v>1.0500000000000001E-2</v>
      </c>
      <c r="V7" s="63">
        <f t="shared" si="1"/>
        <v>1.0500000000000001E-2</v>
      </c>
      <c r="W7" s="62">
        <f t="shared" si="2"/>
        <v>0.13031499999999999</v>
      </c>
      <c r="X7" s="68" t="s">
        <v>139</v>
      </c>
      <c r="Y7" s="65" t="s">
        <v>85</v>
      </c>
    </row>
    <row r="8" spans="1:31" x14ac:dyDescent="0.3">
      <c r="A8" s="5" t="str">
        <f>BOM_spec!A8</f>
        <v>D3,5,6</v>
      </c>
      <c r="B8" s="1" t="str">
        <f>BOM_spec!B8</f>
        <v>Schottky diode, low Vf</v>
      </c>
      <c r="C8" s="6">
        <f>BOM_spec!G8</f>
        <v>3</v>
      </c>
      <c r="D8" s="21" t="s">
        <v>65</v>
      </c>
      <c r="E8" s="57">
        <v>0.24</v>
      </c>
      <c r="F8" s="21" t="s">
        <v>66</v>
      </c>
      <c r="G8" s="34">
        <v>1</v>
      </c>
      <c r="H8" s="21"/>
      <c r="I8" s="34"/>
      <c r="J8" s="21" t="s">
        <v>74</v>
      </c>
      <c r="K8" s="34">
        <v>30</v>
      </c>
      <c r="L8" s="21"/>
      <c r="M8" s="35"/>
      <c r="N8" s="60" t="s">
        <v>134</v>
      </c>
      <c r="O8" s="66">
        <v>8737991</v>
      </c>
      <c r="P8" s="67">
        <v>7.7299999999999994E-2</v>
      </c>
      <c r="Q8" s="58" t="s">
        <v>144</v>
      </c>
      <c r="R8" s="63">
        <f t="shared" si="0"/>
        <v>0.35944500000000001</v>
      </c>
      <c r="S8" s="78">
        <f>LOOKUP(X8,[1]Sheet1!$A$4:$A$104,[1]Sheet1!$C$4:$C$104)</f>
        <v>1.5</v>
      </c>
      <c r="T8" s="63" t="str">
        <f>LOOKUP(X8,[1]Sheet1!$A$4:$A$104,[1]Sheet1!$D$4:$D$104)</f>
        <v>smt</v>
      </c>
      <c r="U8" s="62">
        <f>S8*LOOKUP(T8,[1]Sheet2!$B$4:$B$5,[1]Sheet2!$C$4:$C$5)</f>
        <v>1.0500000000000001E-2</v>
      </c>
      <c r="V8" s="63">
        <f t="shared" si="1"/>
        <v>3.15E-2</v>
      </c>
      <c r="W8" s="62">
        <f t="shared" si="2"/>
        <v>0.39094499999999999</v>
      </c>
      <c r="X8" s="68" t="s">
        <v>139</v>
      </c>
      <c r="Y8" s="65" t="s">
        <v>85</v>
      </c>
      <c r="AA8" s="69"/>
      <c r="AE8" s="70"/>
    </row>
    <row r="9" spans="1:31" x14ac:dyDescent="0.3">
      <c r="A9" s="5" t="str">
        <f>BOM_spec!A9</f>
        <v>D2,4</v>
      </c>
      <c r="B9" s="1" t="str">
        <f>BOM_spec!B9</f>
        <v>Small signal, TS4148 RY</v>
      </c>
      <c r="C9" s="6">
        <f>BOM_spec!G9</f>
        <v>2</v>
      </c>
      <c r="D9" s="21" t="s">
        <v>1</v>
      </c>
      <c r="E9" s="57" t="s">
        <v>109</v>
      </c>
      <c r="F9" s="21" t="s">
        <v>0</v>
      </c>
      <c r="G9" s="34" t="s">
        <v>107</v>
      </c>
      <c r="H9" s="21"/>
      <c r="I9" s="71"/>
      <c r="J9" s="21"/>
      <c r="K9" s="71"/>
      <c r="L9" s="21"/>
      <c r="M9" s="35"/>
      <c r="N9" s="60" t="s">
        <v>134</v>
      </c>
      <c r="O9" s="66">
        <v>8150206</v>
      </c>
      <c r="P9" s="67">
        <v>1.55E-2</v>
      </c>
      <c r="Q9" s="58" t="s">
        <v>144</v>
      </c>
      <c r="R9" s="63">
        <f t="shared" si="0"/>
        <v>4.8050000000000002E-2</v>
      </c>
      <c r="S9" s="78">
        <f>LOOKUP(X9,[1]Sheet1!$A$4:$A$104,[1]Sheet1!$C$4:$C$104)</f>
        <v>1</v>
      </c>
      <c r="T9" s="63" t="str">
        <f>LOOKUP(X9,[1]Sheet1!$A$4:$A$104,[1]Sheet1!$D$4:$D$104)</f>
        <v>smt</v>
      </c>
      <c r="U9" s="62">
        <f>S9*LOOKUP(T9,[1]Sheet2!$B$4:$B$5,[1]Sheet2!$C$4:$C$5)</f>
        <v>7.0000000000000001E-3</v>
      </c>
      <c r="V9" s="63">
        <f t="shared" si="1"/>
        <v>1.4E-2</v>
      </c>
      <c r="W9" s="62">
        <f t="shared" si="2"/>
        <v>6.2050000000000001E-2</v>
      </c>
      <c r="X9" s="68" t="s">
        <v>137</v>
      </c>
      <c r="Y9" s="73" t="s">
        <v>108</v>
      </c>
      <c r="AA9" s="69"/>
      <c r="AE9" s="70"/>
    </row>
    <row r="10" spans="1:31" x14ac:dyDescent="0.3">
      <c r="A10" s="5" t="str">
        <f>BOM_spec!A10</f>
        <v>D7</v>
      </c>
      <c r="B10" s="1" t="str">
        <f>BOM_spec!B10</f>
        <v>Zener diode, 15V, 2%</v>
      </c>
      <c r="C10" s="6">
        <f>BOM_spec!G10</f>
        <v>1</v>
      </c>
      <c r="D10" s="21" t="s">
        <v>0</v>
      </c>
      <c r="E10" s="57" t="s">
        <v>118</v>
      </c>
      <c r="F10" s="21"/>
      <c r="G10" s="34"/>
      <c r="H10" s="21"/>
      <c r="I10" s="71"/>
      <c r="J10" s="21"/>
      <c r="K10" s="71"/>
      <c r="L10" s="21"/>
      <c r="M10" s="35"/>
      <c r="N10" s="60" t="s">
        <v>134</v>
      </c>
      <c r="O10" s="66">
        <v>2311211</v>
      </c>
      <c r="P10" s="67">
        <v>2.24E-2</v>
      </c>
      <c r="Q10" s="58" t="s">
        <v>144</v>
      </c>
      <c r="R10" s="63">
        <f t="shared" si="0"/>
        <v>3.4720000000000001E-2</v>
      </c>
      <c r="S10" s="78">
        <f>LOOKUP(X10,[1]Sheet1!$A$4:$A$104,[1]Sheet1!$C$4:$C$104)</f>
        <v>1.5</v>
      </c>
      <c r="T10" s="63" t="str">
        <f>LOOKUP(X10,[1]Sheet1!$A$4:$A$104,[1]Sheet1!$D$4:$D$104)</f>
        <v>smt</v>
      </c>
      <c r="U10" s="62">
        <f>S10*LOOKUP(T10,[1]Sheet2!$B$4:$B$5,[1]Sheet2!$C$4:$C$5)</f>
        <v>1.0500000000000001E-2</v>
      </c>
      <c r="V10" s="63">
        <f t="shared" si="1"/>
        <v>1.0500000000000001E-2</v>
      </c>
      <c r="W10" s="62">
        <f t="shared" si="2"/>
        <v>4.5220000000000003E-2</v>
      </c>
      <c r="X10" s="68" t="s">
        <v>147</v>
      </c>
      <c r="Y10" s="73" t="s">
        <v>118</v>
      </c>
      <c r="AA10" s="69"/>
      <c r="AE10" s="70"/>
    </row>
    <row r="11" spans="1:31" x14ac:dyDescent="0.3">
      <c r="A11" s="5" t="str">
        <f>BOM_spec!A11</f>
        <v>IC1</v>
      </c>
      <c r="B11" s="1" t="str">
        <f>BOM_spec!B11</f>
        <v>DC/DC Converter controller</v>
      </c>
      <c r="C11" s="6">
        <f>BOM_spec!G11</f>
        <v>1</v>
      </c>
      <c r="D11" s="21" t="s">
        <v>1</v>
      </c>
      <c r="E11" s="34" t="s">
        <v>14</v>
      </c>
      <c r="F11" s="21" t="s">
        <v>0</v>
      </c>
      <c r="G11" s="34" t="s">
        <v>15</v>
      </c>
      <c r="H11" s="21"/>
      <c r="I11" s="34"/>
      <c r="J11" s="21"/>
      <c r="K11" s="34"/>
      <c r="L11" s="21"/>
      <c r="M11" s="35"/>
      <c r="N11" s="60" t="s">
        <v>134</v>
      </c>
      <c r="O11" s="66">
        <v>1053591</v>
      </c>
      <c r="P11" s="67">
        <v>0.23</v>
      </c>
      <c r="Q11" s="58" t="s">
        <v>144</v>
      </c>
      <c r="R11" s="63">
        <f t="shared" si="0"/>
        <v>0.35650000000000004</v>
      </c>
      <c r="S11" s="78">
        <f>LOOKUP(X11,[1]Sheet1!$A$4:$A$104,[1]Sheet1!$C$4:$C$104)</f>
        <v>4</v>
      </c>
      <c r="T11" s="63" t="str">
        <f>LOOKUP(X11,[1]Sheet1!$A$4:$A$104,[1]Sheet1!$D$4:$D$104)</f>
        <v>smt</v>
      </c>
      <c r="U11" s="62">
        <f>S11*LOOKUP(T11,[1]Sheet2!$B$4:$B$5,[1]Sheet2!$C$4:$C$5)</f>
        <v>2.8000000000000001E-2</v>
      </c>
      <c r="V11" s="63">
        <f t="shared" si="1"/>
        <v>2.8000000000000001E-2</v>
      </c>
      <c r="W11" s="62">
        <f t="shared" si="2"/>
        <v>0.38450000000000006</v>
      </c>
      <c r="X11" s="68" t="s">
        <v>148</v>
      </c>
      <c r="Y11" s="65" t="s">
        <v>15</v>
      </c>
      <c r="AA11" s="69"/>
      <c r="AE11" s="70"/>
    </row>
    <row r="12" spans="1:31" x14ac:dyDescent="0.3">
      <c r="A12" s="5" t="str">
        <f>BOM_spec!A12</f>
        <v>J1</v>
      </c>
      <c r="B12" s="1" t="str">
        <f>BOM_spec!B12</f>
        <v>DC barrel connector, 1.7mm, CUI, PJ-018</v>
      </c>
      <c r="C12" s="6">
        <f>BOM_spec!G12</f>
        <v>1</v>
      </c>
      <c r="D12" s="21" t="s">
        <v>61</v>
      </c>
      <c r="E12" s="34">
        <v>25</v>
      </c>
      <c r="F12" s="21" t="s">
        <v>70</v>
      </c>
      <c r="G12" s="34">
        <v>1</v>
      </c>
      <c r="H12" s="21"/>
      <c r="I12" s="34"/>
      <c r="J12" s="21"/>
      <c r="K12" s="34"/>
      <c r="L12" s="21"/>
      <c r="M12" s="35"/>
      <c r="N12" s="60" t="s">
        <v>142</v>
      </c>
      <c r="O12" s="66" t="s">
        <v>143</v>
      </c>
      <c r="P12" s="67">
        <v>2.5947399999999998</v>
      </c>
      <c r="Q12" s="58" t="s">
        <v>133</v>
      </c>
      <c r="R12" s="63">
        <f t="shared" si="0"/>
        <v>0.41850645161290317</v>
      </c>
      <c r="S12" s="78">
        <f>LOOKUP(X12,[1]Sheet1!$A$4:$A$104,[1]Sheet1!$C$4:$C$104)</f>
        <v>3</v>
      </c>
      <c r="T12" s="63" t="str">
        <f>LOOKUP(X12,[1]Sheet1!$A$4:$A$104,[1]Sheet1!$D$4:$D$104)</f>
        <v>pth</v>
      </c>
      <c r="U12" s="62">
        <f>S12*LOOKUP(T12,[1]Sheet2!$B$4:$B$5,[1]Sheet2!$C$4:$C$5)</f>
        <v>4.2000000000000003E-2</v>
      </c>
      <c r="V12" s="63">
        <f t="shared" si="1"/>
        <v>4.2000000000000003E-2</v>
      </c>
      <c r="W12" s="62">
        <f t="shared" si="2"/>
        <v>0.46050645161290316</v>
      </c>
      <c r="X12" s="68" t="s">
        <v>140</v>
      </c>
      <c r="Y12" s="73" t="s">
        <v>110</v>
      </c>
      <c r="AA12" s="69"/>
      <c r="AE12" s="70"/>
    </row>
    <row r="13" spans="1:31" x14ac:dyDescent="0.3">
      <c r="A13" s="5" t="str">
        <f>BOM_spec!A13</f>
        <v>J2</v>
      </c>
      <c r="B13" s="1" t="str">
        <f>BOM_spec!B13</f>
        <v>Long header connector, Samtec, 3-way</v>
      </c>
      <c r="C13" s="6">
        <f>BOM_spec!G13</f>
        <v>1</v>
      </c>
      <c r="D13" s="21" t="s">
        <v>1</v>
      </c>
      <c r="E13" s="34" t="s">
        <v>6</v>
      </c>
      <c r="F13" s="21" t="s">
        <v>0</v>
      </c>
      <c r="G13" s="34" t="s">
        <v>77</v>
      </c>
      <c r="H13" s="21"/>
      <c r="I13" s="34"/>
      <c r="J13" s="21"/>
      <c r="K13" s="34"/>
      <c r="L13" s="21"/>
      <c r="M13" s="35"/>
      <c r="N13" s="72" t="s">
        <v>6</v>
      </c>
      <c r="O13" s="66" t="s">
        <v>138</v>
      </c>
      <c r="P13" s="67">
        <v>0.375</v>
      </c>
      <c r="Q13" s="34" t="s">
        <v>136</v>
      </c>
      <c r="R13" s="63">
        <f t="shared" si="0"/>
        <v>0.375</v>
      </c>
      <c r="S13" s="78">
        <f>LOOKUP(X13,[1]Sheet1!$A$4:$A$104,[1]Sheet1!$C$4:$C$104)</f>
        <v>3</v>
      </c>
      <c r="T13" s="63" t="str">
        <f>LOOKUP(X13,[1]Sheet1!$A$4:$A$104,[1]Sheet1!$D$4:$D$104)</f>
        <v>pth</v>
      </c>
      <c r="U13" s="62">
        <f>S13*LOOKUP(T13,[1]Sheet2!$B$4:$B$5,[1]Sheet2!$C$4:$C$5)</f>
        <v>4.2000000000000003E-2</v>
      </c>
      <c r="V13" s="63">
        <f t="shared" si="1"/>
        <v>4.2000000000000003E-2</v>
      </c>
      <c r="W13" s="62">
        <f t="shared" si="2"/>
        <v>0.41699999999999998</v>
      </c>
      <c r="X13" s="68" t="s">
        <v>141</v>
      </c>
      <c r="Y13" s="65" t="s">
        <v>77</v>
      </c>
      <c r="AA13" s="69"/>
      <c r="AE13" s="70"/>
    </row>
    <row r="14" spans="1:31" x14ac:dyDescent="0.3">
      <c r="A14" s="5" t="str">
        <f>BOM_spec!A14</f>
        <v>J3</v>
      </c>
      <c r="B14" s="1" t="str">
        <f>BOM_spec!B14</f>
        <v>USB 2.0 type A, right-angle, through-hole</v>
      </c>
      <c r="C14" s="6">
        <f>BOM_spec!G14</f>
        <v>1</v>
      </c>
      <c r="D14" s="21"/>
      <c r="E14" s="34"/>
      <c r="F14" s="21"/>
      <c r="G14" s="34"/>
      <c r="H14" s="21"/>
      <c r="I14" s="34"/>
      <c r="J14" s="21"/>
      <c r="K14" s="34"/>
      <c r="L14" s="21"/>
      <c r="M14" s="35"/>
      <c r="N14" s="60" t="s">
        <v>134</v>
      </c>
      <c r="O14" s="66">
        <v>1696534</v>
      </c>
      <c r="P14" s="67">
        <v>0.214</v>
      </c>
      <c r="Q14" s="34" t="s">
        <v>144</v>
      </c>
      <c r="R14" s="63">
        <f t="shared" si="0"/>
        <v>0.33169999999999999</v>
      </c>
      <c r="S14" s="78">
        <f>LOOKUP(X14,[1]Sheet1!$A$4:$A$104,[1]Sheet1!$C$4:$C$104)</f>
        <v>6</v>
      </c>
      <c r="T14" s="63" t="str">
        <f>LOOKUP(X14,[1]Sheet1!$A$4:$A$104,[1]Sheet1!$D$4:$D$104)</f>
        <v>pth</v>
      </c>
      <c r="U14" s="62">
        <f>S14*LOOKUP(T14,[1]Sheet2!$B$4:$B$5,[1]Sheet2!$C$4:$C$5)</f>
        <v>8.4000000000000005E-2</v>
      </c>
      <c r="V14" s="63">
        <f t="shared" si="1"/>
        <v>8.4000000000000005E-2</v>
      </c>
      <c r="W14" s="62">
        <f t="shared" si="2"/>
        <v>0.41570000000000001</v>
      </c>
      <c r="X14" s="68" t="s">
        <v>150</v>
      </c>
      <c r="Y14" s="73" t="s">
        <v>115</v>
      </c>
      <c r="AA14" s="69"/>
      <c r="AE14" s="70"/>
    </row>
    <row r="15" spans="1:31" x14ac:dyDescent="0.3">
      <c r="A15" s="5" t="str">
        <f>BOM_spec!A15</f>
        <v>L1</v>
      </c>
      <c r="B15" s="1" t="str">
        <f>BOM_spec!B15</f>
        <v>Inductor</v>
      </c>
      <c r="C15" s="6">
        <f>BOM_spec!G15</f>
        <v>1</v>
      </c>
      <c r="D15" s="21" t="s">
        <v>75</v>
      </c>
      <c r="E15" s="57">
        <v>2.2000000000000001E-4</v>
      </c>
      <c r="F15" s="21" t="s">
        <v>71</v>
      </c>
      <c r="G15" s="34">
        <v>0.61</v>
      </c>
      <c r="H15" s="21" t="s">
        <v>73</v>
      </c>
      <c r="I15" s="34">
        <v>0.8</v>
      </c>
      <c r="J15" s="21" t="s">
        <v>63</v>
      </c>
      <c r="K15" s="71">
        <v>13</v>
      </c>
      <c r="L15" s="21" t="s">
        <v>62</v>
      </c>
      <c r="M15" s="35">
        <v>5.12</v>
      </c>
      <c r="N15" s="72" t="s">
        <v>134</v>
      </c>
      <c r="O15" s="66">
        <v>1861782</v>
      </c>
      <c r="P15" s="67">
        <v>0.158</v>
      </c>
      <c r="Q15" s="34" t="s">
        <v>144</v>
      </c>
      <c r="R15" s="63">
        <f t="shared" si="0"/>
        <v>0.24490000000000001</v>
      </c>
      <c r="S15" s="78">
        <f>LOOKUP(X15,[1]Sheet1!$A$4:$A$104,[1]Sheet1!$C$4:$C$104)</f>
        <v>2</v>
      </c>
      <c r="T15" s="63" t="str">
        <f>LOOKUP(X15,[1]Sheet1!$A$4:$A$104,[1]Sheet1!$D$4:$D$104)</f>
        <v>smt</v>
      </c>
      <c r="U15" s="62">
        <f>S15*LOOKUP(T15,[1]Sheet2!$B$4:$B$5,[1]Sheet2!$C$4:$C$5)</f>
        <v>1.4E-2</v>
      </c>
      <c r="V15" s="63">
        <f t="shared" si="1"/>
        <v>1.4E-2</v>
      </c>
      <c r="W15" s="62">
        <f t="shared" si="2"/>
        <v>0.25890000000000002</v>
      </c>
      <c r="X15" s="68" t="s">
        <v>151</v>
      </c>
      <c r="Y15" s="73" t="s">
        <v>152</v>
      </c>
      <c r="Z15" s="4" t="s">
        <v>111</v>
      </c>
      <c r="AA15" s="69"/>
      <c r="AE15" s="70"/>
    </row>
    <row r="16" spans="1:31" x14ac:dyDescent="0.3">
      <c r="A16" s="5" t="str">
        <f>BOM_spec!A16</f>
        <v>Q1(A/B)</v>
      </c>
      <c r="B16" s="1" t="str">
        <f>BOM_spec!B16</f>
        <v>BC857BS Dual PNP transistor</v>
      </c>
      <c r="C16" s="6">
        <f>BOM_spec!G16</f>
        <v>1</v>
      </c>
      <c r="D16" s="21" t="s">
        <v>1</v>
      </c>
      <c r="E16" s="34" t="s">
        <v>93</v>
      </c>
      <c r="F16" s="21" t="s">
        <v>0</v>
      </c>
      <c r="G16" s="34" t="s">
        <v>97</v>
      </c>
      <c r="H16" s="21"/>
      <c r="I16" s="34"/>
      <c r="J16" s="21"/>
      <c r="K16" s="34"/>
      <c r="L16" s="21"/>
      <c r="M16" s="35"/>
      <c r="N16" s="72" t="s">
        <v>134</v>
      </c>
      <c r="O16" s="66">
        <v>1081247</v>
      </c>
      <c r="P16" s="67">
        <v>5.2499999999999998E-2</v>
      </c>
      <c r="Q16" s="42" t="s">
        <v>144</v>
      </c>
      <c r="R16" s="63">
        <f t="shared" ref="R16:R17" si="3">P16*C16*LOOKUP(Q16,$AC$2:$AC$4,$AD$2:$AD$4)</f>
        <v>8.1375000000000003E-2</v>
      </c>
      <c r="S16" s="78">
        <f>LOOKUP(X16,[1]Sheet1!$A$4:$A$104,[1]Sheet1!$C$4:$C$104)</f>
        <v>3</v>
      </c>
      <c r="T16" s="63" t="str">
        <f>LOOKUP(X16,[1]Sheet1!$A$4:$A$104,[1]Sheet1!$D$4:$D$104)</f>
        <v>smt</v>
      </c>
      <c r="U16" s="62">
        <f>S16*LOOKUP(T16,[1]Sheet2!$B$4:$B$5,[1]Sheet2!$C$4:$C$5)</f>
        <v>2.1000000000000001E-2</v>
      </c>
      <c r="V16" s="63">
        <f t="shared" ref="V16" si="4">U16*C16</f>
        <v>2.1000000000000001E-2</v>
      </c>
      <c r="W16" s="62">
        <f t="shared" ref="W16" si="5">V16+R16</f>
        <v>0.10237500000000001</v>
      </c>
      <c r="X16" s="68" t="s">
        <v>153</v>
      </c>
      <c r="Y16" s="65" t="s">
        <v>97</v>
      </c>
      <c r="AA16" s="69"/>
      <c r="AE16" s="70"/>
    </row>
    <row r="17" spans="1:31" x14ac:dyDescent="0.3">
      <c r="A17" s="5" t="str">
        <f>BOM_spec!A17</f>
        <v>Q2</v>
      </c>
      <c r="B17" s="1" t="str">
        <f>BOM_spec!B17</f>
        <v>BC847B NPN transistor</v>
      </c>
      <c r="C17" s="6">
        <f>BOM_spec!G17</f>
        <v>1</v>
      </c>
      <c r="D17" s="21" t="s">
        <v>1</v>
      </c>
      <c r="E17" s="34" t="s">
        <v>93</v>
      </c>
      <c r="F17" s="21" t="s">
        <v>0</v>
      </c>
      <c r="G17" s="34" t="s">
        <v>92</v>
      </c>
      <c r="H17" s="21"/>
      <c r="I17" s="34"/>
      <c r="J17" s="21"/>
      <c r="K17" s="34"/>
      <c r="L17" s="21"/>
      <c r="M17" s="35"/>
      <c r="N17" s="72" t="s">
        <v>134</v>
      </c>
      <c r="O17" s="66">
        <v>1081232</v>
      </c>
      <c r="P17" s="67">
        <v>1.24E-2</v>
      </c>
      <c r="Q17" s="34" t="s">
        <v>144</v>
      </c>
      <c r="R17" s="63">
        <f t="shared" si="3"/>
        <v>1.9220000000000001E-2</v>
      </c>
      <c r="S17" s="78">
        <f>LOOKUP(X17,[1]Sheet1!$A$4:$A$104,[1]Sheet1!$C$4:$C$104)</f>
        <v>1.5</v>
      </c>
      <c r="T17" s="63" t="str">
        <f>LOOKUP(X17,[1]Sheet1!$A$4:$A$104,[1]Sheet1!$D$4:$D$104)</f>
        <v>smt</v>
      </c>
      <c r="U17" s="62">
        <f>S17*LOOKUP(T17,[1]Sheet2!$B$4:$B$5,[1]Sheet2!$C$4:$C$5)</f>
        <v>1.0500000000000001E-2</v>
      </c>
      <c r="V17" s="63">
        <f t="shared" ref="V17" si="6">U17*C17</f>
        <v>1.0500000000000001E-2</v>
      </c>
      <c r="W17" s="62">
        <f t="shared" ref="W17" si="7">V17+R17</f>
        <v>2.9720000000000003E-2</v>
      </c>
      <c r="X17" s="68" t="s">
        <v>147</v>
      </c>
      <c r="Y17" s="65" t="s">
        <v>92</v>
      </c>
      <c r="AA17" s="69"/>
      <c r="AE17" s="70"/>
    </row>
    <row r="18" spans="1:31" x14ac:dyDescent="0.3">
      <c r="A18" s="5" t="str">
        <f>BOM_spec!A18</f>
        <v>R1</v>
      </c>
      <c r="B18" s="1" t="str">
        <f>BOM_spec!B18</f>
        <v>Resistor</v>
      </c>
      <c r="C18" s="6">
        <f>BOM_spec!G18</f>
        <v>1</v>
      </c>
      <c r="D18" s="21" t="s">
        <v>69</v>
      </c>
      <c r="E18" s="57">
        <v>0.33</v>
      </c>
      <c r="F18" s="21" t="s">
        <v>13</v>
      </c>
      <c r="G18" s="75">
        <v>0.05</v>
      </c>
      <c r="H18" s="21" t="s">
        <v>72</v>
      </c>
      <c r="I18" s="34">
        <v>0.25</v>
      </c>
      <c r="J18" s="21"/>
      <c r="K18" s="34"/>
      <c r="L18" s="21"/>
      <c r="M18" s="35"/>
      <c r="N18" s="72" t="s">
        <v>134</v>
      </c>
      <c r="O18" s="66">
        <v>2328144</v>
      </c>
      <c r="P18" s="67">
        <v>3.1199999999999999E-2</v>
      </c>
      <c r="Q18" s="42" t="s">
        <v>144</v>
      </c>
      <c r="R18" s="63">
        <f t="shared" ref="R18:R26" si="8">P18*C18*LOOKUP(Q18,$AC$2:$AC$4,$AD$2:$AD$4)</f>
        <v>4.836E-2</v>
      </c>
      <c r="S18" s="78">
        <f>LOOKUP(X18,[1]Sheet1!$A$4:$A$104,[1]Sheet1!$C$4:$C$104)</f>
        <v>2</v>
      </c>
      <c r="T18" s="63" t="str">
        <f>LOOKUP(X18,[1]Sheet1!$A$4:$A$104,[1]Sheet1!$D$4:$D$104)</f>
        <v>smt</v>
      </c>
      <c r="U18" s="62">
        <f>S18*LOOKUP(T18,[1]Sheet2!$B$4:$B$5,[1]Sheet2!$C$4:$C$5)</f>
        <v>1.4E-2</v>
      </c>
      <c r="V18" s="63">
        <f t="shared" ref="V18:V26" si="9">U18*C18</f>
        <v>1.4E-2</v>
      </c>
      <c r="W18" s="62">
        <f t="shared" ref="W18:W26" si="10">V18+R18</f>
        <v>6.2359999999999999E-2</v>
      </c>
      <c r="X18" s="68" t="s">
        <v>154</v>
      </c>
      <c r="Y18" s="65"/>
      <c r="AA18" s="69"/>
      <c r="AE18" s="70"/>
    </row>
    <row r="19" spans="1:31" x14ac:dyDescent="0.3">
      <c r="A19" s="5" t="str">
        <f>BOM_spec!A19</f>
        <v>R3</v>
      </c>
      <c r="B19" s="1" t="str">
        <f>BOM_spec!B19</f>
        <v>Resistor</v>
      </c>
      <c r="C19" s="6">
        <f>BOM_spec!G19</f>
        <v>1</v>
      </c>
      <c r="D19" s="21" t="s">
        <v>69</v>
      </c>
      <c r="E19" s="57">
        <v>3600</v>
      </c>
      <c r="F19" s="21" t="s">
        <v>13</v>
      </c>
      <c r="G19" s="75">
        <v>0.01</v>
      </c>
      <c r="H19" s="21"/>
      <c r="I19" s="34"/>
      <c r="J19" s="21"/>
      <c r="K19" s="34"/>
      <c r="L19" s="21"/>
      <c r="M19" s="35"/>
      <c r="N19" s="72" t="s">
        <v>134</v>
      </c>
      <c r="O19" s="66">
        <v>2073482</v>
      </c>
      <c r="P19" s="67">
        <v>4.4000000000000003E-3</v>
      </c>
      <c r="Q19" s="42" t="s">
        <v>144</v>
      </c>
      <c r="R19" s="63">
        <f t="shared" si="8"/>
        <v>6.8200000000000005E-3</v>
      </c>
      <c r="S19" s="78">
        <f>LOOKUP(X19,[1]Sheet1!$A$4:$A$104,[1]Sheet1!$C$4:$C$104)</f>
        <v>1</v>
      </c>
      <c r="T19" s="63" t="str">
        <f>LOOKUP(X19,[1]Sheet1!$A$4:$A$104,[1]Sheet1!$D$4:$D$104)</f>
        <v>smt</v>
      </c>
      <c r="U19" s="62">
        <f>S19*LOOKUP(T19,[1]Sheet2!$B$4:$B$5,[1]Sheet2!$C$4:$C$5)</f>
        <v>7.0000000000000001E-3</v>
      </c>
      <c r="V19" s="63">
        <f t="shared" si="9"/>
        <v>7.0000000000000001E-3</v>
      </c>
      <c r="W19" s="62">
        <f t="shared" si="10"/>
        <v>1.3820000000000001E-2</v>
      </c>
      <c r="X19" s="68" t="s">
        <v>135</v>
      </c>
      <c r="Y19" s="73"/>
      <c r="AA19" s="69"/>
      <c r="AE19" s="70"/>
    </row>
    <row r="20" spans="1:31" x14ac:dyDescent="0.3">
      <c r="A20" s="5" t="str">
        <f>BOM_spec!A20</f>
        <v>R2</v>
      </c>
      <c r="B20" s="1" t="str">
        <f>BOM_spec!B20</f>
        <v>Resistor</v>
      </c>
      <c r="C20" s="6">
        <f>BOM_spec!G20</f>
        <v>1</v>
      </c>
      <c r="D20" s="21" t="s">
        <v>69</v>
      </c>
      <c r="E20" s="57">
        <v>1200</v>
      </c>
      <c r="F20" s="21" t="s">
        <v>13</v>
      </c>
      <c r="G20" s="75">
        <v>0.01</v>
      </c>
      <c r="H20" s="21"/>
      <c r="I20" s="34"/>
      <c r="J20" s="21"/>
      <c r="K20" s="34"/>
      <c r="L20" s="21"/>
      <c r="M20" s="35"/>
      <c r="N20" s="72" t="s">
        <v>134</v>
      </c>
      <c r="O20" s="66">
        <v>9238492</v>
      </c>
      <c r="P20" s="67">
        <v>8.9999999999999993E-3</v>
      </c>
      <c r="Q20" s="42" t="s">
        <v>133</v>
      </c>
      <c r="R20" s="63">
        <f t="shared" si="8"/>
        <v>1.4516129032258063E-3</v>
      </c>
      <c r="S20" s="78">
        <f>LOOKUP(X20,[1]Sheet1!$A$4:$A$104,[1]Sheet1!$C$4:$C$104)</f>
        <v>1</v>
      </c>
      <c r="T20" s="63" t="str">
        <f>LOOKUP(X20,[1]Sheet1!$A$4:$A$104,[1]Sheet1!$D$4:$D$104)</f>
        <v>smt</v>
      </c>
      <c r="U20" s="62">
        <f>S20*LOOKUP(T20,[1]Sheet2!$B$4:$B$5,[1]Sheet2!$C$4:$C$5)</f>
        <v>7.0000000000000001E-3</v>
      </c>
      <c r="V20" s="63">
        <f t="shared" si="9"/>
        <v>7.0000000000000001E-3</v>
      </c>
      <c r="W20" s="62">
        <f t="shared" si="10"/>
        <v>8.4516129032258074E-3</v>
      </c>
      <c r="X20" s="68" t="s">
        <v>135</v>
      </c>
      <c r="Y20" s="73"/>
      <c r="Z20" s="4" t="s">
        <v>155</v>
      </c>
      <c r="AA20" s="69"/>
      <c r="AE20" s="70"/>
    </row>
    <row r="21" spans="1:31" x14ac:dyDescent="0.3">
      <c r="A21" s="5" t="str">
        <f>BOM_spec!A21</f>
        <v>R5,9,11,13</v>
      </c>
      <c r="B21" s="1" t="str">
        <f>BOM_spec!B21</f>
        <v>Resistor</v>
      </c>
      <c r="C21" s="6">
        <f>BOM_spec!G21</f>
        <v>4</v>
      </c>
      <c r="D21" s="21" t="s">
        <v>69</v>
      </c>
      <c r="E21" s="57">
        <v>100000</v>
      </c>
      <c r="F21" s="21" t="s">
        <v>13</v>
      </c>
      <c r="G21" s="75">
        <v>0.01</v>
      </c>
      <c r="H21" s="21"/>
      <c r="I21" s="34"/>
      <c r="J21" s="21"/>
      <c r="K21" s="34"/>
      <c r="L21" s="21"/>
      <c r="M21" s="35"/>
      <c r="N21" s="72" t="s">
        <v>134</v>
      </c>
      <c r="O21" s="66">
        <v>2309107</v>
      </c>
      <c r="P21" s="67">
        <v>1.1000000000000001E-3</v>
      </c>
      <c r="Q21" s="42" t="s">
        <v>144</v>
      </c>
      <c r="R21" s="63">
        <f t="shared" si="8"/>
        <v>6.8200000000000005E-3</v>
      </c>
      <c r="S21" s="78">
        <f>LOOKUP(X21,[1]Sheet1!$A$4:$A$104,[1]Sheet1!$C$4:$C$104)</f>
        <v>1</v>
      </c>
      <c r="T21" s="63" t="str">
        <f>LOOKUP(X21,[1]Sheet1!$A$4:$A$104,[1]Sheet1!$D$4:$D$104)</f>
        <v>smt</v>
      </c>
      <c r="U21" s="62">
        <f>S21*LOOKUP(T21,[1]Sheet2!$B$4:$B$5,[1]Sheet2!$C$4:$C$5)</f>
        <v>7.0000000000000001E-3</v>
      </c>
      <c r="V21" s="63">
        <f t="shared" si="9"/>
        <v>2.8000000000000001E-2</v>
      </c>
      <c r="W21" s="62">
        <f t="shared" si="10"/>
        <v>3.4820000000000004E-2</v>
      </c>
      <c r="X21" s="68" t="s">
        <v>135</v>
      </c>
      <c r="Y21" s="65"/>
      <c r="AA21" s="69"/>
      <c r="AE21" s="70"/>
    </row>
    <row r="22" spans="1:31" x14ac:dyDescent="0.3">
      <c r="A22" s="5" t="str">
        <f>BOM_spec!A22</f>
        <v>R12</v>
      </c>
      <c r="B22" s="1" t="str">
        <f>BOM_spec!B22</f>
        <v>Resistor</v>
      </c>
      <c r="C22" s="6">
        <f>BOM_spec!G22</f>
        <v>1</v>
      </c>
      <c r="D22" s="21" t="s">
        <v>69</v>
      </c>
      <c r="E22" s="57">
        <v>10000</v>
      </c>
      <c r="F22" s="21" t="s">
        <v>13</v>
      </c>
      <c r="G22" s="75">
        <v>0.01</v>
      </c>
      <c r="H22" s="21"/>
      <c r="I22" s="34"/>
      <c r="J22" s="21"/>
      <c r="K22" s="34"/>
      <c r="L22" s="21"/>
      <c r="M22" s="35"/>
      <c r="N22" s="72" t="s">
        <v>134</v>
      </c>
      <c r="O22" s="66">
        <v>2447230</v>
      </c>
      <c r="P22" s="67">
        <v>5.9999999999999995E-4</v>
      </c>
      <c r="Q22" s="42" t="s">
        <v>144</v>
      </c>
      <c r="R22" s="63">
        <f t="shared" si="8"/>
        <v>9.2999999999999995E-4</v>
      </c>
      <c r="S22" s="78">
        <f>LOOKUP(X22,[1]Sheet1!$A$4:$A$104,[1]Sheet1!$C$4:$C$104)</f>
        <v>1</v>
      </c>
      <c r="T22" s="63" t="str">
        <f>LOOKUP(X22,[1]Sheet1!$A$4:$A$104,[1]Sheet1!$D$4:$D$104)</f>
        <v>smt</v>
      </c>
      <c r="U22" s="62">
        <f>S22*LOOKUP(T22,[1]Sheet2!$B$4:$B$5,[1]Sheet2!$C$4:$C$5)</f>
        <v>7.0000000000000001E-3</v>
      </c>
      <c r="V22" s="63">
        <f t="shared" si="9"/>
        <v>7.0000000000000001E-3</v>
      </c>
      <c r="W22" s="62">
        <f t="shared" si="10"/>
        <v>7.9299999999999995E-3</v>
      </c>
      <c r="X22" s="68" t="s">
        <v>135</v>
      </c>
      <c r="Y22" s="65"/>
      <c r="AA22" s="69"/>
      <c r="AE22" s="70"/>
    </row>
    <row r="23" spans="1:31" x14ac:dyDescent="0.3">
      <c r="A23" s="5" t="str">
        <f>BOM_spec!A23</f>
        <v>R8</v>
      </c>
      <c r="B23" s="1" t="str">
        <f>BOM_spec!B23</f>
        <v>Resistor</v>
      </c>
      <c r="C23" s="6">
        <f>BOM_spec!G23</f>
        <v>1</v>
      </c>
      <c r="D23" s="21" t="s">
        <v>69</v>
      </c>
      <c r="E23" s="57">
        <v>1000</v>
      </c>
      <c r="F23" s="21" t="s">
        <v>13</v>
      </c>
      <c r="G23" s="75">
        <v>0.01</v>
      </c>
      <c r="H23" s="21"/>
      <c r="I23" s="34"/>
      <c r="J23" s="21"/>
      <c r="K23" s="34"/>
      <c r="L23" s="21"/>
      <c r="M23" s="35"/>
      <c r="N23" s="72" t="s">
        <v>134</v>
      </c>
      <c r="O23" s="66">
        <v>2073348</v>
      </c>
      <c r="P23" s="67">
        <v>4.3E-3</v>
      </c>
      <c r="Q23" s="42" t="s">
        <v>144</v>
      </c>
      <c r="R23" s="63">
        <f t="shared" si="8"/>
        <v>6.6649999999999999E-3</v>
      </c>
      <c r="S23" s="78">
        <f>LOOKUP(X23,[1]Sheet1!$A$4:$A$104,[1]Sheet1!$C$4:$C$104)</f>
        <v>1</v>
      </c>
      <c r="T23" s="63" t="str">
        <f>LOOKUP(X23,[1]Sheet1!$A$4:$A$104,[1]Sheet1!$D$4:$D$104)</f>
        <v>smt</v>
      </c>
      <c r="U23" s="62">
        <f>S23*LOOKUP(T23,[1]Sheet2!$B$4:$B$5,[1]Sheet2!$C$4:$C$5)</f>
        <v>7.0000000000000001E-3</v>
      </c>
      <c r="V23" s="63">
        <f t="shared" si="9"/>
        <v>7.0000000000000001E-3</v>
      </c>
      <c r="W23" s="62">
        <f t="shared" si="10"/>
        <v>1.3665E-2</v>
      </c>
      <c r="X23" s="68" t="s">
        <v>135</v>
      </c>
      <c r="Y23" s="73"/>
      <c r="AA23" s="69"/>
      <c r="AE23" s="70"/>
    </row>
    <row r="24" spans="1:31" x14ac:dyDescent="0.3">
      <c r="A24" s="5" t="str">
        <f>BOM_spec!A24</f>
        <v>R4,6</v>
      </c>
      <c r="B24" s="1" t="str">
        <f>BOM_spec!B24</f>
        <v>Resistor</v>
      </c>
      <c r="C24" s="6">
        <f>BOM_spec!G24</f>
        <v>2</v>
      </c>
      <c r="D24" s="21" t="s">
        <v>69</v>
      </c>
      <c r="E24" s="57">
        <v>4700</v>
      </c>
      <c r="F24" s="21" t="s">
        <v>13</v>
      </c>
      <c r="G24" s="75">
        <v>0.01</v>
      </c>
      <c r="H24" s="21"/>
      <c r="I24" s="34"/>
      <c r="J24" s="21"/>
      <c r="K24" s="34"/>
      <c r="L24" s="21"/>
      <c r="M24" s="35"/>
      <c r="N24" s="72" t="s">
        <v>134</v>
      </c>
      <c r="O24" s="66">
        <v>2073509</v>
      </c>
      <c r="P24" s="67">
        <v>4.4000000000000003E-3</v>
      </c>
      <c r="Q24" s="42" t="s">
        <v>144</v>
      </c>
      <c r="R24" s="63">
        <f t="shared" si="8"/>
        <v>1.3640000000000001E-2</v>
      </c>
      <c r="S24" s="78">
        <f>LOOKUP(X24,[1]Sheet1!$A$4:$A$104,[1]Sheet1!$C$4:$C$104)</f>
        <v>1</v>
      </c>
      <c r="T24" s="63" t="str">
        <f>LOOKUP(X24,[1]Sheet1!$A$4:$A$104,[1]Sheet1!$D$4:$D$104)</f>
        <v>smt</v>
      </c>
      <c r="U24" s="62">
        <f>S24*LOOKUP(T24,[1]Sheet2!$B$4:$B$5,[1]Sheet2!$C$4:$C$5)</f>
        <v>7.0000000000000001E-3</v>
      </c>
      <c r="V24" s="63">
        <f t="shared" si="9"/>
        <v>1.4E-2</v>
      </c>
      <c r="W24" s="62">
        <f t="shared" si="10"/>
        <v>2.7640000000000001E-2</v>
      </c>
      <c r="X24" s="68" t="s">
        <v>135</v>
      </c>
      <c r="Y24" s="73"/>
      <c r="AA24" s="69"/>
      <c r="AE24" s="70"/>
    </row>
    <row r="25" spans="1:31" x14ac:dyDescent="0.3">
      <c r="A25" s="5" t="str">
        <f>BOM_spec!A25</f>
        <v>R7</v>
      </c>
      <c r="B25" s="1" t="str">
        <f>BOM_spec!B25</f>
        <v>Resistor</v>
      </c>
      <c r="C25" s="6">
        <f>BOM_spec!G25</f>
        <v>1</v>
      </c>
      <c r="D25" s="21" t="s">
        <v>69</v>
      </c>
      <c r="E25" s="57">
        <v>330</v>
      </c>
      <c r="F25" s="21" t="s">
        <v>13</v>
      </c>
      <c r="G25" s="75">
        <v>0.01</v>
      </c>
      <c r="H25" s="21"/>
      <c r="I25" s="34"/>
      <c r="J25" s="21"/>
      <c r="K25" s="34"/>
      <c r="L25" s="21"/>
      <c r="M25" s="35"/>
      <c r="N25" s="72" t="s">
        <v>134</v>
      </c>
      <c r="O25" s="66">
        <v>2447339</v>
      </c>
      <c r="P25" s="67">
        <v>5.9999999999999995E-4</v>
      </c>
      <c r="Q25" s="42" t="s">
        <v>144</v>
      </c>
      <c r="R25" s="63">
        <f t="shared" si="8"/>
        <v>9.2999999999999995E-4</v>
      </c>
      <c r="S25" s="78">
        <f>LOOKUP(X25,[1]Sheet1!$A$4:$A$104,[1]Sheet1!$C$4:$C$104)</f>
        <v>1</v>
      </c>
      <c r="T25" s="63" t="str">
        <f>LOOKUP(X25,[1]Sheet1!$A$4:$A$104,[1]Sheet1!$D$4:$D$104)</f>
        <v>smt</v>
      </c>
      <c r="U25" s="62">
        <f>S25*LOOKUP(T25,[1]Sheet2!$B$4:$B$5,[1]Sheet2!$C$4:$C$5)</f>
        <v>7.0000000000000001E-3</v>
      </c>
      <c r="V25" s="63">
        <f t="shared" si="9"/>
        <v>7.0000000000000001E-3</v>
      </c>
      <c r="W25" s="62">
        <f t="shared" si="10"/>
        <v>7.9299999999999995E-3</v>
      </c>
      <c r="X25" s="68" t="s">
        <v>135</v>
      </c>
      <c r="Y25" s="73"/>
      <c r="AA25" s="69"/>
      <c r="AE25" s="70"/>
    </row>
    <row r="26" spans="1:31" x14ac:dyDescent="0.3">
      <c r="A26" s="5" t="str">
        <f>BOM_spec!A26</f>
        <v>R10</v>
      </c>
      <c r="B26" s="1" t="str">
        <f>BOM_spec!B26</f>
        <v>Resistor</v>
      </c>
      <c r="C26" s="6">
        <f>BOM_spec!G26</f>
        <v>1</v>
      </c>
      <c r="D26" s="21" t="s">
        <v>69</v>
      </c>
      <c r="E26" s="57">
        <v>470</v>
      </c>
      <c r="F26" s="21" t="s">
        <v>13</v>
      </c>
      <c r="G26" s="75">
        <v>0.01</v>
      </c>
      <c r="H26" s="21"/>
      <c r="I26" s="34"/>
      <c r="J26" s="21"/>
      <c r="K26" s="34"/>
      <c r="L26" s="21"/>
      <c r="M26" s="35"/>
      <c r="N26" s="72" t="s">
        <v>134</v>
      </c>
      <c r="O26" s="66">
        <v>2447374</v>
      </c>
      <c r="P26" s="67">
        <v>5.9999999999999995E-4</v>
      </c>
      <c r="Q26" s="42" t="s">
        <v>144</v>
      </c>
      <c r="R26" s="63">
        <f t="shared" si="8"/>
        <v>9.2999999999999995E-4</v>
      </c>
      <c r="S26" s="78">
        <f>LOOKUP(X26,[1]Sheet1!$A$4:$A$104,[1]Sheet1!$C$4:$C$104)</f>
        <v>1</v>
      </c>
      <c r="T26" s="63" t="str">
        <f>LOOKUP(X26,[1]Sheet1!$A$4:$A$104,[1]Sheet1!$D$4:$D$104)</f>
        <v>smt</v>
      </c>
      <c r="U26" s="62">
        <f>S26*LOOKUP(T26,[1]Sheet2!$B$4:$B$5,[1]Sheet2!$C$4:$C$5)</f>
        <v>7.0000000000000001E-3</v>
      </c>
      <c r="V26" s="63">
        <f t="shared" si="9"/>
        <v>7.0000000000000001E-3</v>
      </c>
      <c r="W26" s="62">
        <f t="shared" si="10"/>
        <v>7.9299999999999995E-3</v>
      </c>
      <c r="X26" s="68" t="s">
        <v>135</v>
      </c>
      <c r="Y26" s="73"/>
      <c r="AA26" s="69"/>
      <c r="AE26" s="70"/>
    </row>
    <row r="31" spans="1:31" x14ac:dyDescent="0.3">
      <c r="R31" s="74">
        <f>SUM(R3:R26)</f>
        <v>2.8071680645161279</v>
      </c>
      <c r="T31" s="74"/>
      <c r="U31" s="74"/>
      <c r="V31" s="74">
        <f>SUM(V3:V26)</f>
        <v>0.43400000000000016</v>
      </c>
      <c r="W31" s="43">
        <f>SUM(W3:W30)</f>
        <v>3.2411680645161289</v>
      </c>
    </row>
  </sheetData>
  <sortState ref="AC3:AD4">
    <sortCondition ref="A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PCB_spec</vt:lpstr>
      <vt:lpstr>BOM_spec</vt:lpstr>
      <vt:lpstr>BOM_EM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Matos</dc:creator>
  <cp:lastModifiedBy>Edward Matos</cp:lastModifiedBy>
  <cp:lastPrinted>2015-01-08T15:13:14Z</cp:lastPrinted>
  <dcterms:created xsi:type="dcterms:W3CDTF">2014-11-27T23:21:55Z</dcterms:created>
  <dcterms:modified xsi:type="dcterms:W3CDTF">2015-10-23T14:18:16Z</dcterms:modified>
</cp:coreProperties>
</file>