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cides Ramos\Desktop\DISPARO\handling_multipl_mikroc_pic\PIC_2018\Excell\"/>
    </mc:Choice>
  </mc:AlternateContent>
  <bookViews>
    <workbookView xWindow="240" yWindow="210" windowWidth="15600" windowHeight="7935"/>
  </bookViews>
  <sheets>
    <sheet name="Timer0" sheetId="1" r:id="rId1"/>
    <sheet name="Timer0 16 bits" sheetId="7" r:id="rId2"/>
    <sheet name="Timer1" sheetId="4" r:id="rId3"/>
    <sheet name="Timer1 (HZ)" sheetId="6" r:id="rId4"/>
    <sheet name="Timer2" sheetId="5" r:id="rId5"/>
  </sheets>
  <calcPr calcId="162913"/>
</workbook>
</file>

<file path=xl/calcChain.xml><?xml version="1.0" encoding="utf-8"?>
<calcChain xmlns="http://schemas.openxmlformats.org/spreadsheetml/2006/main">
  <c r="J15" i="5" l="1"/>
  <c r="I15" i="5"/>
  <c r="H15" i="5"/>
  <c r="G15" i="5"/>
  <c r="I13" i="5"/>
  <c r="I12" i="5"/>
  <c r="I14" i="5"/>
  <c r="G14" i="5"/>
  <c r="N19" i="7" l="1"/>
  <c r="M19" i="7"/>
  <c r="O19" i="7" s="1"/>
  <c r="L19" i="7"/>
  <c r="G19" i="7"/>
  <c r="K19" i="7" s="1"/>
  <c r="M18" i="7"/>
  <c r="N18" i="7" s="1"/>
  <c r="G18" i="7"/>
  <c r="H18" i="7" s="1"/>
  <c r="O17" i="7"/>
  <c r="N17" i="7"/>
  <c r="M17" i="7"/>
  <c r="H17" i="7"/>
  <c r="G17" i="7"/>
  <c r="I17" i="7" s="1"/>
  <c r="O16" i="7"/>
  <c r="N16" i="7"/>
  <c r="M16" i="7"/>
  <c r="G16" i="7"/>
  <c r="O15" i="7"/>
  <c r="N15" i="7"/>
  <c r="M15" i="7"/>
  <c r="L15" i="7"/>
  <c r="K15" i="7"/>
  <c r="I15" i="7"/>
  <c r="J15" i="7" s="1"/>
  <c r="H15" i="7"/>
  <c r="G15" i="7"/>
  <c r="M14" i="7"/>
  <c r="O14" i="7" s="1"/>
  <c r="L14" i="7"/>
  <c r="K14" i="7"/>
  <c r="I14" i="7"/>
  <c r="J14" i="7" s="1"/>
  <c r="H14" i="7"/>
  <c r="G14" i="7"/>
  <c r="J27" i="7"/>
  <c r="K27" i="7" s="1"/>
  <c r="J22" i="7"/>
  <c r="K22" i="7" s="1"/>
  <c r="B12" i="7"/>
  <c r="C12" i="7" s="1"/>
  <c r="K16" i="7" l="1"/>
  <c r="J17" i="7"/>
  <c r="I18" i="7"/>
  <c r="J18" i="7" s="1"/>
  <c r="H19" i="7"/>
  <c r="N14" i="7"/>
  <c r="L16" i="7"/>
  <c r="K17" i="7"/>
  <c r="I19" i="7"/>
  <c r="J19" i="7" s="1"/>
  <c r="I16" i="7"/>
  <c r="J16" i="7" s="1"/>
  <c r="L17" i="7"/>
  <c r="K18" i="7"/>
  <c r="O18" i="7"/>
  <c r="L18" i="7"/>
  <c r="H16" i="7"/>
  <c r="G27" i="7"/>
  <c r="G13" i="7"/>
  <c r="G12" i="7"/>
  <c r="M13" i="7"/>
  <c r="M12" i="7"/>
  <c r="G22" i="7"/>
  <c r="G18" i="6"/>
  <c r="G15" i="6"/>
  <c r="G14" i="6"/>
  <c r="G13" i="6"/>
  <c r="B12" i="6"/>
  <c r="C12" i="6" s="1"/>
  <c r="J23" i="6"/>
  <c r="K23" i="6" s="1"/>
  <c r="J18" i="6"/>
  <c r="K18" i="6" s="1"/>
  <c r="O12" i="7" l="1"/>
  <c r="N12" i="7"/>
  <c r="I13" i="7"/>
  <c r="J13" i="7" s="1"/>
  <c r="H13" i="7"/>
  <c r="L13" i="7"/>
  <c r="K13" i="7"/>
  <c r="I22" i="7"/>
  <c r="H22" i="7"/>
  <c r="O13" i="7"/>
  <c r="N13" i="7"/>
  <c r="I12" i="7"/>
  <c r="J12" i="7" s="1"/>
  <c r="H12" i="7"/>
  <c r="K12" i="7"/>
  <c r="L12" i="7"/>
  <c r="I27" i="7"/>
  <c r="H27" i="7"/>
  <c r="G12" i="6"/>
  <c r="M13" i="6"/>
  <c r="M12" i="6"/>
  <c r="G23" i="6"/>
  <c r="M15" i="6"/>
  <c r="M14" i="6"/>
  <c r="J23" i="4"/>
  <c r="K23" i="4" s="1"/>
  <c r="I18" i="6" l="1"/>
  <c r="L15" i="6"/>
  <c r="I15" i="6"/>
  <c r="H15" i="6"/>
  <c r="K15" i="6"/>
  <c r="J15" i="6"/>
  <c r="I23" i="6"/>
  <c r="H23" i="6"/>
  <c r="H14" i="6"/>
  <c r="L14" i="6"/>
  <c r="K14" i="6"/>
  <c r="I14" i="6"/>
  <c r="J14" i="6" s="1"/>
  <c r="O14" i="6"/>
  <c r="N14" i="6"/>
  <c r="O15" i="6"/>
  <c r="N15" i="6"/>
  <c r="O12" i="6"/>
  <c r="N12" i="6"/>
  <c r="N13" i="6"/>
  <c r="O13" i="6"/>
  <c r="I12" i="6"/>
  <c r="J12" i="6" s="1"/>
  <c r="K12" i="6"/>
  <c r="H12" i="6"/>
  <c r="L12" i="6"/>
  <c r="I13" i="6"/>
  <c r="J13" i="6" s="1"/>
  <c r="H13" i="6"/>
  <c r="L13" i="6"/>
  <c r="K13" i="6"/>
  <c r="J18" i="4"/>
  <c r="K18" i="4" s="1"/>
  <c r="B12" i="5" l="1"/>
  <c r="C12" i="5" s="1"/>
  <c r="B12" i="4"/>
  <c r="C12" i="4" s="1"/>
  <c r="B12" i="1"/>
  <c r="C12" i="1" s="1"/>
  <c r="G23" i="1" s="1"/>
  <c r="I23" i="1" l="1"/>
  <c r="H23" i="1"/>
  <c r="G18" i="4"/>
  <c r="H18" i="4" s="1"/>
  <c r="G23" i="4"/>
  <c r="G12" i="4"/>
  <c r="H12" i="4" s="1"/>
  <c r="J14" i="5"/>
  <c r="F21" i="5"/>
  <c r="G17" i="1"/>
  <c r="I17" i="1" s="1"/>
  <c r="G27" i="1"/>
  <c r="H14" i="5"/>
  <c r="J12" i="5"/>
  <c r="G12" i="5"/>
  <c r="H12" i="5" s="1"/>
  <c r="J13" i="5"/>
  <c r="G13" i="5"/>
  <c r="H13" i="5" s="1"/>
  <c r="M15" i="4"/>
  <c r="G15" i="4"/>
  <c r="H15" i="4" s="1"/>
  <c r="M13" i="4"/>
  <c r="M12" i="4"/>
  <c r="M14" i="4"/>
  <c r="G14" i="4"/>
  <c r="H14" i="4" s="1"/>
  <c r="G13" i="4"/>
  <c r="H13" i="4" s="1"/>
  <c r="J12" i="1"/>
  <c r="K12" i="1" s="1"/>
  <c r="J16" i="1"/>
  <c r="K16" i="1" s="1"/>
  <c r="J13" i="1"/>
  <c r="K13" i="1" s="1"/>
  <c r="J17" i="1"/>
  <c r="K17" i="1" s="1"/>
  <c r="J14" i="1"/>
  <c r="K14" i="1" s="1"/>
  <c r="J18" i="1"/>
  <c r="K18" i="1" s="1"/>
  <c r="J15" i="1"/>
  <c r="K15" i="1" s="1"/>
  <c r="J19" i="1"/>
  <c r="K19" i="1" s="1"/>
  <c r="G19" i="1"/>
  <c r="G15" i="1"/>
  <c r="G12" i="1"/>
  <c r="G14" i="1"/>
  <c r="G18" i="1"/>
  <c r="G16" i="1"/>
  <c r="G13" i="1"/>
  <c r="H17" i="1" l="1"/>
  <c r="I23" i="4"/>
  <c r="H23" i="4"/>
  <c r="G21" i="5"/>
  <c r="H21" i="5"/>
  <c r="I18" i="4"/>
  <c r="I27" i="1"/>
  <c r="H27" i="1"/>
  <c r="O14" i="4"/>
  <c r="N14" i="4"/>
  <c r="O15" i="4"/>
  <c r="N15" i="4"/>
  <c r="O12" i="4"/>
  <c r="N12" i="4"/>
  <c r="O13" i="4"/>
  <c r="N13" i="4"/>
  <c r="I12" i="4"/>
  <c r="J12" i="4" s="1"/>
  <c r="I14" i="4"/>
  <c r="J14" i="4" s="1"/>
  <c r="I13" i="4"/>
  <c r="J13" i="4" s="1"/>
  <c r="I15" i="4"/>
  <c r="J15" i="4" s="1"/>
  <c r="H16" i="1"/>
  <c r="I16" i="1"/>
  <c r="H14" i="1"/>
  <c r="I14" i="1"/>
  <c r="H15" i="1"/>
  <c r="I15" i="1"/>
  <c r="H13" i="1"/>
  <c r="I13" i="1"/>
  <c r="H18" i="1"/>
  <c r="I18" i="1"/>
  <c r="H12" i="1"/>
  <c r="I12" i="1"/>
  <c r="H19" i="1"/>
  <c r="I19" i="1"/>
  <c r="K12" i="4"/>
  <c r="L12" i="4"/>
  <c r="K13" i="4"/>
  <c r="L13" i="4"/>
  <c r="K14" i="4"/>
  <c r="L14" i="4"/>
  <c r="K15" i="4"/>
  <c r="L15" i="4"/>
</calcChain>
</file>

<file path=xl/sharedStrings.xml><?xml version="1.0" encoding="utf-8"?>
<sst xmlns="http://schemas.openxmlformats.org/spreadsheetml/2006/main" count="162" uniqueCount="44">
  <si>
    <t>Frec Trabajo</t>
  </si>
  <si>
    <t>FREc CRISTAL EN MEGA</t>
  </si>
  <si>
    <t>Ciclo Instru us</t>
  </si>
  <si>
    <t>Tiempo deseado</t>
  </si>
  <si>
    <t xml:space="preserve">                VALOR TIMER</t>
  </si>
  <si>
    <t>Preescalador</t>
  </si>
  <si>
    <t>TIMER</t>
  </si>
  <si>
    <t>CUMPLE</t>
  </si>
  <si>
    <t>Tiempo max ms</t>
  </si>
  <si>
    <t>Valor Aux</t>
  </si>
  <si>
    <t>POSTPREESCALADOR (1-16)</t>
  </si>
  <si>
    <t>PR2</t>
  </si>
  <si>
    <t>#PASOS</t>
  </si>
  <si>
    <t># PASOS</t>
  </si>
  <si>
    <t>PS2..PS0</t>
  </si>
  <si>
    <t>000</t>
  </si>
  <si>
    <t>001</t>
  </si>
  <si>
    <t>010</t>
  </si>
  <si>
    <t>011</t>
  </si>
  <si>
    <t>100</t>
  </si>
  <si>
    <t>101</t>
  </si>
  <si>
    <t>110</t>
  </si>
  <si>
    <t>111</t>
  </si>
  <si>
    <t>T1CKPS1, T1CKPS0</t>
  </si>
  <si>
    <t>00</t>
  </si>
  <si>
    <t>01</t>
  </si>
  <si>
    <t>10</t>
  </si>
  <si>
    <t>11</t>
  </si>
  <si>
    <t>TMR1L</t>
  </si>
  <si>
    <t>TMR1H</t>
  </si>
  <si>
    <t>PRESCALADOR</t>
  </si>
  <si>
    <t>TIME</t>
  </si>
  <si>
    <t>TIME Ms</t>
  </si>
  <si>
    <t>Frecuencia</t>
  </si>
  <si>
    <t>POSTPRESCALADOR</t>
  </si>
  <si>
    <t>TIME ms</t>
  </si>
  <si>
    <t>FRECUENCIA</t>
  </si>
  <si>
    <t>FRECUENCIA MINIMA</t>
  </si>
  <si>
    <t>PASOS</t>
  </si>
  <si>
    <t>TIMER PASOS</t>
  </si>
  <si>
    <t>TEMPORIZADOR PASOS</t>
  </si>
  <si>
    <t>DURACION DEL CONTEO DESBORDE</t>
  </si>
  <si>
    <t>FREc CRISTAL EN HZ</t>
  </si>
  <si>
    <t xml:space="preserve">Ciclo Instru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</si>
</sst>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1" xfId="0" applyBorder="1"/>
    <xf numFmtId="1" fontId="1" fillId="0" borderId="1" xfId="0" applyNumberFormat="1" applyFont="1" applyBorder="1"/>
    <xf numFmtId="0" fontId="3" fillId="0" borderId="0" xfId="0" applyFont="1"/>
    <xf numFmtId="11" fontId="1" fillId="0" borderId="3" xfId="0" applyNumberFormat="1" applyFont="1" applyBorder="1"/>
    <xf numFmtId="1" fontId="4" fillId="0" borderId="1" xfId="0" applyNumberFormat="1" applyFont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0" fillId="0" borderId="0" xfId="0" applyFont="1" applyBorder="1"/>
    <xf numFmtId="1" fontId="4" fillId="0" borderId="0" xfId="0" applyNumberFormat="1" applyFont="1" applyBorder="1"/>
    <xf numFmtId="0" fontId="4" fillId="0" borderId="0" xfId="0" applyFont="1" applyBorder="1"/>
    <xf numFmtId="0" fontId="5" fillId="0" borderId="0" xfId="0" applyFont="1" applyBorder="1"/>
    <xf numFmtId="1" fontId="6" fillId="0" borderId="0" xfId="0" applyNumberFormat="1" applyFont="1" applyBorder="1"/>
    <xf numFmtId="49" fontId="0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11" fontId="2" fillId="0" borderId="1" xfId="0" applyNumberFormat="1" applyFont="1" applyBorder="1"/>
    <xf numFmtId="1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0" fillId="0" borderId="1" xfId="0" applyNumberFormat="1" applyBorder="1"/>
    <xf numFmtId="0" fontId="8" fillId="0" borderId="0" xfId="0" applyFont="1" applyBorder="1"/>
    <xf numFmtId="0" fontId="1" fillId="0" borderId="0" xfId="0" applyFont="1" applyBorder="1"/>
    <xf numFmtId="0" fontId="0" fillId="0" borderId="0" xfId="0" applyBorder="1"/>
    <xf numFmtId="0" fontId="9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128587</xdr:rowOff>
    </xdr:from>
    <xdr:ext cx="3562350" cy="413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25780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/>
                      </a:rPr>
                      <m:t>𝑇𝐼𝑀𝐸𝑅</m:t>
                    </m:r>
                    <m:r>
                      <a:rPr lang="es-CO" sz="1100" b="0" i="1">
                        <a:latin typeface="Cambria Math"/>
                      </a:rPr>
                      <m:t>=256  −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𝐷𝑒𝑠𝑒𝑎𝑑𝑜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𝑇𝑐𝑖𝑐𝑙𝑜</m:t>
                        </m:r>
                        <m:r>
                          <a:rPr lang="es-CO" sz="1100" b="0" i="1">
                            <a:latin typeface="Cambria Math"/>
                          </a:rPr>
                          <m:t> ×</m:t>
                        </m:r>
                        <m:r>
                          <a:rPr lang="es-CO" sz="1100" b="0" i="1">
                            <a:latin typeface="Cambria Math"/>
                            <a:ea typeface="Cambria Math"/>
                          </a:rPr>
                          <m:t>𝑃𝑟𝑒𝑒𝑐𝑐𝑎𝑙𝑎𝑑𝑜𝑟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525780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 b="0" i="0">
                  <a:latin typeface="Cambria Math"/>
                </a:rPr>
                <a:t>𝑇𝐼𝑀𝐸𝑅=256  −  (𝑇𝑖𝑒𝑚𝑝𝑜 𝐷𝑒𝑠𝑒𝑎𝑑𝑜)/(𝑇𝑐𝑖𝑐𝑙𝑜 </a:t>
              </a:r>
              <a:r>
                <a:rPr lang="es-CO" sz="1100" b="0" i="0">
                  <a:latin typeface="Cambria Math"/>
                  <a:ea typeface="Cambria Math"/>
                </a:rPr>
                <a:t>×𝑃𝑟𝑒𝑒𝑐𝑐𝑎𝑙𝑎𝑑𝑜𝑟)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495299</xdr:colOff>
      <xdr:row>3</xdr:row>
      <xdr:rowOff>80962</xdr:rowOff>
    </xdr:from>
    <xdr:ext cx="41052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5299" y="652462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256−</m:t>
                      </m:r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495299" y="652462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:r>
                <a:rPr lang="es-CO" sz="1100" i="0" baseline="0">
                  <a:latin typeface="Cambria Math"/>
                </a:rPr>
                <a:t>(</a:t>
              </a:r>
              <a:r>
                <a:rPr lang="es-CO" sz="1100" b="0" i="0" baseline="0">
                  <a:latin typeface="Cambria Math"/>
                </a:rPr>
                <a:t>256−𝑇𝐼𝑀𝐸𝑅)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628650</xdr:colOff>
      <xdr:row>7</xdr:row>
      <xdr:rowOff>104775</xdr:rowOff>
    </xdr:from>
    <xdr:ext cx="34004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28650" y="14382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28650" y="14382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:r>
                <a:rPr lang="es-CO" sz="1100" i="0" baseline="0">
                  <a:latin typeface="Cambria Math" panose="02040503050406030204" pitchFamily="18" charset="0"/>
                </a:rPr>
                <a:t>(</a:t>
              </a:r>
              <a:r>
                <a:rPr lang="es-CO" sz="1100" b="0" i="0" baseline="0">
                  <a:latin typeface="Cambria Math"/>
                </a:rPr>
                <a:t>𝑇𝐼𝑀𝐸𝑅</a:t>
              </a:r>
              <a:r>
                <a:rPr lang="es-CO" sz="1100" b="0" i="0" baseline="0">
                  <a:latin typeface="Cambria Math" panose="02040503050406030204" pitchFamily="18" charset="0"/>
                </a:rPr>
                <a:t>)</a:t>
              </a:r>
              <a:r>
                <a:rPr lang="es-CO" sz="1100" b="0" i="0" baseline="0">
                  <a:latin typeface="Cambria Math"/>
                </a:rPr>
                <a:t>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128587</xdr:rowOff>
    </xdr:from>
    <xdr:ext cx="3562350" cy="413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80085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/>
                      </a:rPr>
                      <m:t>𝑇𝐼𝑀𝐸𝑅</m:t>
                    </m:r>
                    <m:r>
                      <a:rPr lang="es-CO" sz="1100" b="0" i="1">
                        <a:latin typeface="Cambria Math"/>
                      </a:rPr>
                      <m:t>=65536  −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𝐷𝑒𝑠𝑒𝑎𝑑𝑜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𝑇𝑐𝑖𝑐𝑙𝑜</m:t>
                        </m:r>
                        <m:r>
                          <a:rPr lang="es-CO" sz="1100" b="0" i="1">
                            <a:latin typeface="Cambria Math"/>
                          </a:rPr>
                          <m:t> ×</m:t>
                        </m:r>
                        <m:r>
                          <a:rPr lang="es-CO" sz="1100" b="0" i="1">
                            <a:latin typeface="Cambria Math"/>
                            <a:ea typeface="Cambria Math"/>
                          </a:rPr>
                          <m:t>𝑃𝑟𝑒𝑒𝑐𝑐𝑎𝑙𝑎𝑑𝑜𝑟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80085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O" sz="1100" b="0" i="0">
                  <a:latin typeface="Cambria Math"/>
                </a:rPr>
                <a:t>𝑇𝐼𝑀𝐸𝑅=65536  −  </a:t>
              </a:r>
              <a:r>
                <a:rPr lang="es-CO" sz="1100" b="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/>
                </a:rPr>
                <a:t>𝑇𝑖𝑒𝑚𝑝𝑜 𝐷𝑒𝑠𝑒𝑎𝑑𝑜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CO" sz="1100" b="0" i="0">
                  <a:latin typeface="Cambria Math"/>
                </a:rPr>
                <a:t>𝑇𝑐𝑖𝑐𝑙𝑜 ×</a:t>
              </a:r>
              <a:r>
                <a:rPr lang="es-CO" sz="1100" b="0" i="0">
                  <a:latin typeface="Cambria Math"/>
                  <a:ea typeface="Cambria Math"/>
                </a:rPr>
                <a:t>𝑃𝑟𝑒𝑒𝑐𝑐𝑎𝑙𝑎𝑑𝑜𝑟</a:t>
              </a:r>
              <a:r>
                <a:rPr lang="es-CO" sz="1100" b="0" i="0">
                  <a:latin typeface="Cambria Math" panose="02040503050406030204" pitchFamily="18" charset="0"/>
                  <a:ea typeface="Cambria Math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342899</xdr:colOff>
      <xdr:row>3</xdr:row>
      <xdr:rowOff>71437</xdr:rowOff>
    </xdr:from>
    <xdr:ext cx="41052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42899" y="642937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65536−</m:t>
                      </m:r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42899" y="642937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:r>
                <a:rPr lang="es-CO" sz="1100" i="0" baseline="0">
                  <a:latin typeface="Cambria Math" panose="02040503050406030204" pitchFamily="18" charset="0"/>
                </a:rPr>
                <a:t>(</a:t>
              </a:r>
              <a:r>
                <a:rPr lang="es-CO" sz="1100" b="0" i="0" baseline="0">
                  <a:latin typeface="Cambria Math"/>
                </a:rPr>
                <a:t>65536−𝑇𝐼𝑀𝐸𝑅</a:t>
              </a:r>
              <a:r>
                <a:rPr lang="es-CO" sz="1100" b="0" i="0" baseline="0">
                  <a:latin typeface="Cambria Math" panose="02040503050406030204" pitchFamily="18" charset="0"/>
                </a:rPr>
                <a:t>)</a:t>
              </a:r>
              <a:r>
                <a:rPr lang="es-CO" sz="1100" b="0" i="0" baseline="0">
                  <a:latin typeface="Cambria Math"/>
                </a:rPr>
                <a:t>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419100</xdr:colOff>
      <xdr:row>7</xdr:row>
      <xdr:rowOff>28575</xdr:rowOff>
    </xdr:from>
    <xdr:ext cx="34004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19100" y="13620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19100" y="13620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:r>
                <a:rPr lang="es-CO" sz="1100" i="0" baseline="0">
                  <a:latin typeface="Cambria Math" panose="02040503050406030204" pitchFamily="18" charset="0"/>
                </a:rPr>
                <a:t>(</a:t>
              </a:r>
              <a:r>
                <a:rPr lang="es-CO" sz="1100" b="0" i="0" baseline="0">
                  <a:latin typeface="Cambria Math"/>
                </a:rPr>
                <a:t>𝑇𝐼𝑀𝐸𝑅</a:t>
              </a:r>
              <a:r>
                <a:rPr lang="es-CO" sz="1100" b="0" i="0" baseline="0">
                  <a:latin typeface="Cambria Math" panose="02040503050406030204" pitchFamily="18" charset="0"/>
                </a:rPr>
                <a:t>)</a:t>
              </a:r>
              <a:r>
                <a:rPr lang="es-CO" sz="1100" b="0" i="0" baseline="0">
                  <a:latin typeface="Cambria Math"/>
                </a:rPr>
                <a:t>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128587</xdr:rowOff>
    </xdr:from>
    <xdr:ext cx="3562350" cy="413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46735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/>
                      </a:rPr>
                      <m:t>𝑇𝐼𝑀𝐸𝑅</m:t>
                    </m:r>
                    <m:r>
                      <a:rPr lang="es-CO" sz="1100" b="0" i="1">
                        <a:latin typeface="Cambria Math"/>
                      </a:rPr>
                      <m:t>=65536  −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𝐷𝑒𝑠𝑒𝑎𝑑𝑜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𝑇𝑐𝑖𝑐𝑙𝑜</m:t>
                        </m:r>
                        <m:r>
                          <a:rPr lang="es-CO" sz="1100" b="0" i="1">
                            <a:latin typeface="Cambria Math"/>
                          </a:rPr>
                          <m:t> ×</m:t>
                        </m:r>
                        <m:r>
                          <a:rPr lang="es-CO" sz="1100" b="0" i="1">
                            <a:latin typeface="Cambria Math"/>
                            <a:ea typeface="Cambria Math"/>
                          </a:rPr>
                          <m:t>𝑃𝑟𝑒𝑒𝑐𝑐𝑎𝑙𝑎𝑑𝑜𝑟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546735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 b="0" i="0">
                  <a:latin typeface="Cambria Math"/>
                </a:rPr>
                <a:t>𝑇𝐼𝑀𝐸𝑅=65536  −  (𝑇𝑖𝑒𝑚𝑝𝑜 𝐷𝑒𝑠𝑒𝑎𝑑𝑜)/(𝑇𝑐𝑖𝑐𝑙𝑜 </a:t>
              </a:r>
              <a:r>
                <a:rPr lang="es-CO" sz="1100" b="0" i="0">
                  <a:latin typeface="Cambria Math"/>
                  <a:ea typeface="Cambria Math"/>
                </a:rPr>
                <a:t>×𝑃𝑟𝑒𝑒𝑐𝑐𝑎𝑙𝑎𝑑𝑜𝑟)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342899</xdr:colOff>
      <xdr:row>3</xdr:row>
      <xdr:rowOff>71437</xdr:rowOff>
    </xdr:from>
    <xdr:ext cx="41052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42899" y="642937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65536−</m:t>
                      </m:r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342899" y="642937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:r>
                <a:rPr lang="es-CO" sz="1100" i="0" baseline="0">
                  <a:latin typeface="Cambria Math"/>
                </a:rPr>
                <a:t>(</a:t>
              </a:r>
              <a:r>
                <a:rPr lang="es-CO" sz="1100" b="0" i="0" baseline="0">
                  <a:latin typeface="Cambria Math"/>
                </a:rPr>
                <a:t>65536−𝑇𝐼𝑀𝐸𝑅)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419100</xdr:colOff>
      <xdr:row>7</xdr:row>
      <xdr:rowOff>28575</xdr:rowOff>
    </xdr:from>
    <xdr:ext cx="34004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19100" y="13620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2 CuadroTexto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3000000}"/>
                </a:ext>
              </a:extLst>
            </xdr:cNvPr>
            <xdr:cNvSpPr txBox="1"/>
          </xdr:nvSpPr>
          <xdr:spPr>
            <a:xfrm>
              <a:off x="419100" y="13620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:r>
                <a:rPr lang="es-CO" sz="1100" i="0" baseline="0">
                  <a:latin typeface="Cambria Math" panose="02040503050406030204" pitchFamily="18" charset="0"/>
                </a:rPr>
                <a:t>(</a:t>
              </a:r>
              <a:r>
                <a:rPr lang="es-CO" sz="1100" b="0" i="0" baseline="0">
                  <a:latin typeface="Cambria Math"/>
                </a:rPr>
                <a:t>𝑇𝐼𝑀𝐸𝑅</a:t>
              </a:r>
              <a:r>
                <a:rPr lang="es-CO" sz="1100" b="0" i="0" baseline="0">
                  <a:latin typeface="Cambria Math" panose="02040503050406030204" pitchFamily="18" charset="0"/>
                </a:rPr>
                <a:t>)</a:t>
              </a:r>
              <a:r>
                <a:rPr lang="es-CO" sz="1100" b="0" i="0" baseline="0">
                  <a:latin typeface="Cambria Math"/>
                </a:rPr>
                <a:t>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128587</xdr:rowOff>
    </xdr:from>
    <xdr:ext cx="3562350" cy="413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80085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/>
                      </a:rPr>
                      <m:t>𝑇𝐼𝑀𝐸𝑅</m:t>
                    </m:r>
                    <m:r>
                      <a:rPr lang="es-CO" sz="1100" b="0" i="1">
                        <a:latin typeface="Cambria Math"/>
                      </a:rPr>
                      <m:t>=65536  −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𝐷𝑒𝑠𝑒𝑎𝑑𝑜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𝑇𝑐𝑖𝑐𝑙𝑜</m:t>
                        </m:r>
                        <m:r>
                          <a:rPr lang="es-CO" sz="1100" b="0" i="1">
                            <a:latin typeface="Cambria Math"/>
                          </a:rPr>
                          <m:t> ×</m:t>
                        </m:r>
                        <m:r>
                          <a:rPr lang="es-CO" sz="1100" b="0" i="1">
                            <a:latin typeface="Cambria Math"/>
                            <a:ea typeface="Cambria Math"/>
                          </a:rPr>
                          <m:t>𝑃𝑟𝑒𝑒𝑐𝑐𝑎𝑙𝑎𝑑𝑜𝑟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800850" y="509587"/>
              <a:ext cx="3562350" cy="41370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O" sz="1100" b="0" i="0">
                  <a:latin typeface="Cambria Math"/>
                </a:rPr>
                <a:t>𝑇𝐼𝑀𝐸𝑅=65536  −  </a:t>
              </a:r>
              <a:r>
                <a:rPr lang="es-CO" sz="1100" b="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/>
                </a:rPr>
                <a:t>𝑇𝑖𝑒𝑚𝑝𝑜 𝐷𝑒𝑠𝑒𝑎𝑑𝑜</a:t>
              </a:r>
              <a:r>
                <a:rPr lang="es-CO" sz="1100" b="0" i="0">
                  <a:latin typeface="Cambria Math" panose="02040503050406030204" pitchFamily="18" charset="0"/>
                </a:rPr>
                <a:t>)/(</a:t>
              </a:r>
              <a:r>
                <a:rPr lang="es-CO" sz="1100" b="0" i="0">
                  <a:latin typeface="Cambria Math"/>
                </a:rPr>
                <a:t>𝑇𝑐𝑖𝑐𝑙𝑜 ×</a:t>
              </a:r>
              <a:r>
                <a:rPr lang="es-CO" sz="1100" b="0" i="0">
                  <a:latin typeface="Cambria Math"/>
                  <a:ea typeface="Cambria Math"/>
                </a:rPr>
                <a:t>𝑃𝑟𝑒𝑒𝑐𝑐𝑎𝑙𝑎𝑑𝑜𝑟</a:t>
              </a:r>
              <a:r>
                <a:rPr lang="es-CO" sz="1100" b="0" i="0">
                  <a:latin typeface="Cambria Math" panose="02040503050406030204" pitchFamily="18" charset="0"/>
                  <a:ea typeface="Cambria Math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342899</xdr:colOff>
      <xdr:row>3</xdr:row>
      <xdr:rowOff>71437</xdr:rowOff>
    </xdr:from>
    <xdr:ext cx="41052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42899" y="642937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65536−</m:t>
                      </m:r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42899" y="642937"/>
              <a:ext cx="410527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:r>
                <a:rPr lang="es-CO" sz="1100" i="0" baseline="0">
                  <a:latin typeface="Cambria Math" panose="02040503050406030204" pitchFamily="18" charset="0"/>
                </a:rPr>
                <a:t>(</a:t>
              </a:r>
              <a:r>
                <a:rPr lang="es-CO" sz="1100" b="0" i="0" baseline="0">
                  <a:latin typeface="Cambria Math"/>
                </a:rPr>
                <a:t>65536−𝑇𝐼𝑀𝐸𝑅</a:t>
              </a:r>
              <a:r>
                <a:rPr lang="es-CO" sz="1100" b="0" i="0" baseline="0">
                  <a:latin typeface="Cambria Math" panose="02040503050406030204" pitchFamily="18" charset="0"/>
                </a:rPr>
                <a:t>)</a:t>
              </a:r>
              <a:r>
                <a:rPr lang="es-CO" sz="1100" b="0" i="0" baseline="0">
                  <a:latin typeface="Cambria Math"/>
                </a:rPr>
                <a:t>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419100</xdr:colOff>
      <xdr:row>7</xdr:row>
      <xdr:rowOff>28575</xdr:rowOff>
    </xdr:from>
    <xdr:ext cx="34004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19100" y="13620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𝑇𝐼𝑀𝐸𝑅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19100" y="1362075"/>
              <a:ext cx="34004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 = </a:t>
              </a:r>
              <a:r>
                <a:rPr lang="es-CO" sz="1100" i="0" baseline="0">
                  <a:latin typeface="Cambria Math" panose="02040503050406030204" pitchFamily="18" charset="0"/>
                </a:rPr>
                <a:t>(</a:t>
              </a:r>
              <a:r>
                <a:rPr lang="es-CO" sz="1100" b="0" i="0" baseline="0">
                  <a:latin typeface="Cambria Math"/>
                </a:rPr>
                <a:t>𝑇𝐼𝑀𝐸𝑅</a:t>
              </a:r>
              <a:r>
                <a:rPr lang="es-CO" sz="1100" b="0" i="0" baseline="0">
                  <a:latin typeface="Cambria Math" panose="02040503050406030204" pitchFamily="18" charset="0"/>
                </a:rPr>
                <a:t>)</a:t>
              </a:r>
              <a:r>
                <a:rPr lang="es-CO" sz="1100" b="0" i="0" baseline="0">
                  <a:latin typeface="Cambria Math"/>
                </a:rPr>
                <a:t>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9524</xdr:colOff>
      <xdr:row>2</xdr:row>
      <xdr:rowOff>128587</xdr:rowOff>
    </xdr:from>
    <xdr:ext cx="3962401" cy="357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467349" y="509587"/>
              <a:ext cx="3962401" cy="357149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 b="0" i="0">
                  <a:latin typeface="+mn-lt"/>
                </a:rPr>
                <a:t>	PR2</a:t>
              </a:r>
              <a14:m>
                <m:oMath xmlns:m="http://schemas.openxmlformats.org/officeDocument/2006/math">
                  <m:r>
                    <a:rPr lang="es-CO" sz="1100" b="0" i="1">
                      <a:latin typeface="Cambria Math"/>
                    </a:rPr>
                    <m:t>= </m:t>
                  </m:r>
                  <m:f>
                    <m:f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𝑇𝑖𝑒𝑚𝑝𝑜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𝐷𝑒𝑠𝑒𝑎𝑑𝑜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𝑇𝑐𝑖𝑐𝑙𝑜</m:t>
                      </m:r>
                      <m:r>
                        <a:rPr lang="es-CO" sz="1100" b="0" i="1">
                          <a:latin typeface="Cambria Math"/>
                        </a:rPr>
                        <m:t> ×</m:t>
                      </m:r>
                      <m:r>
                        <a:rPr lang="es-CO" sz="1100" b="0" i="1">
                          <a:latin typeface="Cambria Math"/>
                          <a:ea typeface="Cambria Math"/>
                        </a:rPr>
                        <m:t>𝑃𝑟𝑒𝑒𝑐𝑐𝑎𝑙𝑎𝑑𝑜𝑟</m:t>
                      </m:r>
                      <m:r>
                        <a:rPr lang="es-CO" sz="1100" b="0" i="1">
                          <a:latin typeface="Cambria Math"/>
                          <a:ea typeface="Cambria Math"/>
                        </a:rPr>
                        <m:t> ×</m:t>
                      </m:r>
                      <m:r>
                        <a:rPr lang="es-CO" sz="1100" b="0" i="1">
                          <a:latin typeface="Cambria Math"/>
                          <a:ea typeface="Cambria Math"/>
                        </a:rPr>
                        <m:t>𝑃𝑜𝑠𝑡𝑝𝑒𝑠𝑐𝑎𝑙𝑎𝑑𝑜𝑟</m:t>
                      </m:r>
                    </m:den>
                  </m:f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5467349" y="509587"/>
              <a:ext cx="3962401" cy="357149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 b="0" i="0">
                  <a:latin typeface="+mn-lt"/>
                </a:rPr>
                <a:t>	PR2</a:t>
              </a:r>
              <a:r>
                <a:rPr lang="es-CO" sz="1100" b="0" i="0">
                  <a:latin typeface="Cambria Math"/>
                </a:rPr>
                <a:t>=  (𝑇𝑖𝑒𝑚𝑝𝑜 𝐷𝑒𝑠𝑒𝑎𝑑𝑜)/(𝑇𝑐𝑖𝑐𝑙𝑜 </a:t>
              </a:r>
              <a:r>
                <a:rPr lang="es-CO" sz="1100" b="0" i="0">
                  <a:latin typeface="Cambria Math"/>
                  <a:ea typeface="Cambria Math"/>
                </a:rPr>
                <a:t>×𝑃𝑟𝑒𝑒𝑐𝑐𝑎𝑙𝑎𝑑𝑜𝑟 ×𝑃𝑜𝑠𝑡𝑝𝑒𝑠𝑐𝑎𝑙𝑎𝑑𝑜𝑟)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342898</xdr:colOff>
      <xdr:row>3</xdr:row>
      <xdr:rowOff>71437</xdr:rowOff>
    </xdr:from>
    <xdr:ext cx="45910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42898" y="642937"/>
              <a:ext cx="459105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14:m>
                <m:oMath xmlns:m="http://schemas.openxmlformats.org/officeDocument/2006/math">
                  <m:d>
                    <m:dPr>
                      <m:ctrlPr>
                        <a:rPr lang="es-CO" sz="110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 baseline="0">
                          <a:latin typeface="Cambria Math"/>
                        </a:rPr>
                        <m:t>𝑃𝑅</m:t>
                      </m:r>
                      <m:r>
                        <a:rPr lang="es-CO" sz="1100" b="0" i="1" baseline="0">
                          <a:latin typeface="Cambria Math"/>
                        </a:rPr>
                        <m:t>2</m:t>
                      </m:r>
                    </m:e>
                  </m:d>
                  <m:r>
                    <a:rPr lang="es-CO" sz="1100" b="0" i="1" baseline="0">
                      <a:latin typeface="Cambria Math"/>
                    </a:rPr>
                    <m:t>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𝑃𝑟𝑒𝑒𝑠𝑐𝑎𝑙𝑎𝑑𝑜𝑟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×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𝑃𝑜𝑠𝑡𝑝𝑟𝑒𝑠𝑐𝑎𝑙𝑎𝑑𝑜𝑟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  × </m:t>
                  </m:r>
                  <m:r>
                    <a:rPr lang="es-CO" sz="1100" b="0" i="1" baseline="0">
                      <a:latin typeface="Cambria Math"/>
                      <a:ea typeface="Cambria Math"/>
                    </a:rPr>
                    <m:t>𝑇𝑐𝑖𝑐𝑙𝑜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342898" y="642937"/>
              <a:ext cx="459105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CONTEO = </a:t>
              </a:r>
              <a:r>
                <a:rPr lang="es-CO" sz="1100" i="0" baseline="0">
                  <a:latin typeface="Cambria Math"/>
                </a:rPr>
                <a:t>(</a:t>
              </a:r>
              <a:r>
                <a:rPr lang="es-CO" sz="1100" b="0" i="0" baseline="0">
                  <a:latin typeface="Cambria Math"/>
                </a:rPr>
                <a:t>𝑃𝑅2)  </a:t>
              </a:r>
              <a:r>
                <a:rPr lang="es-CO" sz="1100" b="0" i="0" baseline="0">
                  <a:latin typeface="Cambria Math"/>
                  <a:ea typeface="Cambria Math"/>
                </a:rPr>
                <a:t>×𝑃𝑟𝑒𝑒𝑠𝑐𝑎𝑙𝑎𝑑𝑜𝑟 ×𝑃𝑜𝑠𝑡𝑝𝑟𝑒𝑠𝑐𝑎𝑙𝑎𝑑𝑜𝑟  × 𝑇𝑐𝑖𝑐𝑙𝑜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topLeftCell="A7" workbookViewId="0">
      <selection activeCell="E19" sqref="E19"/>
    </sheetView>
  </sheetViews>
  <sheetFormatPr baseColWidth="10" defaultRowHeight="15" x14ac:dyDescent="0.25"/>
  <cols>
    <col min="1" max="1" width="23.5703125" customWidth="1"/>
    <col min="3" max="3" width="14" customWidth="1"/>
    <col min="4" max="4" width="18.28515625" customWidth="1"/>
    <col min="5" max="6" width="14.5703125" customWidth="1"/>
    <col min="10" max="10" width="18.140625" customWidth="1"/>
  </cols>
  <sheetData>
    <row r="2" spans="1:15" x14ac:dyDescent="0.25">
      <c r="B2" s="5" t="s">
        <v>41</v>
      </c>
      <c r="H2" s="5" t="s">
        <v>4</v>
      </c>
      <c r="I2" s="5"/>
    </row>
    <row r="7" spans="1:15" x14ac:dyDescent="0.25">
      <c r="B7" s="5" t="s">
        <v>40</v>
      </c>
      <c r="C7" s="5"/>
    </row>
    <row r="11" spans="1:15" x14ac:dyDescent="0.25">
      <c r="A11" s="11" t="s">
        <v>1</v>
      </c>
      <c r="B11" s="11" t="s">
        <v>0</v>
      </c>
      <c r="C11" s="11" t="s">
        <v>2</v>
      </c>
      <c r="D11" s="12" t="s">
        <v>3</v>
      </c>
      <c r="E11" s="13" t="s">
        <v>5</v>
      </c>
      <c r="F11" s="13" t="s">
        <v>14</v>
      </c>
      <c r="G11" s="14" t="s">
        <v>6</v>
      </c>
      <c r="H11" s="14" t="s">
        <v>7</v>
      </c>
      <c r="I11" s="14" t="s">
        <v>13</v>
      </c>
      <c r="J11" s="15" t="s">
        <v>8</v>
      </c>
      <c r="K11" s="17" t="s">
        <v>9</v>
      </c>
    </row>
    <row r="12" spans="1:15" x14ac:dyDescent="0.25">
      <c r="A12" s="24">
        <v>20</v>
      </c>
      <c r="B12" s="3">
        <f>A12/4</f>
        <v>5</v>
      </c>
      <c r="C12" s="3">
        <f>1/(B12)</f>
        <v>0.2</v>
      </c>
      <c r="D12" s="6">
        <v>8.3300000000000006E-3</v>
      </c>
      <c r="E12" s="9">
        <v>2</v>
      </c>
      <c r="F12" s="23" t="s">
        <v>15</v>
      </c>
      <c r="G12" s="7">
        <f>256-($D$12/(E12*$C$12*0.000001))</f>
        <v>-20569.000000000004</v>
      </c>
      <c r="H12" s="8" t="str">
        <f>IF(G12&lt;256,IF(G12&gt;0,"CUMPLE","NO CUMPLE"),"NO CUMPLE")</f>
        <v>NO CUMPLE</v>
      </c>
      <c r="I12" s="7">
        <f>256-G12</f>
        <v>20825.000000000004</v>
      </c>
      <c r="J12" s="10">
        <f>256*$C$12*0.000001*E12*1000</f>
        <v>0.10239999999999999</v>
      </c>
      <c r="K12" s="16">
        <f>$D$12/(J12/1000)</f>
        <v>81.347656250000014</v>
      </c>
    </row>
    <row r="13" spans="1:15" x14ac:dyDescent="0.25">
      <c r="E13" s="9">
        <v>4</v>
      </c>
      <c r="F13" s="23" t="s">
        <v>16</v>
      </c>
      <c r="G13" s="7">
        <f t="shared" ref="G13:G19" si="0">256-($D$12/(E13*$C$12*0.000001))</f>
        <v>-10156.500000000002</v>
      </c>
      <c r="H13" s="8" t="str">
        <f t="shared" ref="H13:H19" si="1">IF(G13&lt;256,IF(G13&gt;0,"CUMPLE","NO CUMPLE"),"NO CUMPLE")</f>
        <v>NO CUMPLE</v>
      </c>
      <c r="I13" s="7">
        <f t="shared" ref="I13:I19" si="2">256-G13</f>
        <v>10412.500000000002</v>
      </c>
      <c r="J13" s="10">
        <f t="shared" ref="J13:J19" si="3">256*$C$12*0.000001*E13*1000</f>
        <v>0.20479999999999998</v>
      </c>
      <c r="K13" s="16">
        <f t="shared" ref="K13:K19" si="4">$D$12/(J13/1000)</f>
        <v>40.673828125000007</v>
      </c>
    </row>
    <row r="14" spans="1:15" x14ac:dyDescent="0.25">
      <c r="E14" s="9">
        <v>8</v>
      </c>
      <c r="F14" s="23" t="s">
        <v>17</v>
      </c>
      <c r="G14" s="7">
        <f t="shared" si="0"/>
        <v>-4950.2500000000009</v>
      </c>
      <c r="H14" s="8" t="str">
        <f t="shared" si="1"/>
        <v>NO CUMPLE</v>
      </c>
      <c r="I14" s="7">
        <f t="shared" si="2"/>
        <v>5206.2500000000009</v>
      </c>
      <c r="J14" s="10">
        <f t="shared" si="3"/>
        <v>0.40959999999999996</v>
      </c>
      <c r="K14" s="16">
        <f t="shared" si="4"/>
        <v>20.336914062500004</v>
      </c>
      <c r="M14" s="1"/>
      <c r="N14" s="1"/>
      <c r="O14" s="2"/>
    </row>
    <row r="15" spans="1:15" x14ac:dyDescent="0.25">
      <c r="E15" s="9">
        <v>16</v>
      </c>
      <c r="F15" s="23" t="s">
        <v>18</v>
      </c>
      <c r="G15" s="7">
        <f t="shared" si="0"/>
        <v>-2347.1250000000005</v>
      </c>
      <c r="H15" s="8" t="str">
        <f t="shared" si="1"/>
        <v>NO CUMPLE</v>
      </c>
      <c r="I15" s="7">
        <f t="shared" si="2"/>
        <v>2603.1250000000005</v>
      </c>
      <c r="J15" s="10">
        <f t="shared" si="3"/>
        <v>0.81919999999999993</v>
      </c>
      <c r="K15" s="16">
        <f t="shared" si="4"/>
        <v>10.168457031250002</v>
      </c>
    </row>
    <row r="16" spans="1:15" x14ac:dyDescent="0.25">
      <c r="E16" s="9">
        <v>32</v>
      </c>
      <c r="F16" s="23" t="s">
        <v>19</v>
      </c>
      <c r="G16" s="7">
        <f t="shared" si="0"/>
        <v>-1045.5625000000002</v>
      </c>
      <c r="H16" s="8" t="str">
        <f t="shared" si="1"/>
        <v>NO CUMPLE</v>
      </c>
      <c r="I16" s="7">
        <f t="shared" si="2"/>
        <v>1301.5625000000002</v>
      </c>
      <c r="J16" s="10">
        <f t="shared" si="3"/>
        <v>1.6383999999999999</v>
      </c>
      <c r="K16" s="16">
        <f t="shared" si="4"/>
        <v>5.0842285156250009</v>
      </c>
    </row>
    <row r="17" spans="3:11" x14ac:dyDescent="0.25">
      <c r="E17" s="9">
        <v>64</v>
      </c>
      <c r="F17" s="23" t="s">
        <v>20</v>
      </c>
      <c r="G17" s="7">
        <f t="shared" si="0"/>
        <v>-394.78125000000011</v>
      </c>
      <c r="H17" s="8" t="str">
        <f t="shared" si="1"/>
        <v>NO CUMPLE</v>
      </c>
      <c r="I17" s="7">
        <f t="shared" si="2"/>
        <v>650.78125000000011</v>
      </c>
      <c r="J17" s="10">
        <f t="shared" si="3"/>
        <v>3.2767999999999997</v>
      </c>
      <c r="K17" s="16">
        <f t="shared" si="4"/>
        <v>2.5421142578125004</v>
      </c>
    </row>
    <row r="18" spans="3:11" x14ac:dyDescent="0.25">
      <c r="E18" s="9">
        <v>128</v>
      </c>
      <c r="F18" s="23" t="s">
        <v>21</v>
      </c>
      <c r="G18" s="7">
        <f t="shared" si="0"/>
        <v>-69.390625000000057</v>
      </c>
      <c r="H18" s="8" t="str">
        <f t="shared" si="1"/>
        <v>NO CUMPLE</v>
      </c>
      <c r="I18" s="7">
        <f t="shared" si="2"/>
        <v>325.39062500000006</v>
      </c>
      <c r="J18" s="10">
        <f t="shared" si="3"/>
        <v>6.5535999999999994</v>
      </c>
      <c r="K18" s="16">
        <f t="shared" si="4"/>
        <v>1.2710571289062502</v>
      </c>
    </row>
    <row r="19" spans="3:11" x14ac:dyDescent="0.25">
      <c r="E19" s="9">
        <v>256</v>
      </c>
      <c r="F19" s="23" t="s">
        <v>22</v>
      </c>
      <c r="G19" s="7">
        <f t="shared" si="0"/>
        <v>93.304687499999972</v>
      </c>
      <c r="H19" s="8" t="str">
        <f t="shared" si="1"/>
        <v>CUMPLE</v>
      </c>
      <c r="I19" s="7">
        <f t="shared" si="2"/>
        <v>162.69531250000003</v>
      </c>
      <c r="J19" s="10">
        <f t="shared" si="3"/>
        <v>13.107199999999999</v>
      </c>
      <c r="K19" s="16">
        <f t="shared" si="4"/>
        <v>0.63552856445312511</v>
      </c>
    </row>
    <row r="22" spans="3:11" x14ac:dyDescent="0.25">
      <c r="E22" s="25" t="s">
        <v>39</v>
      </c>
      <c r="F22" s="25" t="s">
        <v>30</v>
      </c>
      <c r="G22" s="26" t="s">
        <v>31</v>
      </c>
      <c r="H22" s="27" t="s">
        <v>32</v>
      </c>
      <c r="I22" s="27" t="s">
        <v>33</v>
      </c>
    </row>
    <row r="23" spans="3:11" x14ac:dyDescent="0.25">
      <c r="E23" s="4">
        <v>255</v>
      </c>
      <c r="F23" s="4">
        <v>4</v>
      </c>
      <c r="G23" s="28">
        <f>E23*F23*$C$12*0.000001</f>
        <v>2.04E-4</v>
      </c>
      <c r="H23" s="3">
        <f>G23*1000</f>
        <v>0.20399999999999999</v>
      </c>
      <c r="I23" s="3">
        <f>1/G23</f>
        <v>4901.9607843137255</v>
      </c>
    </row>
    <row r="25" spans="3:11" x14ac:dyDescent="0.25">
      <c r="C25" s="1"/>
      <c r="D25" s="1"/>
      <c r="E25" s="2"/>
    </row>
    <row r="26" spans="3:11" x14ac:dyDescent="0.25">
      <c r="E26" s="25" t="s">
        <v>6</v>
      </c>
      <c r="F26" s="25" t="s">
        <v>30</v>
      </c>
      <c r="G26" s="26" t="s">
        <v>31</v>
      </c>
      <c r="H26" s="27" t="s">
        <v>32</v>
      </c>
      <c r="I26" s="27" t="s">
        <v>33</v>
      </c>
    </row>
    <row r="27" spans="3:11" x14ac:dyDescent="0.25">
      <c r="E27" s="4">
        <v>170</v>
      </c>
      <c r="F27" s="4">
        <v>256</v>
      </c>
      <c r="G27" s="28">
        <f>(256-E27)*F27*$C$12*0.000001</f>
        <v>4.4031999999999995E-3</v>
      </c>
      <c r="H27" s="3">
        <f>G27*1000</f>
        <v>4.4031999999999991</v>
      </c>
      <c r="I27" s="3">
        <f>1/G27</f>
        <v>227.10755813953492</v>
      </c>
    </row>
  </sheetData>
  <pageMargins left="0.7" right="0.7" top="0.75" bottom="0.75" header="0.3" footer="0.3"/>
  <pageSetup orientation="portrait" horizontalDpi="300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7"/>
  <sheetViews>
    <sheetView topLeftCell="D1" workbookViewId="0">
      <selection activeCell="E5" sqref="E5"/>
    </sheetView>
  </sheetViews>
  <sheetFormatPr baseColWidth="10" defaultRowHeight="15" x14ac:dyDescent="0.25"/>
  <cols>
    <col min="1" max="1" width="23.5703125" customWidth="1"/>
    <col min="3" max="3" width="15.140625" customWidth="1"/>
    <col min="4" max="4" width="18.28515625" customWidth="1"/>
    <col min="5" max="5" width="14.5703125" customWidth="1"/>
    <col min="6" max="6" width="18.85546875" customWidth="1"/>
    <col min="9" max="9" width="12" bestFit="1" customWidth="1"/>
    <col min="12" max="12" width="13.7109375" customWidth="1"/>
    <col min="13" max="13" width="17.5703125" customWidth="1"/>
  </cols>
  <sheetData>
    <row r="2" spans="1:15" x14ac:dyDescent="0.25">
      <c r="B2" s="5" t="s">
        <v>41</v>
      </c>
      <c r="J2" s="5" t="s">
        <v>4</v>
      </c>
      <c r="K2" s="5"/>
    </row>
    <row r="7" spans="1:15" x14ac:dyDescent="0.25">
      <c r="B7" s="5" t="s">
        <v>40</v>
      </c>
      <c r="C7" s="5"/>
    </row>
    <row r="11" spans="1:15" x14ac:dyDescent="0.25">
      <c r="A11" s="11" t="s">
        <v>1</v>
      </c>
      <c r="B11" s="11" t="s">
        <v>0</v>
      </c>
      <c r="C11" s="11" t="s">
        <v>2</v>
      </c>
      <c r="D11" s="12" t="s">
        <v>3</v>
      </c>
      <c r="E11" s="13" t="s">
        <v>5</v>
      </c>
      <c r="F11" s="13" t="s">
        <v>23</v>
      </c>
      <c r="G11" s="14" t="s">
        <v>6</v>
      </c>
      <c r="H11" s="32" t="s">
        <v>38</v>
      </c>
      <c r="I11" s="14" t="s">
        <v>29</v>
      </c>
      <c r="J11" s="14" t="s">
        <v>28</v>
      </c>
      <c r="K11" s="14" t="s">
        <v>7</v>
      </c>
      <c r="L11" s="14" t="s">
        <v>12</v>
      </c>
      <c r="M11" s="15" t="s">
        <v>8</v>
      </c>
      <c r="N11" s="15" t="s">
        <v>37</v>
      </c>
      <c r="O11" s="17" t="s">
        <v>9</v>
      </c>
    </row>
    <row r="12" spans="1:15" x14ac:dyDescent="0.25">
      <c r="A12" s="4">
        <v>4</v>
      </c>
      <c r="B12" s="3">
        <f>A12/4</f>
        <v>1</v>
      </c>
      <c r="C12" s="3">
        <f>1/(B12)</f>
        <v>1</v>
      </c>
      <c r="D12" s="6">
        <v>1</v>
      </c>
      <c r="E12" s="9">
        <v>2</v>
      </c>
      <c r="F12" s="23" t="s">
        <v>15</v>
      </c>
      <c r="G12" s="7">
        <f>65536-($D$12/(E12*$C$12*0.000001))</f>
        <v>-434464</v>
      </c>
      <c r="H12" s="33">
        <f>65535-G12</f>
        <v>499999</v>
      </c>
      <c r="I12" s="7">
        <f>INT(G12/256)</f>
        <v>-1698</v>
      </c>
      <c r="J12" s="7">
        <f>INT(G12-INT(I12)*256)</f>
        <v>224</v>
      </c>
      <c r="K12" s="8" t="str">
        <f>IF(G12&lt;65536,IF(G12&gt;0,"CUMPLE","NO CUMPLE"),"NO CUMPLE")</f>
        <v>NO CUMPLE</v>
      </c>
      <c r="L12" s="7">
        <f>65536-G12</f>
        <v>500000</v>
      </c>
      <c r="M12" s="10">
        <f>65536*$C$12*0.000001*E12*1000</f>
        <v>131.072</v>
      </c>
      <c r="N12" s="10">
        <f>1*1000/M12</f>
        <v>7.62939453125</v>
      </c>
      <c r="O12" s="16">
        <f>$D$12/(M12/1000)</f>
        <v>7.62939453125</v>
      </c>
    </row>
    <row r="13" spans="1:15" x14ac:dyDescent="0.25">
      <c r="E13" s="9">
        <v>4</v>
      </c>
      <c r="F13" s="23" t="s">
        <v>16</v>
      </c>
      <c r="G13" s="7">
        <f>65536-($D$12/(E13*$C$12*0.000001))</f>
        <v>-184464</v>
      </c>
      <c r="H13" s="33">
        <f>65535-G13</f>
        <v>249999</v>
      </c>
      <c r="I13" s="7">
        <f>INT(G13/256)</f>
        <v>-721</v>
      </c>
      <c r="J13" s="7">
        <f>INT(G13-INT(I13)*256)</f>
        <v>112</v>
      </c>
      <c r="K13" s="8" t="str">
        <f>IF(G13&lt;65536,IF(G13&gt;0,"CUMPLE","NO CUMPLE"),"NO CUMPLE")</f>
        <v>NO CUMPLE</v>
      </c>
      <c r="L13" s="7">
        <f>65536-G13</f>
        <v>250000</v>
      </c>
      <c r="M13" s="10">
        <f>65536*$C$12*0.000001*E13*1000</f>
        <v>262.14400000000001</v>
      </c>
      <c r="N13" s="10">
        <f>1*1000/M13</f>
        <v>3.814697265625</v>
      </c>
      <c r="O13" s="16">
        <f>$D$12/(M13/1000)</f>
        <v>3.814697265625</v>
      </c>
    </row>
    <row r="14" spans="1:15" x14ac:dyDescent="0.25">
      <c r="E14" s="9">
        <v>8</v>
      </c>
      <c r="F14" s="23" t="s">
        <v>17</v>
      </c>
      <c r="G14" s="7">
        <f t="shared" ref="G14:G19" si="0">65536-($D$12/(E14*$C$12*0.000001))</f>
        <v>-59464</v>
      </c>
      <c r="H14" s="33">
        <f t="shared" ref="H14:H19" si="1">65535-G14</f>
        <v>124999</v>
      </c>
      <c r="I14" s="7">
        <f t="shared" ref="I14:I19" si="2">INT(G14/256)</f>
        <v>-233</v>
      </c>
      <c r="J14" s="7">
        <f t="shared" ref="J14:J19" si="3">INT(G14-INT(I14)*256)</f>
        <v>184</v>
      </c>
      <c r="K14" s="8" t="str">
        <f t="shared" ref="K14:K19" si="4">IF(G14&lt;65536,IF(G14&gt;0,"CUMPLE","NO CUMPLE"),"NO CUMPLE")</f>
        <v>NO CUMPLE</v>
      </c>
      <c r="L14" s="7">
        <f t="shared" ref="L14:L19" si="5">65536-G14</f>
        <v>125000</v>
      </c>
      <c r="M14" s="10">
        <f t="shared" ref="M14:M19" si="6">65536*$C$12*0.000001*E14*1000</f>
        <v>524.28800000000001</v>
      </c>
      <c r="N14" s="10">
        <f t="shared" ref="N14:N19" si="7">1*1000/M14</f>
        <v>1.9073486328125</v>
      </c>
      <c r="O14" s="16">
        <f t="shared" ref="O14:O19" si="8">$D$12/(M14/1000)</f>
        <v>1.9073486328125</v>
      </c>
    </row>
    <row r="15" spans="1:15" x14ac:dyDescent="0.25">
      <c r="E15" s="9">
        <v>16</v>
      </c>
      <c r="F15" s="23" t="s">
        <v>18</v>
      </c>
      <c r="G15" s="7">
        <f t="shared" si="0"/>
        <v>3036</v>
      </c>
      <c r="H15" s="33">
        <f t="shared" si="1"/>
        <v>62499</v>
      </c>
      <c r="I15" s="7">
        <f t="shared" si="2"/>
        <v>11</v>
      </c>
      <c r="J15" s="7">
        <f t="shared" si="3"/>
        <v>220</v>
      </c>
      <c r="K15" s="8" t="str">
        <f t="shared" si="4"/>
        <v>CUMPLE</v>
      </c>
      <c r="L15" s="7">
        <f t="shared" si="5"/>
        <v>62500</v>
      </c>
      <c r="M15" s="10">
        <f t="shared" si="6"/>
        <v>1048.576</v>
      </c>
      <c r="N15" s="10">
        <f t="shared" si="7"/>
        <v>0.95367431640625</v>
      </c>
      <c r="O15" s="16">
        <f t="shared" si="8"/>
        <v>0.95367431640625</v>
      </c>
    </row>
    <row r="16" spans="1:15" x14ac:dyDescent="0.25">
      <c r="E16" s="9">
        <v>32</v>
      </c>
      <c r="F16" s="23" t="s">
        <v>19</v>
      </c>
      <c r="G16" s="7">
        <f t="shared" si="0"/>
        <v>34286</v>
      </c>
      <c r="H16" s="33">
        <f t="shared" si="1"/>
        <v>31249</v>
      </c>
      <c r="I16" s="7">
        <f t="shared" si="2"/>
        <v>133</v>
      </c>
      <c r="J16" s="7">
        <f t="shared" si="3"/>
        <v>238</v>
      </c>
      <c r="K16" s="8" t="str">
        <f t="shared" si="4"/>
        <v>CUMPLE</v>
      </c>
      <c r="L16" s="7">
        <f t="shared" si="5"/>
        <v>31250</v>
      </c>
      <c r="M16" s="10">
        <f t="shared" si="6"/>
        <v>2097.152</v>
      </c>
      <c r="N16" s="10">
        <f t="shared" si="7"/>
        <v>0.476837158203125</v>
      </c>
      <c r="O16" s="16">
        <f t="shared" si="8"/>
        <v>0.476837158203125</v>
      </c>
    </row>
    <row r="17" spans="1:19" x14ac:dyDescent="0.25">
      <c r="E17" s="9">
        <v>64</v>
      </c>
      <c r="F17" s="23" t="s">
        <v>20</v>
      </c>
      <c r="G17" s="7">
        <f t="shared" si="0"/>
        <v>49911</v>
      </c>
      <c r="H17" s="33">
        <f t="shared" si="1"/>
        <v>15624</v>
      </c>
      <c r="I17" s="7">
        <f t="shared" si="2"/>
        <v>194</v>
      </c>
      <c r="J17" s="7">
        <f t="shared" si="3"/>
        <v>247</v>
      </c>
      <c r="K17" s="8" t="str">
        <f t="shared" si="4"/>
        <v>CUMPLE</v>
      </c>
      <c r="L17" s="7">
        <f t="shared" si="5"/>
        <v>15625</v>
      </c>
      <c r="M17" s="10">
        <f t="shared" si="6"/>
        <v>4194.3040000000001</v>
      </c>
      <c r="N17" s="10">
        <f t="shared" si="7"/>
        <v>0.2384185791015625</v>
      </c>
      <c r="O17" s="16">
        <f t="shared" si="8"/>
        <v>0.2384185791015625</v>
      </c>
    </row>
    <row r="18" spans="1:19" x14ac:dyDescent="0.25">
      <c r="E18" s="9">
        <v>128</v>
      </c>
      <c r="F18" s="23" t="s">
        <v>21</v>
      </c>
      <c r="G18" s="7">
        <f t="shared" si="0"/>
        <v>57723.5</v>
      </c>
      <c r="H18" s="33">
        <f t="shared" si="1"/>
        <v>7811.5</v>
      </c>
      <c r="I18" s="7">
        <f t="shared" si="2"/>
        <v>225</v>
      </c>
      <c r="J18" s="7">
        <f t="shared" si="3"/>
        <v>123</v>
      </c>
      <c r="K18" s="8" t="str">
        <f t="shared" si="4"/>
        <v>CUMPLE</v>
      </c>
      <c r="L18" s="7">
        <f t="shared" si="5"/>
        <v>7812.5</v>
      </c>
      <c r="M18" s="10">
        <f t="shared" si="6"/>
        <v>8388.6080000000002</v>
      </c>
      <c r="N18" s="10">
        <f t="shared" si="7"/>
        <v>0.11920928955078125</v>
      </c>
      <c r="O18" s="16">
        <f t="shared" si="8"/>
        <v>0.11920928955078125</v>
      </c>
      <c r="Q18" s="1"/>
      <c r="R18" s="1"/>
      <c r="S18" s="2"/>
    </row>
    <row r="19" spans="1:19" x14ac:dyDescent="0.25">
      <c r="E19" s="9">
        <v>256</v>
      </c>
      <c r="F19" s="23" t="s">
        <v>22</v>
      </c>
      <c r="G19" s="7">
        <f t="shared" si="0"/>
        <v>61629.75</v>
      </c>
      <c r="H19" s="33">
        <f t="shared" si="1"/>
        <v>3905.25</v>
      </c>
      <c r="I19" s="7">
        <f t="shared" si="2"/>
        <v>240</v>
      </c>
      <c r="J19" s="7">
        <f t="shared" si="3"/>
        <v>189</v>
      </c>
      <c r="K19" s="8" t="str">
        <f t="shared" si="4"/>
        <v>CUMPLE</v>
      </c>
      <c r="L19" s="7">
        <f t="shared" si="5"/>
        <v>3906.25</v>
      </c>
      <c r="M19" s="10">
        <f t="shared" si="6"/>
        <v>16777.216</v>
      </c>
      <c r="N19" s="10">
        <f t="shared" si="7"/>
        <v>5.9604644775390625E-2</v>
      </c>
      <c r="O19" s="16">
        <f t="shared" si="8"/>
        <v>5.9604644775390625E-2</v>
      </c>
    </row>
    <row r="20" spans="1:19" x14ac:dyDescent="0.25">
      <c r="E20" s="18"/>
      <c r="F20" s="18"/>
      <c r="G20" s="19"/>
      <c r="H20" s="19"/>
      <c r="I20" s="19"/>
      <c r="J20" s="20"/>
      <c r="K20" s="20"/>
      <c r="L20" s="21"/>
      <c r="M20" s="21"/>
      <c r="N20" s="22"/>
    </row>
    <row r="21" spans="1:19" x14ac:dyDescent="0.25">
      <c r="E21" s="25" t="s">
        <v>39</v>
      </c>
      <c r="F21" s="25" t="s">
        <v>30</v>
      </c>
      <c r="G21" s="26" t="s">
        <v>31</v>
      </c>
      <c r="H21" s="27" t="s">
        <v>32</v>
      </c>
      <c r="I21" s="27" t="s">
        <v>33</v>
      </c>
      <c r="J21" s="31" t="s">
        <v>29</v>
      </c>
      <c r="K21" s="31" t="s">
        <v>28</v>
      </c>
      <c r="L21" s="21"/>
      <c r="M21" s="21"/>
      <c r="N21" s="22"/>
    </row>
    <row r="22" spans="1:19" x14ac:dyDescent="0.25">
      <c r="E22" s="30">
        <v>32767</v>
      </c>
      <c r="F22" s="30">
        <v>8</v>
      </c>
      <c r="G22" s="3">
        <f>(E22)*F22*$C$12*0.000001</f>
        <v>0.26213599999999998</v>
      </c>
      <c r="H22" s="9">
        <f>G22*1000</f>
        <v>262.13599999999997</v>
      </c>
      <c r="I22" s="9">
        <f>1/G22</f>
        <v>3.8148136844996494</v>
      </c>
      <c r="J22" s="7">
        <f>E22/256</f>
        <v>127.99609375</v>
      </c>
      <c r="K22" s="7">
        <f>INT(E22-INT(J22)*256)</f>
        <v>255</v>
      </c>
      <c r="L22" s="21"/>
      <c r="M22" s="21"/>
      <c r="N22" s="22"/>
    </row>
    <row r="23" spans="1:19" x14ac:dyDescent="0.25">
      <c r="I23" s="19"/>
      <c r="J23" s="20"/>
      <c r="K23" s="20"/>
      <c r="L23" s="21"/>
      <c r="M23" s="21"/>
      <c r="N23" s="22"/>
    </row>
    <row r="24" spans="1:19" s="36" customFormat="1" x14ac:dyDescent="0.25">
      <c r="A24" s="34"/>
      <c r="B24" s="35"/>
      <c r="C24" s="35"/>
    </row>
    <row r="26" spans="1:19" x14ac:dyDescent="0.25">
      <c r="E26" s="25" t="s">
        <v>6</v>
      </c>
      <c r="F26" s="25" t="s">
        <v>30</v>
      </c>
      <c r="G26" s="26" t="s">
        <v>31</v>
      </c>
      <c r="H26" s="27" t="s">
        <v>32</v>
      </c>
      <c r="I26" s="27" t="s">
        <v>33</v>
      </c>
      <c r="J26" s="31" t="s">
        <v>29</v>
      </c>
      <c r="K26" s="31" t="s">
        <v>28</v>
      </c>
    </row>
    <row r="27" spans="1:19" x14ac:dyDescent="0.25">
      <c r="E27" s="30">
        <v>40536</v>
      </c>
      <c r="F27" s="30">
        <v>8</v>
      </c>
      <c r="G27" s="3">
        <f>(65536-E27)*F27*$C$12*0.000001</f>
        <v>0.19999999999999998</v>
      </c>
      <c r="H27" s="9">
        <f>G27*1000</f>
        <v>199.99999999999997</v>
      </c>
      <c r="I27" s="9">
        <f>1/G27</f>
        <v>5</v>
      </c>
      <c r="J27" s="7">
        <f>E27/256</f>
        <v>158.34375</v>
      </c>
      <c r="K27" s="7">
        <f>INT(E27-INT(J27)*256)</f>
        <v>88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M12" sqref="M12"/>
    </sheetView>
  </sheetViews>
  <sheetFormatPr baseColWidth="10" defaultRowHeight="15" x14ac:dyDescent="0.25"/>
  <cols>
    <col min="1" max="1" width="23.5703125" customWidth="1"/>
    <col min="3" max="3" width="15.140625" customWidth="1"/>
    <col min="4" max="4" width="18.28515625" customWidth="1"/>
    <col min="5" max="5" width="14.5703125" customWidth="1"/>
    <col min="6" max="6" width="18.85546875" customWidth="1"/>
    <col min="9" max="9" width="12" bestFit="1" customWidth="1"/>
    <col min="12" max="12" width="13.7109375" customWidth="1"/>
    <col min="13" max="13" width="17.5703125" customWidth="1"/>
  </cols>
  <sheetData>
    <row r="2" spans="1:19" x14ac:dyDescent="0.25">
      <c r="B2" s="5" t="s">
        <v>41</v>
      </c>
      <c r="J2" s="5" t="s">
        <v>4</v>
      </c>
      <c r="K2" s="5"/>
    </row>
    <row r="7" spans="1:19" x14ac:dyDescent="0.25">
      <c r="B7" s="5" t="s">
        <v>40</v>
      </c>
      <c r="C7" s="5"/>
    </row>
    <row r="11" spans="1:19" x14ac:dyDescent="0.25">
      <c r="A11" s="11" t="s">
        <v>1</v>
      </c>
      <c r="B11" s="11" t="s">
        <v>0</v>
      </c>
      <c r="C11" s="11" t="s">
        <v>2</v>
      </c>
      <c r="D11" s="12" t="s">
        <v>3</v>
      </c>
      <c r="E11" s="13" t="s">
        <v>5</v>
      </c>
      <c r="F11" s="13" t="s">
        <v>23</v>
      </c>
      <c r="G11" s="14" t="s">
        <v>6</v>
      </c>
      <c r="H11" s="32" t="s">
        <v>38</v>
      </c>
      <c r="I11" s="14" t="s">
        <v>29</v>
      </c>
      <c r="J11" s="14" t="s">
        <v>28</v>
      </c>
      <c r="K11" s="14" t="s">
        <v>7</v>
      </c>
      <c r="L11" s="14" t="s">
        <v>12</v>
      </c>
      <c r="M11" s="15" t="s">
        <v>8</v>
      </c>
      <c r="N11" s="15" t="s">
        <v>37</v>
      </c>
      <c r="O11" s="17" t="s">
        <v>9</v>
      </c>
    </row>
    <row r="12" spans="1:19" x14ac:dyDescent="0.25">
      <c r="A12" s="4">
        <v>32</v>
      </c>
      <c r="B12" s="3">
        <f>A12/4</f>
        <v>8</v>
      </c>
      <c r="C12" s="3">
        <f>1/(B12)</f>
        <v>0.125</v>
      </c>
      <c r="D12" s="6">
        <v>1</v>
      </c>
      <c r="E12" s="9">
        <v>1</v>
      </c>
      <c r="F12" s="23" t="s">
        <v>24</v>
      </c>
      <c r="G12" s="7">
        <f>65536-($D$12/(E12*$C$12*0.000001))</f>
        <v>-7934464</v>
      </c>
      <c r="H12" s="33">
        <f>65535-G12</f>
        <v>7999999</v>
      </c>
      <c r="I12" s="7">
        <f>INT(G12/256)</f>
        <v>-30994</v>
      </c>
      <c r="J12" s="7">
        <f>INT(G12-INT(I12)*256)</f>
        <v>0</v>
      </c>
      <c r="K12" s="8" t="str">
        <f>IF(G12&lt;65536,IF(G12&gt;0,"CUMPLE","NO CUMPLE"),"NO CUMPLE")</f>
        <v>NO CUMPLE</v>
      </c>
      <c r="L12" s="7">
        <f>65536-G12</f>
        <v>8000000</v>
      </c>
      <c r="M12" s="10">
        <f>65536*$C$12*0.000001*E12*1000</f>
        <v>8.1920000000000002</v>
      </c>
      <c r="N12" s="10">
        <f>1*1000/M12</f>
        <v>122.0703125</v>
      </c>
      <c r="O12" s="16">
        <f>$D$12/(M12/1000)</f>
        <v>122.0703125</v>
      </c>
    </row>
    <row r="13" spans="1:19" x14ac:dyDescent="0.25">
      <c r="E13" s="9">
        <v>2</v>
      </c>
      <c r="F13" s="23" t="s">
        <v>25</v>
      </c>
      <c r="G13" s="7">
        <f>65536-($D$12/(E13*$C$12*0.000001))</f>
        <v>-3934464</v>
      </c>
      <c r="H13" s="33">
        <f>65535-G13</f>
        <v>3999999</v>
      </c>
      <c r="I13" s="7">
        <f>INT(G13/256)</f>
        <v>-15369</v>
      </c>
      <c r="J13" s="7">
        <f>INT(G13-INT(I13)*256)</f>
        <v>0</v>
      </c>
      <c r="K13" s="8" t="str">
        <f>IF(G13&lt;65536,IF(G13&gt;0,"CUMPLE","NO CUMPLE"),"NO CUMPLE")</f>
        <v>NO CUMPLE</v>
      </c>
      <c r="L13" s="7">
        <f>65536-G13</f>
        <v>4000000</v>
      </c>
      <c r="M13" s="10">
        <f>65536*$C$12*0.000001*E13*1000</f>
        <v>16.384</v>
      </c>
      <c r="N13" s="10">
        <f>1*1000/M13</f>
        <v>61.03515625</v>
      </c>
      <c r="O13" s="16">
        <f>$D$12/(M13/1000)</f>
        <v>61.03515625</v>
      </c>
    </row>
    <row r="14" spans="1:19" x14ac:dyDescent="0.25">
      <c r="E14" s="9">
        <v>4</v>
      </c>
      <c r="F14" s="23" t="s">
        <v>26</v>
      </c>
      <c r="G14" s="7">
        <f>65536-($D$12/(E14*$C$12*0.000001))</f>
        <v>-1934464</v>
      </c>
      <c r="H14" s="33">
        <f>65535-G14</f>
        <v>1999999</v>
      </c>
      <c r="I14" s="7">
        <f>INT(G14/256)</f>
        <v>-7557</v>
      </c>
      <c r="J14" s="7">
        <f>INT(G14-INT(I14)*256)</f>
        <v>128</v>
      </c>
      <c r="K14" s="8" t="str">
        <f>IF(G14&lt;65536,IF(G14&gt;0,"CUMPLE","NO CUMPLE"),"NO CUMPLE")</f>
        <v>NO CUMPLE</v>
      </c>
      <c r="L14" s="7">
        <f>65536-G14</f>
        <v>2000000</v>
      </c>
      <c r="M14" s="10">
        <f>65536*$C$12*0.000001*E14*1000</f>
        <v>32.768000000000001</v>
      </c>
      <c r="N14" s="10">
        <f>1*1000/M14</f>
        <v>30.517578125</v>
      </c>
      <c r="O14" s="16">
        <f>$D$12/(M14/1000)</f>
        <v>30.517578125</v>
      </c>
      <c r="Q14" s="1"/>
      <c r="R14" s="1"/>
      <c r="S14" s="2"/>
    </row>
    <row r="15" spans="1:19" x14ac:dyDescent="0.25">
      <c r="E15" s="9">
        <v>8</v>
      </c>
      <c r="F15" s="23" t="s">
        <v>27</v>
      </c>
      <c r="G15" s="7">
        <f>65536-($D$12/(E15*$C$12*0.000001))</f>
        <v>-934464</v>
      </c>
      <c r="H15" s="33">
        <f>65535-G15</f>
        <v>999999</v>
      </c>
      <c r="I15" s="7">
        <f>INT(G15/256)</f>
        <v>-3651</v>
      </c>
      <c r="J15" s="7">
        <f>INT(G15-((I15)*256))</f>
        <v>192</v>
      </c>
      <c r="K15" s="8" t="str">
        <f>IF(G15&lt;65536,IF(G15&gt;0,"CUMPLE","NO CUMPLE"),"NO CUMPLE")</f>
        <v>NO CUMPLE</v>
      </c>
      <c r="L15" s="7">
        <f>65536-G15</f>
        <v>1000000</v>
      </c>
      <c r="M15" s="10">
        <f>65536*$C$12*0.000001*E15*1000</f>
        <v>65.536000000000001</v>
      </c>
      <c r="N15" s="10">
        <f>1*1000/M15</f>
        <v>15.2587890625</v>
      </c>
      <c r="O15" s="16">
        <f>$D$12/(M15/1000)</f>
        <v>15.2587890625</v>
      </c>
    </row>
    <row r="16" spans="1:19" x14ac:dyDescent="0.25">
      <c r="E16" s="18"/>
      <c r="F16" s="18"/>
      <c r="G16" s="19"/>
      <c r="H16" s="19"/>
      <c r="I16" s="19"/>
      <c r="J16" s="20"/>
      <c r="K16" s="20"/>
      <c r="L16" s="21"/>
      <c r="M16" s="21"/>
      <c r="N16" s="22"/>
    </row>
    <row r="17" spans="1:14" x14ac:dyDescent="0.25">
      <c r="E17" s="25" t="s">
        <v>39</v>
      </c>
      <c r="F17" s="25" t="s">
        <v>30</v>
      </c>
      <c r="G17" s="26" t="s">
        <v>31</v>
      </c>
      <c r="H17" s="27" t="s">
        <v>32</v>
      </c>
      <c r="I17" s="27" t="s">
        <v>33</v>
      </c>
      <c r="J17" s="31" t="s">
        <v>29</v>
      </c>
      <c r="K17" s="31" t="s">
        <v>28</v>
      </c>
      <c r="L17" s="21"/>
      <c r="M17" s="21"/>
      <c r="N17" s="22"/>
    </row>
    <row r="18" spans="1:14" x14ac:dyDescent="0.25">
      <c r="E18" s="30">
        <v>32767</v>
      </c>
      <c r="F18" s="30">
        <v>8</v>
      </c>
      <c r="G18" s="3">
        <f>(E18)*F18*$C$12*0.000001</f>
        <v>3.2766999999999998E-2</v>
      </c>
      <c r="H18" s="9">
        <f>G18*1000</f>
        <v>32.766999999999996</v>
      </c>
      <c r="I18" s="9">
        <f>1/G18</f>
        <v>30.518509475997195</v>
      </c>
      <c r="J18" s="7">
        <f>E18/256</f>
        <v>127.99609375</v>
      </c>
      <c r="K18" s="7">
        <f>INT(E18-INT(J18)*256)</f>
        <v>255</v>
      </c>
      <c r="L18" s="21"/>
      <c r="M18" s="21"/>
      <c r="N18" s="22"/>
    </row>
    <row r="19" spans="1:14" x14ac:dyDescent="0.25">
      <c r="I19" s="19"/>
      <c r="J19" s="20"/>
      <c r="K19" s="20"/>
      <c r="L19" s="21"/>
      <c r="M19" s="21"/>
      <c r="N19" s="22"/>
    </row>
    <row r="20" spans="1:14" s="36" customFormat="1" x14ac:dyDescent="0.25">
      <c r="A20" s="34"/>
      <c r="B20" s="35"/>
      <c r="C20" s="35"/>
    </row>
    <row r="22" spans="1:14" x14ac:dyDescent="0.25">
      <c r="E22" s="25" t="s">
        <v>6</v>
      </c>
      <c r="F22" s="25" t="s">
        <v>30</v>
      </c>
      <c r="G22" s="26" t="s">
        <v>31</v>
      </c>
      <c r="H22" s="27" t="s">
        <v>32</v>
      </c>
      <c r="I22" s="27" t="s">
        <v>33</v>
      </c>
      <c r="J22" s="31" t="s">
        <v>29</v>
      </c>
      <c r="K22" s="31" t="s">
        <v>28</v>
      </c>
    </row>
    <row r="23" spans="1:14" x14ac:dyDescent="0.25">
      <c r="E23" s="30">
        <v>40536</v>
      </c>
      <c r="F23" s="30">
        <v>8</v>
      </c>
      <c r="G23" s="3">
        <f>(65536-E23)*F23*$C$12*0.000001</f>
        <v>2.4999999999999998E-2</v>
      </c>
      <c r="H23" s="9">
        <f>G23*1000</f>
        <v>24.999999999999996</v>
      </c>
      <c r="I23" s="9">
        <f>1/G23</f>
        <v>40</v>
      </c>
      <c r="J23" s="7">
        <f>E23/256</f>
        <v>158.34375</v>
      </c>
      <c r="K23" s="7">
        <f>INT(E23-INT(J23)*256)</f>
        <v>88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C19" sqref="C19"/>
    </sheetView>
  </sheetViews>
  <sheetFormatPr baseColWidth="10" defaultRowHeight="15" x14ac:dyDescent="0.25"/>
  <cols>
    <col min="1" max="1" width="23.5703125" customWidth="1"/>
    <col min="2" max="2" width="12" bestFit="1" customWidth="1"/>
    <col min="3" max="3" width="15.140625" customWidth="1"/>
    <col min="4" max="4" width="18.28515625" customWidth="1"/>
    <col min="5" max="5" width="14.5703125" customWidth="1"/>
    <col min="6" max="6" width="18.85546875" customWidth="1"/>
    <col min="7" max="7" width="12" bestFit="1" customWidth="1"/>
    <col min="9" max="9" width="12" bestFit="1" customWidth="1"/>
    <col min="12" max="12" width="13.7109375" customWidth="1"/>
    <col min="13" max="13" width="24" customWidth="1"/>
  </cols>
  <sheetData>
    <row r="2" spans="1:19" x14ac:dyDescent="0.25">
      <c r="B2" s="5" t="s">
        <v>41</v>
      </c>
      <c r="J2" s="5" t="s">
        <v>4</v>
      </c>
      <c r="K2" s="5"/>
    </row>
    <row r="7" spans="1:19" x14ac:dyDescent="0.25">
      <c r="B7" s="5" t="s">
        <v>40</v>
      </c>
      <c r="C7" s="5"/>
    </row>
    <row r="11" spans="1:19" x14ac:dyDescent="0.25">
      <c r="A11" s="11" t="s">
        <v>42</v>
      </c>
      <c r="B11" s="11" t="s">
        <v>0</v>
      </c>
      <c r="C11" s="11" t="s">
        <v>43</v>
      </c>
      <c r="D11" s="12" t="s">
        <v>3</v>
      </c>
      <c r="E11" s="13" t="s">
        <v>5</v>
      </c>
      <c r="F11" s="13" t="s">
        <v>23</v>
      </c>
      <c r="G11" s="14" t="s">
        <v>6</v>
      </c>
      <c r="H11" s="32" t="s">
        <v>38</v>
      </c>
      <c r="I11" s="14" t="s">
        <v>29</v>
      </c>
      <c r="J11" s="14" t="s">
        <v>28</v>
      </c>
      <c r="K11" s="14" t="s">
        <v>7</v>
      </c>
      <c r="L11" s="14" t="s">
        <v>12</v>
      </c>
      <c r="M11" s="15" t="s">
        <v>8</v>
      </c>
      <c r="N11" s="15" t="s">
        <v>37</v>
      </c>
      <c r="O11" s="17" t="s">
        <v>9</v>
      </c>
    </row>
    <row r="12" spans="1:19" x14ac:dyDescent="0.25">
      <c r="A12" s="4">
        <v>32768</v>
      </c>
      <c r="B12" s="33">
        <f>A12</f>
        <v>32768</v>
      </c>
      <c r="C12" s="3">
        <f>1/(B12)</f>
        <v>3.0517578125E-5</v>
      </c>
      <c r="D12" s="6">
        <v>1</v>
      </c>
      <c r="E12" s="9">
        <v>1</v>
      </c>
      <c r="F12" s="23" t="s">
        <v>24</v>
      </c>
      <c r="G12" s="7">
        <f>65536-($D$12/(E12*$C$12))</f>
        <v>32768</v>
      </c>
      <c r="H12" s="33">
        <f>65535-G12</f>
        <v>32767</v>
      </c>
      <c r="I12" s="7">
        <f>INT(G12/256)</f>
        <v>128</v>
      </c>
      <c r="J12" s="7">
        <f>INT(G12-INT(I12)*256)</f>
        <v>0</v>
      </c>
      <c r="K12" s="8" t="str">
        <f>IF(G12&lt;65536,IF(G12&gt;0,"CUMPLE","NO CUMPLE"),"NO CUMPLE")</f>
        <v>CUMPLE</v>
      </c>
      <c r="L12" s="7">
        <f>65536-G12</f>
        <v>32768</v>
      </c>
      <c r="M12" s="10">
        <f>65536*$C$12*0.000001*E12*1000</f>
        <v>2E-3</v>
      </c>
      <c r="N12" s="10">
        <f>1*1000/M12</f>
        <v>500000</v>
      </c>
      <c r="O12" s="16">
        <f>$D$12/(M12/1000)</f>
        <v>500000</v>
      </c>
    </row>
    <row r="13" spans="1:19" x14ac:dyDescent="0.25">
      <c r="E13" s="9">
        <v>2</v>
      </c>
      <c r="F13" s="23" t="s">
        <v>25</v>
      </c>
      <c r="G13" s="7">
        <f t="shared" ref="G13:G15" si="0">65536-($D$12/(E13*$C$12))</f>
        <v>49152</v>
      </c>
      <c r="H13" s="33">
        <f>65535-G13</f>
        <v>16383</v>
      </c>
      <c r="I13" s="7">
        <f>INT(G13/256)</f>
        <v>192</v>
      </c>
      <c r="J13" s="7">
        <f>INT(G13-INT(I13)*256)</f>
        <v>0</v>
      </c>
      <c r="K13" s="8" t="str">
        <f>IF(G13&lt;65536,IF(G13&gt;0,"CUMPLE","NO CUMPLE"),"NO CUMPLE")</f>
        <v>CUMPLE</v>
      </c>
      <c r="L13" s="7">
        <f>65536-G13</f>
        <v>16384</v>
      </c>
      <c r="M13" s="10">
        <f>65536*$C$12*0.000001*E13*1000</f>
        <v>4.0000000000000001E-3</v>
      </c>
      <c r="N13" s="10">
        <f>1*1000/M13</f>
        <v>250000</v>
      </c>
      <c r="O13" s="16">
        <f>$D$12/(M13/1000)</f>
        <v>250000</v>
      </c>
    </row>
    <row r="14" spans="1:19" x14ac:dyDescent="0.25">
      <c r="E14" s="9">
        <v>4</v>
      </c>
      <c r="F14" s="23" t="s">
        <v>26</v>
      </c>
      <c r="G14" s="7">
        <f t="shared" si="0"/>
        <v>57344</v>
      </c>
      <c r="H14" s="33">
        <f>65535-G14</f>
        <v>8191</v>
      </c>
      <c r="I14" s="7">
        <f>INT(G14/256)</f>
        <v>224</v>
      </c>
      <c r="J14" s="7">
        <f>INT(G14-INT(I14)*256)</f>
        <v>0</v>
      </c>
      <c r="K14" s="8" t="str">
        <f>IF(G14&lt;65536,IF(G14&gt;0,"CUMPLE","NO CUMPLE"),"NO CUMPLE")</f>
        <v>CUMPLE</v>
      </c>
      <c r="L14" s="7">
        <f>65536-G14</f>
        <v>8192</v>
      </c>
      <c r="M14" s="10">
        <f>65536*$C$12*0.000001*E14*1000</f>
        <v>8.0000000000000002E-3</v>
      </c>
      <c r="N14" s="10">
        <f>1*1000/M14</f>
        <v>125000</v>
      </c>
      <c r="O14" s="16">
        <f>$D$12/(M14/1000)</f>
        <v>125000</v>
      </c>
      <c r="Q14" s="1"/>
      <c r="R14" s="1"/>
      <c r="S14" s="2"/>
    </row>
    <row r="15" spans="1:19" x14ac:dyDescent="0.25">
      <c r="E15" s="9">
        <v>8</v>
      </c>
      <c r="F15" s="23" t="s">
        <v>27</v>
      </c>
      <c r="G15" s="7">
        <f t="shared" si="0"/>
        <v>61440</v>
      </c>
      <c r="H15" s="33">
        <f>65535-G15</f>
        <v>4095</v>
      </c>
      <c r="I15" s="7">
        <f>INT(G15/256)</f>
        <v>240</v>
      </c>
      <c r="J15" s="7">
        <f>INT(G15-((I15)*256))</f>
        <v>0</v>
      </c>
      <c r="K15" s="8" t="str">
        <f>IF(G15&lt;65536,IF(G15&gt;0,"CUMPLE","NO CUMPLE"),"NO CUMPLE")</f>
        <v>CUMPLE</v>
      </c>
      <c r="L15" s="7">
        <f>65536-G15</f>
        <v>4096</v>
      </c>
      <c r="M15" s="10">
        <f>65536*$C$12*0.000001*E15*1000</f>
        <v>1.6E-2</v>
      </c>
      <c r="N15" s="10">
        <f>1*1000/M15</f>
        <v>62500</v>
      </c>
      <c r="O15" s="16">
        <f>$D$12/(M15/1000)</f>
        <v>62500</v>
      </c>
    </row>
    <row r="16" spans="1:19" x14ac:dyDescent="0.25">
      <c r="C16" s="2"/>
      <c r="E16" s="18"/>
      <c r="F16" s="18"/>
      <c r="G16" s="19"/>
      <c r="H16" s="19"/>
      <c r="I16" s="19"/>
      <c r="J16" s="20"/>
      <c r="K16" s="20"/>
      <c r="L16" s="21"/>
      <c r="M16" s="21"/>
      <c r="N16" s="22"/>
    </row>
    <row r="17" spans="1:14" x14ac:dyDescent="0.25">
      <c r="E17" s="25" t="s">
        <v>39</v>
      </c>
      <c r="F17" s="25" t="s">
        <v>30</v>
      </c>
      <c r="G17" s="26" t="s">
        <v>31</v>
      </c>
      <c r="H17" s="27"/>
      <c r="I17" s="27" t="s">
        <v>33</v>
      </c>
      <c r="J17" s="31" t="s">
        <v>29</v>
      </c>
      <c r="K17" s="31" t="s">
        <v>28</v>
      </c>
      <c r="L17" s="21"/>
      <c r="M17" s="21"/>
      <c r="N17" s="22"/>
    </row>
    <row r="18" spans="1:14" x14ac:dyDescent="0.25">
      <c r="E18" s="30">
        <v>32767</v>
      </c>
      <c r="F18" s="30">
        <v>1</v>
      </c>
      <c r="G18" s="3">
        <f>(E18)*F18*$C$12</f>
        <v>0.999969482421875</v>
      </c>
      <c r="H18" s="9"/>
      <c r="I18" s="9">
        <f>1/G18</f>
        <v>1.000030518509476</v>
      </c>
      <c r="J18" s="7">
        <f>E18/256</f>
        <v>127.99609375</v>
      </c>
      <c r="K18" s="7">
        <f>INT(E18-INT(J18)*256)</f>
        <v>255</v>
      </c>
      <c r="L18" s="21"/>
      <c r="M18" s="21"/>
      <c r="N18" s="22"/>
    </row>
    <row r="19" spans="1:14" x14ac:dyDescent="0.25">
      <c r="I19" s="19"/>
      <c r="J19" s="20"/>
      <c r="K19" s="20"/>
      <c r="L19" s="21"/>
      <c r="M19" s="21"/>
      <c r="N19" s="22"/>
    </row>
    <row r="20" spans="1:14" s="36" customFormat="1" x14ac:dyDescent="0.25">
      <c r="A20" s="34"/>
      <c r="B20" s="35"/>
      <c r="C20" s="35"/>
    </row>
    <row r="22" spans="1:14" x14ac:dyDescent="0.25">
      <c r="E22" s="25" t="s">
        <v>6</v>
      </c>
      <c r="F22" s="25" t="s">
        <v>30</v>
      </c>
      <c r="G22" s="26" t="s">
        <v>31</v>
      </c>
      <c r="H22" s="27" t="s">
        <v>32</v>
      </c>
      <c r="I22" s="27" t="s">
        <v>33</v>
      </c>
      <c r="J22" s="31" t="s">
        <v>29</v>
      </c>
      <c r="K22" s="31" t="s">
        <v>28</v>
      </c>
    </row>
    <row r="23" spans="1:14" x14ac:dyDescent="0.25">
      <c r="E23" s="30">
        <v>40536</v>
      </c>
      <c r="F23" s="30">
        <v>8</v>
      </c>
      <c r="G23" s="3">
        <f>(65536-E23)*F23*$C$12*0.000001</f>
        <v>6.1035156249999995E-6</v>
      </c>
      <c r="H23" s="9">
        <f>G23*1000</f>
        <v>6.1035156249999991E-3</v>
      </c>
      <c r="I23" s="9">
        <f>1/G23</f>
        <v>163840</v>
      </c>
      <c r="J23" s="7">
        <f>E23/256</f>
        <v>158.34375</v>
      </c>
      <c r="K23" s="7">
        <f>INT(E23-INT(J23)*256)</f>
        <v>88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opLeftCell="A5" workbookViewId="0">
      <selection activeCell="D18" sqref="D18"/>
    </sheetView>
  </sheetViews>
  <sheetFormatPr baseColWidth="10" defaultRowHeight="15" x14ac:dyDescent="0.25"/>
  <cols>
    <col min="1" max="1" width="23.5703125" customWidth="1"/>
    <col min="3" max="3" width="14" customWidth="1"/>
    <col min="4" max="4" width="18.28515625" customWidth="1"/>
    <col min="5" max="5" width="20.7109375" customWidth="1"/>
    <col min="6" max="6" width="24.85546875" customWidth="1"/>
    <col min="9" max="9" width="18.140625" customWidth="1"/>
  </cols>
  <sheetData>
    <row r="2" spans="1:14" x14ac:dyDescent="0.25">
      <c r="B2" s="5" t="s">
        <v>41</v>
      </c>
      <c r="H2" s="5" t="s">
        <v>4</v>
      </c>
    </row>
    <row r="7" spans="1:14" x14ac:dyDescent="0.25">
      <c r="B7" s="5" t="s">
        <v>40</v>
      </c>
    </row>
    <row r="11" spans="1:14" x14ac:dyDescent="0.25">
      <c r="A11" s="11" t="s">
        <v>1</v>
      </c>
      <c r="B11" s="11" t="s">
        <v>0</v>
      </c>
      <c r="C11" s="11" t="s">
        <v>2</v>
      </c>
      <c r="D11" s="12" t="s">
        <v>3</v>
      </c>
      <c r="E11" s="13" t="s">
        <v>5</v>
      </c>
      <c r="F11" s="14" t="s">
        <v>10</v>
      </c>
      <c r="G11" s="14" t="s">
        <v>11</v>
      </c>
      <c r="H11" s="14" t="s">
        <v>7</v>
      </c>
      <c r="I11" s="15" t="s">
        <v>8</v>
      </c>
      <c r="J11" s="17" t="s">
        <v>9</v>
      </c>
    </row>
    <row r="12" spans="1:14" x14ac:dyDescent="0.25">
      <c r="A12" s="4">
        <v>4</v>
      </c>
      <c r="B12" s="3">
        <f>A12/4</f>
        <v>1</v>
      </c>
      <c r="C12" s="3">
        <f>1/(B12)</f>
        <v>1</v>
      </c>
      <c r="D12" s="6">
        <v>0.05</v>
      </c>
      <c r="E12" s="9">
        <v>1</v>
      </c>
      <c r="F12" s="38">
        <v>16</v>
      </c>
      <c r="G12" s="7">
        <f>($D$12/(E12*$C$12*0.000001*$F$12))</f>
        <v>3125.0000000000005</v>
      </c>
      <c r="H12" s="8" t="str">
        <f>IF(G12&lt;255,IF(G12&gt;0,"CUMPLE","NO CUMPLE"),"NO CUMPLE")</f>
        <v>NO CUMPLE</v>
      </c>
      <c r="I12" s="10">
        <f t="shared" ref="I12:I13" si="0">$C$12*255*0.000001*E12*1000*$F$12</f>
        <v>4.0799999999999992</v>
      </c>
      <c r="J12" s="16">
        <f>$D$12/(I12/1000)</f>
        <v>12.254901960784316</v>
      </c>
    </row>
    <row r="13" spans="1:14" x14ac:dyDescent="0.25">
      <c r="E13" s="9">
        <v>4</v>
      </c>
      <c r="F13" s="39"/>
      <c r="G13" s="7">
        <f>($D$12/(E13*$C$12*0.000001*$F$12))</f>
        <v>781.25000000000011</v>
      </c>
      <c r="H13" s="8" t="str">
        <f>IF(G13&lt;255,IF(G13&gt;0,"CUMPLE","NO CUMPLE"),"NO CUMPLE")</f>
        <v>NO CUMPLE</v>
      </c>
      <c r="I13" s="10">
        <f t="shared" si="0"/>
        <v>16.319999999999997</v>
      </c>
      <c r="J13" s="16">
        <f>$D$12/(I13/1000)</f>
        <v>3.0637254901960791</v>
      </c>
    </row>
    <row r="14" spans="1:14" x14ac:dyDescent="0.25">
      <c r="E14" s="9">
        <v>16</v>
      </c>
      <c r="F14" s="39"/>
      <c r="G14" s="7">
        <f>($D$12/(E14*$C$12*0.000001*$F$12))</f>
        <v>195.31250000000003</v>
      </c>
      <c r="H14" s="8" t="str">
        <f>IF(G14&lt;255,IF(G14&gt;0,"CUMPLE","NO CUMPLE"),"NO CUMPLE")</f>
        <v>CUMPLE</v>
      </c>
      <c r="I14" s="10">
        <f>$C$12*255*0.000001*E14*1000*$F$12</f>
        <v>65.279999999999987</v>
      </c>
      <c r="J14" s="16">
        <f>$D$12/(I14/1000)</f>
        <v>0.76593137254901977</v>
      </c>
      <c r="L14" s="1"/>
      <c r="M14" s="1"/>
      <c r="N14" s="2"/>
    </row>
    <row r="15" spans="1:14" x14ac:dyDescent="0.25">
      <c r="E15" s="37">
        <v>64</v>
      </c>
      <c r="F15" s="40"/>
      <c r="G15" s="7">
        <f>($D$12/(E15*$C$12*0.000001*$F$12))</f>
        <v>48.828125000000007</v>
      </c>
      <c r="H15" s="8" t="str">
        <f>IF(G15&lt;255,IF(G15&gt;0,"CUMPLE","NO CUMPLE"),"NO CUMPLE")</f>
        <v>CUMPLE</v>
      </c>
      <c r="I15" s="10">
        <f>$C$12*255*0.000001*E15*1000*$F$12</f>
        <v>261.11999999999995</v>
      </c>
      <c r="J15" s="16">
        <f>$D$12/(I15/1000)</f>
        <v>0.19148284313725494</v>
      </c>
    </row>
    <row r="16" spans="1:14" x14ac:dyDescent="0.25">
      <c r="E16" s="18"/>
      <c r="F16" s="18"/>
      <c r="G16" s="19"/>
      <c r="H16" s="20"/>
      <c r="I16" s="21"/>
      <c r="J16" s="22"/>
    </row>
    <row r="17" spans="3:10" x14ac:dyDescent="0.25">
      <c r="E17" s="18"/>
      <c r="F17" s="18"/>
      <c r="G17" s="19"/>
      <c r="H17" s="20"/>
      <c r="I17" s="21"/>
      <c r="J17" s="22"/>
    </row>
    <row r="18" spans="3:10" x14ac:dyDescent="0.25">
      <c r="E18" s="18"/>
      <c r="F18" s="18"/>
      <c r="G18" s="19"/>
      <c r="H18" s="20"/>
      <c r="I18" s="21"/>
      <c r="J18" s="22"/>
    </row>
    <row r="19" spans="3:10" x14ac:dyDescent="0.25">
      <c r="E19" s="18"/>
      <c r="F19" s="18"/>
      <c r="G19" s="19"/>
      <c r="H19" s="20"/>
      <c r="I19" s="21"/>
      <c r="J19" s="22"/>
    </row>
    <row r="20" spans="3:10" x14ac:dyDescent="0.25">
      <c r="C20" s="25" t="s">
        <v>6</v>
      </c>
      <c r="D20" s="25" t="s">
        <v>30</v>
      </c>
      <c r="E20" s="26" t="s">
        <v>34</v>
      </c>
      <c r="F20" s="27" t="s">
        <v>31</v>
      </c>
      <c r="G20" s="27" t="s">
        <v>35</v>
      </c>
      <c r="H20" s="27" t="s">
        <v>36</v>
      </c>
    </row>
    <row r="21" spans="3:10" x14ac:dyDescent="0.25">
      <c r="C21" s="29">
        <v>255</v>
      </c>
      <c r="D21" s="29">
        <v>16</v>
      </c>
      <c r="E21" s="29">
        <v>16</v>
      </c>
      <c r="F21" s="3">
        <f>C21*D21*E21*C12*0.000001</f>
        <v>6.5279999999999991E-2</v>
      </c>
      <c r="G21" s="3">
        <f>F21*1000</f>
        <v>65.279999999999987</v>
      </c>
      <c r="H21" s="3">
        <f>1/F21</f>
        <v>15.318627450980394</v>
      </c>
    </row>
  </sheetData>
  <mergeCells count="1">
    <mergeCell ref="F12:F15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Timer0</vt:lpstr>
      <vt:lpstr>Timer0 16 bits</vt:lpstr>
      <vt:lpstr>Timer1</vt:lpstr>
      <vt:lpstr>Timer1 (HZ)</vt:lpstr>
      <vt:lpstr>Timer2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</dc:creator>
  <cp:lastModifiedBy>Alcides Ramos</cp:lastModifiedBy>
  <dcterms:created xsi:type="dcterms:W3CDTF">2011-07-30T13:36:51Z</dcterms:created>
  <dcterms:modified xsi:type="dcterms:W3CDTF">2019-10-31T18:19:47Z</dcterms:modified>
</cp:coreProperties>
</file>